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MILLS\FY2025-26\Worksheet\"/>
    </mc:Choice>
  </mc:AlternateContent>
  <xr:revisionPtr revIDLastSave="0" documentId="13_ncr:1_{8037FD1C-1151-4CB0-9745-1FD76E1C1439}" xr6:coauthVersionLast="47" xr6:coauthVersionMax="47" xr10:uidLastSave="{00000000-0000-0000-0000-000000000000}"/>
  <bookViews>
    <workbookView xWindow="28680" yWindow="-120" windowWidth="29040" windowHeight="17520" xr2:uid="{162577C1-9E3E-4D29-A5D1-B06633EDA878}"/>
  </bookViews>
  <sheets>
    <sheet name="Instruction" sheetId="23" r:id="rId1"/>
    <sheet name="Cover" sheetId="24" r:id="rId2"/>
    <sheet name="BOE Resolution" sheetId="22" r:id="rId3"/>
    <sheet name="Calculation Worksheet" sheetId="13" r:id="rId4"/>
    <sheet name="CDE Mill Levy Certify Form" sheetId="14" r:id="rId5"/>
    <sheet name="Data FY24-25 Final" sheetId="15" state="hidden" r:id="rId6"/>
    <sheet name="Data Aug 2025 AV" sheetId="27" state="hidden" r:id="rId7"/>
    <sheet name="Hold Harmless" sheetId="31" state="hidden" r:id="rId8"/>
  </sheets>
  <definedNames>
    <definedName name="_xlnm._FilterDatabase" localSheetId="4" hidden="1">'CDE Mill Levy Certify Form'!$A$19:$E$83</definedName>
    <definedName name="_xlnm._FilterDatabase" localSheetId="6" hidden="1">'Data Aug 2025 AV'!$A$3:$GT$182</definedName>
    <definedName name="_xlnm._FilterDatabase" localSheetId="5">'Data FY24-25 Final'!$A$2:$W$180</definedName>
    <definedName name="GMONEY" localSheetId="2">#REF!</definedName>
    <definedName name="GMONEY" localSheetId="7">#REF!</definedName>
    <definedName name="GMONEY">#REF!</definedName>
    <definedName name="NvsASD">"V2005-07-31"</definedName>
    <definedName name="NvsAutoDrillOk">"VN"</definedName>
    <definedName name="NvsElapsedTime">0.000706018523487728</definedName>
    <definedName name="NvsEndTime">38646.4486226852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"V1999-08-02"</definedName>
    <definedName name="NvsPanelSetid">"VSD11"</definedName>
    <definedName name="NvsReqBU">"VSD11"</definedName>
    <definedName name="NvsReqBUOnly">"VY"</definedName>
    <definedName name="NvsTransLed">"VN"</definedName>
    <definedName name="NvsTreeASD">"V2005-07-31"</definedName>
    <definedName name="NvsValTbl.ACCOUNT">"GL_ACCOUNT_TBL"</definedName>
    <definedName name="NvsValTbl.BUDGET_PERIOD">"APPROP_BP_VW"</definedName>
    <definedName name="NvsValTbl.DEPTID">"DEPT_TBL"</definedName>
    <definedName name="NvsValTbl.FUND_CODE">"FUND_TBL"</definedName>
    <definedName name="NvsValTbl.PROGRAM_CODE">"PROGRAM_TBL"</definedName>
    <definedName name="NvsValTbl.PROJECT_ID">"PROJECT_ALL_VW"</definedName>
    <definedName name="NvsValTbl.SCENARIO">"BD_SCENARIO_TBL"</definedName>
    <definedName name="_xlnm.Print_Area" localSheetId="2">'BOE Resolution'!$A$13:$C$45</definedName>
    <definedName name="_xlnm.Print_Area" localSheetId="3">'Calculation Worksheet'!$A$1:$F$208</definedName>
    <definedName name="_xlnm.Print_Area" localSheetId="4">'CDE Mill Levy Certify Form'!$A$11:$F$81</definedName>
    <definedName name="_xlnm.Print_Area" localSheetId="1">Cover!$B$2:$K$38</definedName>
    <definedName name="Print_Area_MI" localSheetId="3">'Calculation Worksheet'!$B$3:$F$119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9" i="13" l="1"/>
  <c r="F178" i="13"/>
  <c r="Q182" i="27"/>
  <c r="R182" i="27"/>
  <c r="S182" i="27"/>
  <c r="T182" i="27"/>
  <c r="U182" i="27"/>
  <c r="V182" i="27"/>
  <c r="W182" i="27"/>
  <c r="X182" i="27"/>
  <c r="Y182" i="27"/>
  <c r="Z182" i="27"/>
  <c r="K182" i="27"/>
  <c r="L182" i="27"/>
  <c r="M182" i="27"/>
  <c r="N182" i="27"/>
  <c r="O182" i="27"/>
  <c r="P182" i="27"/>
  <c r="J182" i="27"/>
  <c r="E182" i="27"/>
  <c r="F182" i="27"/>
  <c r="G182" i="27"/>
  <c r="H182" i="27"/>
  <c r="I182" i="27"/>
  <c r="D182" i="27"/>
  <c r="E82" i="13" l="1"/>
  <c r="E81" i="13"/>
  <c r="E80" i="13"/>
  <c r="E86" i="13" s="1"/>
  <c r="E40" i="14"/>
  <c r="E38" i="14"/>
  <c r="A18" i="22" l="1"/>
  <c r="E160" i="13" l="1"/>
  <c r="E161" i="13" s="1"/>
  <c r="E66" i="14" s="1"/>
  <c r="E132" i="13"/>
  <c r="E133" i="13" s="1"/>
  <c r="E62" i="14" s="1"/>
  <c r="E146" i="13"/>
  <c r="E147" i="13" s="1"/>
  <c r="E64" i="14" s="1"/>
  <c r="E118" i="13"/>
  <c r="E119" i="13" s="1"/>
  <c r="E60" i="14" s="1"/>
  <c r="E104" i="13"/>
  <c r="E105" i="13" s="1"/>
  <c r="E58" i="14" s="1"/>
  <c r="E83" i="13"/>
  <c r="E51" i="14" s="1"/>
  <c r="E84" i="13"/>
  <c r="C59" i="13"/>
  <c r="C58" i="13"/>
  <c r="B76" i="13" l="1"/>
  <c r="B75" i="13" l="1"/>
  <c r="C75" i="13" s="1"/>
  <c r="D75" i="13"/>
  <c r="C76" i="13"/>
  <c r="D76" i="13"/>
  <c r="D15" i="13"/>
  <c r="E15" i="13"/>
  <c r="F15" i="13"/>
  <c r="C15" i="13"/>
  <c r="C12" i="13" l="1"/>
  <c r="D12" i="13"/>
  <c r="E12" i="13"/>
  <c r="F12" i="13"/>
  <c r="C76" i="14" l="1"/>
  <c r="A76" i="14" l="1"/>
  <c r="B13" i="22"/>
  <c r="A19" i="22"/>
  <c r="A17" i="22"/>
  <c r="A39" i="22"/>
  <c r="AB180" i="15"/>
  <c r="AB179" i="15"/>
  <c r="AB178" i="15"/>
  <c r="AB177" i="15"/>
  <c r="AB176" i="15"/>
  <c r="AB175" i="15"/>
  <c r="AB174" i="15"/>
  <c r="AB173" i="15"/>
  <c r="AB172" i="15"/>
  <c r="AB171" i="15"/>
  <c r="AB170" i="15"/>
  <c r="AB169" i="15"/>
  <c r="AB168" i="15"/>
  <c r="AB167" i="15"/>
  <c r="AB166" i="15"/>
  <c r="AB165" i="15"/>
  <c r="AB164" i="15"/>
  <c r="AB163" i="15"/>
  <c r="AB162" i="15"/>
  <c r="AB161" i="15"/>
  <c r="AB160" i="15"/>
  <c r="AB159" i="15"/>
  <c r="AB158" i="15"/>
  <c r="AB157" i="15"/>
  <c r="AB156" i="15"/>
  <c r="AB155" i="15"/>
  <c r="AB154" i="15"/>
  <c r="AB153" i="15"/>
  <c r="AB152" i="15"/>
  <c r="AB151" i="15"/>
  <c r="AB150" i="15"/>
  <c r="AB149" i="15"/>
  <c r="AB148" i="15"/>
  <c r="AB147" i="15"/>
  <c r="AB146" i="15"/>
  <c r="AB145" i="15"/>
  <c r="AB144" i="15"/>
  <c r="AB143" i="15"/>
  <c r="AB142" i="15"/>
  <c r="AB141" i="15"/>
  <c r="AB140" i="15"/>
  <c r="AB139" i="15"/>
  <c r="AB138" i="15"/>
  <c r="AB137" i="15"/>
  <c r="AB136" i="15"/>
  <c r="AB135" i="15"/>
  <c r="AB134" i="15"/>
  <c r="AB133" i="15"/>
  <c r="AB132" i="15"/>
  <c r="AB131" i="15"/>
  <c r="AB130" i="15"/>
  <c r="AB129" i="15"/>
  <c r="AB128" i="15"/>
  <c r="AB127" i="15"/>
  <c r="AB126" i="15"/>
  <c r="AB125" i="15"/>
  <c r="AB124" i="15"/>
  <c r="AB123" i="15"/>
  <c r="AB122" i="15"/>
  <c r="AB121" i="15"/>
  <c r="AB120" i="15"/>
  <c r="AB119" i="15"/>
  <c r="AB118" i="15"/>
  <c r="AB117" i="15"/>
  <c r="AB116" i="15"/>
  <c r="AB115" i="15"/>
  <c r="AB114" i="15"/>
  <c r="AB113" i="15"/>
  <c r="AB112" i="15"/>
  <c r="AB111" i="15"/>
  <c r="AB110" i="15"/>
  <c r="AB109" i="15"/>
  <c r="AB108" i="15"/>
  <c r="AB107" i="15"/>
  <c r="AB106" i="15"/>
  <c r="AB105" i="15"/>
  <c r="AB104" i="15"/>
  <c r="AB103" i="15"/>
  <c r="AB102" i="15"/>
  <c r="AB101" i="15"/>
  <c r="AB100" i="15"/>
  <c r="AB99" i="15"/>
  <c r="AB98" i="15"/>
  <c r="AB97" i="15"/>
  <c r="AB96" i="15"/>
  <c r="AB95" i="15"/>
  <c r="AB94" i="15"/>
  <c r="AB93" i="15"/>
  <c r="AB92" i="15"/>
  <c r="AB91" i="15"/>
  <c r="AB90" i="15"/>
  <c r="AB89" i="15"/>
  <c r="AB88" i="15"/>
  <c r="AB87" i="15"/>
  <c r="AB86" i="15"/>
  <c r="AB85" i="15"/>
  <c r="AB84" i="15"/>
  <c r="AB83" i="15"/>
  <c r="AB82" i="15"/>
  <c r="AB81" i="15"/>
  <c r="AB80" i="15"/>
  <c r="AB79" i="15"/>
  <c r="AB78" i="15"/>
  <c r="AB77" i="15"/>
  <c r="AB76" i="15"/>
  <c r="AB75" i="15"/>
  <c r="AB74" i="15"/>
  <c r="AB73" i="15"/>
  <c r="AB72" i="15"/>
  <c r="AB71" i="15"/>
  <c r="AB70" i="15"/>
  <c r="AB69" i="15"/>
  <c r="AB68" i="15"/>
  <c r="AB67" i="15"/>
  <c r="AB66" i="15"/>
  <c r="AB65" i="15"/>
  <c r="AB64" i="15"/>
  <c r="AB63" i="15"/>
  <c r="AB62" i="15"/>
  <c r="AB61" i="15"/>
  <c r="AB60" i="15"/>
  <c r="AB59" i="15"/>
  <c r="AB58" i="15"/>
  <c r="AB57" i="15"/>
  <c r="AB56" i="15"/>
  <c r="AB55" i="15"/>
  <c r="AB54" i="15"/>
  <c r="AB53" i="15"/>
  <c r="AB52" i="15"/>
  <c r="AB51" i="15"/>
  <c r="AB50" i="15"/>
  <c r="AB49" i="15"/>
  <c r="AB48" i="15"/>
  <c r="AB47" i="15"/>
  <c r="AB46" i="15"/>
  <c r="AB45" i="15"/>
  <c r="AB44" i="15"/>
  <c r="AB43" i="15"/>
  <c r="AB42" i="15"/>
  <c r="AB41" i="15"/>
  <c r="AB40" i="15"/>
  <c r="AB39" i="15"/>
  <c r="AB38" i="15"/>
  <c r="AB37" i="15"/>
  <c r="AB36" i="15"/>
  <c r="AB35" i="15"/>
  <c r="AB34" i="15"/>
  <c r="AB33" i="15"/>
  <c r="AB32" i="15"/>
  <c r="AB31" i="15"/>
  <c r="AB30" i="15"/>
  <c r="AB29" i="15"/>
  <c r="AB28" i="15"/>
  <c r="AB27" i="15"/>
  <c r="AB26" i="15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8" i="15"/>
  <c r="AB7" i="15"/>
  <c r="AB6" i="15"/>
  <c r="AB5" i="15"/>
  <c r="AB4" i="15"/>
  <c r="AB3" i="15"/>
  <c r="P182" i="15" l="1"/>
  <c r="O182" i="15"/>
  <c r="N182" i="15"/>
  <c r="M182" i="15"/>
  <c r="L182" i="15"/>
  <c r="K182" i="15"/>
  <c r="J182" i="15"/>
  <c r="I182" i="15"/>
  <c r="H182" i="15"/>
  <c r="Z181" i="15" l="1"/>
  <c r="Y181" i="15"/>
  <c r="X181" i="15"/>
  <c r="G182" i="15"/>
  <c r="F182" i="15"/>
  <c r="E182" i="15"/>
  <c r="D182" i="15"/>
  <c r="F23" i="13" l="1"/>
  <c r="E23" i="13"/>
  <c r="D23" i="13"/>
  <c r="C23" i="13"/>
  <c r="B21" i="13"/>
  <c r="B20" i="13"/>
  <c r="B19" i="13"/>
  <c r="B18" i="13"/>
  <c r="B17" i="13"/>
  <c r="B16" i="13"/>
  <c r="B22" i="13" l="1"/>
  <c r="E165" i="13" l="1"/>
  <c r="E201" i="13" l="1"/>
  <c r="E194" i="13"/>
  <c r="D201" i="13"/>
  <c r="D194" i="13"/>
  <c r="D165" i="13"/>
  <c r="E159" i="13"/>
  <c r="D159" i="13"/>
  <c r="C159" i="13"/>
  <c r="B159" i="13"/>
  <c r="D158" i="13"/>
  <c r="B158" i="13"/>
  <c r="E145" i="13"/>
  <c r="D145" i="13"/>
  <c r="C145" i="13"/>
  <c r="B145" i="13"/>
  <c r="D144" i="13"/>
  <c r="B144" i="13"/>
  <c r="E131" i="13"/>
  <c r="D131" i="13"/>
  <c r="C131" i="13"/>
  <c r="B131" i="13"/>
  <c r="D130" i="13"/>
  <c r="B130" i="13"/>
  <c r="E117" i="13"/>
  <c r="D117" i="13"/>
  <c r="C117" i="13"/>
  <c r="B117" i="13"/>
  <c r="D116" i="13"/>
  <c r="B116" i="13"/>
  <c r="E103" i="13"/>
  <c r="D103" i="13"/>
  <c r="C103" i="13"/>
  <c r="B103" i="13"/>
  <c r="D102" i="13"/>
  <c r="B102" i="13"/>
  <c r="E76" i="13"/>
  <c r="E158" i="13"/>
  <c r="C158" i="13"/>
  <c r="E75" i="13" l="1"/>
  <c r="C102" i="13"/>
  <c r="C116" i="13"/>
  <c r="C130" i="13"/>
  <c r="C144" i="13"/>
  <c r="E102" i="13"/>
  <c r="E116" i="13"/>
  <c r="E130" i="13"/>
  <c r="E144" i="13"/>
  <c r="B23" i="13" l="1"/>
  <c r="D35" i="13" s="1"/>
  <c r="C69" i="13" s="1"/>
  <c r="C71" i="13" s="1"/>
  <c r="V181" i="15" l="1"/>
  <c r="T181" i="15"/>
  <c r="R181" i="15"/>
  <c r="S181" i="15"/>
  <c r="U181" i="15" l="1"/>
  <c r="F13" i="14"/>
  <c r="D22" i="14" l="1"/>
  <c r="D24" i="14"/>
  <c r="D51" i="14"/>
  <c r="D48" i="14"/>
  <c r="D46" i="14"/>
  <c r="D53" i="14"/>
  <c r="C51" i="14"/>
  <c r="C86" i="13" s="1"/>
  <c r="D40" i="14"/>
  <c r="D38" i="14"/>
  <c r="E31" i="14"/>
  <c r="E71" i="14"/>
  <c r="E33" i="14"/>
  <c r="F44" i="13" s="1"/>
  <c r="C73" i="14"/>
  <c r="D71" i="14"/>
  <c r="B11" i="13"/>
  <c r="D30" i="13" s="1"/>
  <c r="B10" i="13"/>
  <c r="E35" i="14" l="1"/>
  <c r="E42" i="14" s="1"/>
  <c r="D29" i="13"/>
  <c r="B12" i="13"/>
  <c r="Q181" i="15"/>
  <c r="W181" i="15"/>
  <c r="D31" i="14"/>
  <c r="D33" i="14"/>
  <c r="D28" i="14"/>
  <c r="F43" i="13" l="1"/>
  <c r="F45" i="13" s="1"/>
  <c r="D35" i="14"/>
  <c r="D42" i="14" s="1"/>
  <c r="D55" i="14" s="1"/>
  <c r="D56" i="14" s="1"/>
  <c r="E155" i="13"/>
  <c r="D160" i="13" s="1"/>
  <c r="D161" i="13" s="1"/>
  <c r="B155" i="13"/>
  <c r="E141" i="13"/>
  <c r="D146" i="13" s="1"/>
  <c r="D147" i="13" s="1"/>
  <c r="B141" i="13"/>
  <c r="E127" i="13"/>
  <c r="D132" i="13" s="1"/>
  <c r="D133" i="13" s="1"/>
  <c r="B127" i="13"/>
  <c r="E113" i="13"/>
  <c r="D118" i="13" s="1"/>
  <c r="E22" i="14"/>
  <c r="D31" i="13"/>
  <c r="E24" i="14"/>
  <c r="E98" i="13" l="1"/>
  <c r="D104" i="13" s="1"/>
  <c r="D105" i="13" s="1"/>
  <c r="D86" i="13"/>
  <c r="E63" i="13"/>
  <c r="D82" i="13" s="1"/>
  <c r="E62" i="13"/>
  <c r="D81" i="13" s="1"/>
  <c r="E61" i="13"/>
  <c r="D80" i="13" s="1"/>
  <c r="E47" i="13"/>
  <c r="E46" i="13"/>
  <c r="E65" i="13"/>
  <c r="E64" i="13"/>
  <c r="D83" i="13" s="1"/>
  <c r="E44" i="13"/>
  <c r="E43" i="13"/>
  <c r="E45" i="13"/>
  <c r="F48" i="13"/>
  <c r="C26" i="22"/>
  <c r="B113" i="13"/>
  <c r="B63" i="13"/>
  <c r="B62" i="13"/>
  <c r="B64" i="13"/>
  <c r="B65" i="13"/>
  <c r="B98" i="13"/>
  <c r="D84" i="13"/>
  <c r="B59" i="13"/>
  <c r="D59" i="13" s="1"/>
  <c r="B61" i="13"/>
  <c r="B58" i="13"/>
  <c r="B69" i="13"/>
  <c r="D69" i="13" s="1"/>
  <c r="E69" i="13" s="1"/>
  <c r="D88" i="13" s="1"/>
  <c r="E48" i="13" l="1"/>
  <c r="E59" i="13"/>
  <c r="D78" i="13" s="1"/>
  <c r="E78" i="13"/>
  <c r="E48" i="14" s="1"/>
  <c r="B26" i="22"/>
  <c r="B40" i="22" s="1"/>
  <c r="E88" i="13"/>
  <c r="B71" i="13"/>
  <c r="D58" i="13"/>
  <c r="D26" i="14"/>
  <c r="E40" i="13"/>
  <c r="F40" i="13" s="1"/>
  <c r="C40" i="13"/>
  <c r="D40" i="13" s="1"/>
  <c r="A17" i="14"/>
  <c r="D3" i="13" s="1"/>
  <c r="A15" i="14"/>
  <c r="E77" i="13" l="1"/>
  <c r="E46" i="14" s="1"/>
  <c r="E58" i="13"/>
  <c r="E53" i="14"/>
  <c r="E90" i="13"/>
  <c r="D71" i="13"/>
  <c r="C21" i="22"/>
  <c r="E26" i="14"/>
  <c r="O122" i="13"/>
  <c r="T122" i="13" s="1"/>
  <c r="U122" i="13" s="1"/>
  <c r="C71" i="14"/>
  <c r="C66" i="14"/>
  <c r="C160" i="13" s="1"/>
  <c r="C64" i="14"/>
  <c r="C146" i="13" s="1"/>
  <c r="C62" i="14"/>
  <c r="C60" i="14"/>
  <c r="C58" i="14"/>
  <c r="C105" i="13" s="1"/>
  <c r="C53" i="14"/>
  <c r="C88" i="13" s="1"/>
  <c r="C48" i="14"/>
  <c r="C78" i="13" s="1"/>
  <c r="B78" i="13" s="1"/>
  <c r="C46" i="14"/>
  <c r="C77" i="13" s="1"/>
  <c r="B77" i="13" s="1"/>
  <c r="C40" i="14"/>
  <c r="D47" i="13" s="1"/>
  <c r="C38" i="14"/>
  <c r="C33" i="14"/>
  <c r="D44" i="13" s="1"/>
  <c r="C31" i="14"/>
  <c r="D77" i="13" l="1"/>
  <c r="D90" i="13" s="1"/>
  <c r="E71" i="13"/>
  <c r="E72" i="13" s="1"/>
  <c r="E55" i="14"/>
  <c r="E68" i="14" s="1"/>
  <c r="F68" i="14" s="1"/>
  <c r="D43" i="13"/>
  <c r="C35" i="14"/>
  <c r="C42" i="14" s="1"/>
  <c r="C55" i="14" s="1"/>
  <c r="C68" i="14" s="1"/>
  <c r="D46" i="13"/>
  <c r="F53" i="14"/>
  <c r="F51" i="14"/>
  <c r="F48" i="14"/>
  <c r="F46" i="14"/>
  <c r="F38" i="14"/>
  <c r="F35" i="14"/>
  <c r="E166" i="13"/>
  <c r="F40" i="14"/>
  <c r="C161" i="13"/>
  <c r="C147" i="13"/>
  <c r="D170" i="13" s="1"/>
  <c r="E170" i="13"/>
  <c r="E168" i="13"/>
  <c r="D167" i="13"/>
  <c r="C118" i="13"/>
  <c r="C132" i="13"/>
  <c r="R122" i="13"/>
  <c r="S122" i="13" s="1"/>
  <c r="B1" i="15"/>
  <c r="C1" i="15" s="1"/>
  <c r="D1" i="15" s="1"/>
  <c r="E1" i="15" s="1"/>
  <c r="F1" i="15" s="1"/>
  <c r="G1" i="15" s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  <c r="U1" i="15" s="1"/>
  <c r="V1" i="15" s="1"/>
  <c r="W1" i="15" s="1"/>
  <c r="X1" i="15" s="1"/>
  <c r="Y1" i="15" s="1"/>
  <c r="Z1" i="15" s="1"/>
  <c r="C28" i="14"/>
  <c r="C35" i="13" s="1"/>
  <c r="C22" i="14"/>
  <c r="C29" i="13" s="1"/>
  <c r="D45" i="13" l="1"/>
  <c r="E56" i="14"/>
  <c r="F42" i="14"/>
  <c r="F55" i="14" s="1"/>
  <c r="C90" i="13"/>
  <c r="D166" i="13" s="1"/>
  <c r="D48" i="13"/>
  <c r="C133" i="13"/>
  <c r="E169" i="13"/>
  <c r="B35" i="22"/>
  <c r="E167" i="13"/>
  <c r="F167" i="13" s="1"/>
  <c r="C36" i="22"/>
  <c r="E171" i="13"/>
  <c r="D73" i="14"/>
  <c r="E73" i="14"/>
  <c r="C28" i="22"/>
  <c r="F170" i="13"/>
  <c r="C27" i="22"/>
  <c r="C119" i="13"/>
  <c r="C24" i="14"/>
  <c r="C30" i="13" s="1"/>
  <c r="C31" i="13" s="1"/>
  <c r="C45" i="13" s="1"/>
  <c r="D171" i="13"/>
  <c r="C26" i="14"/>
  <c r="B105" i="13" l="1"/>
  <c r="B160" i="13"/>
  <c r="B161" i="13" s="1"/>
  <c r="B146" i="13"/>
  <c r="B132" i="13"/>
  <c r="B118" i="13"/>
  <c r="B88" i="13"/>
  <c r="B86" i="13"/>
  <c r="C47" i="13"/>
  <c r="C46" i="13"/>
  <c r="C44" i="13"/>
  <c r="C43" i="13"/>
  <c r="F171" i="13"/>
  <c r="B32" i="22"/>
  <c r="D169" i="13"/>
  <c r="F169" i="13" s="1"/>
  <c r="D168" i="13"/>
  <c r="F168" i="13" s="1"/>
  <c r="C48" i="13" l="1"/>
  <c r="B90" i="13"/>
  <c r="D33" i="13"/>
  <c r="C33" i="13"/>
  <c r="B27" i="22" l="1"/>
  <c r="B28" i="22"/>
  <c r="B147" i="13"/>
  <c r="B133" i="13"/>
  <c r="B119" i="13"/>
  <c r="B29" i="22"/>
  <c r="D72" i="13" l="1"/>
  <c r="B36" i="22" l="1"/>
  <c r="B34" i="22"/>
  <c r="E28" i="14"/>
  <c r="F66" i="14"/>
  <c r="C45" i="22"/>
  <c r="C44" i="22"/>
  <c r="F19" i="14"/>
  <c r="C56" i="14" l="1"/>
  <c r="F64" i="14"/>
  <c r="F60" i="14"/>
  <c r="D119" i="13" l="1"/>
  <c r="F186" i="13" s="1"/>
  <c r="F62" i="14"/>
  <c r="B33" i="22" l="1"/>
  <c r="C33" i="22"/>
  <c r="C34" i="22"/>
  <c r="F203" i="13" l="1"/>
  <c r="E202" i="13"/>
  <c r="D202" i="13"/>
  <c r="D204" i="13" s="1"/>
  <c r="E197" i="13"/>
  <c r="D197" i="13"/>
  <c r="F196" i="13"/>
  <c r="F195" i="13"/>
  <c r="B191" i="13"/>
  <c r="N118" i="13"/>
  <c r="Q118" i="13" s="1"/>
  <c r="S117" i="13"/>
  <c r="Q117" i="13"/>
  <c r="N116" i="13"/>
  <c r="S116" i="13" s="1"/>
  <c r="T116" i="13" s="1"/>
  <c r="D172" i="13" l="1"/>
  <c r="S118" i="13"/>
  <c r="T118" i="13" s="1"/>
  <c r="F197" i="13"/>
  <c r="T117" i="13"/>
  <c r="F202" i="13"/>
  <c r="E204" i="13"/>
  <c r="F204" i="13" s="1"/>
  <c r="Q116" i="13"/>
  <c r="R116" i="13" s="1"/>
  <c r="D198" i="13" l="1"/>
  <c r="D199" i="13" s="1"/>
  <c r="D205" i="13"/>
  <c r="D206" i="13" s="1"/>
  <c r="D173" i="13"/>
  <c r="R118" i="13"/>
  <c r="R117" i="13"/>
  <c r="C29" i="22" l="1"/>
  <c r="C35" i="22"/>
  <c r="F56" i="14" l="1"/>
  <c r="F58" i="14"/>
  <c r="B37" i="22"/>
  <c r="B30" i="22"/>
  <c r="C30" i="22"/>
  <c r="C32" i="22"/>
  <c r="C37" i="22" s="1"/>
  <c r="B39" i="22" l="1"/>
  <c r="C39" i="22"/>
  <c r="C20" i="22" s="1"/>
  <c r="F166" i="13"/>
  <c r="E172" i="13"/>
  <c r="F177" i="13" s="1"/>
  <c r="F180" i="13" s="1"/>
  <c r="F182" i="13" s="1"/>
  <c r="E173" i="13" l="1"/>
  <c r="C40" i="22"/>
  <c r="E198" i="13"/>
  <c r="F172" i="13"/>
  <c r="E205" i="13"/>
  <c r="F173" i="13" l="1"/>
  <c r="F188" i="13"/>
  <c r="F205" i="13"/>
  <c r="E206" i="13"/>
  <c r="F198" i="13"/>
  <c r="E199" i="13"/>
  <c r="F199" i="13" l="1"/>
  <c r="F20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O87" authorId="0" shapeId="0" xr:uid="{CB27CAD8-BE37-4C86-8CA4-A16584617110}">
      <text>
        <r>
          <rPr>
            <b/>
            <sz val="9"/>
            <color rgb="FF000000"/>
            <rFont val="Tahoma"/>
            <family val="2"/>
          </rPr>
          <t xml:space="preserve">Fixed at 3.515
</t>
        </r>
      </text>
    </comment>
  </commentList>
</comments>
</file>

<file path=xl/sharedStrings.xml><?xml version="1.0" encoding="utf-8"?>
<sst xmlns="http://schemas.openxmlformats.org/spreadsheetml/2006/main" count="2139" uniqueCount="987">
  <si>
    <t>Assessed Valuation</t>
  </si>
  <si>
    <t>Abatements</t>
  </si>
  <si>
    <t>Variance</t>
  </si>
  <si>
    <t>General Fund</t>
  </si>
  <si>
    <t xml:space="preserve">  Abatements</t>
  </si>
  <si>
    <t xml:space="preserve">      Total</t>
  </si>
  <si>
    <t>Total Mill Levy</t>
  </si>
  <si>
    <t>County tax collection rate</t>
  </si>
  <si>
    <t>Residential</t>
  </si>
  <si>
    <t>Market value</t>
  </si>
  <si>
    <t>Assessment rate</t>
  </si>
  <si>
    <t>Assessed value</t>
  </si>
  <si>
    <t>Mill levy</t>
  </si>
  <si>
    <t>Commercial</t>
  </si>
  <si>
    <t>10 year</t>
  </si>
  <si>
    <t>Do Nothing</t>
  </si>
  <si>
    <t>On-going</t>
  </si>
  <si>
    <t>Annual Commercial Taxes</t>
  </si>
  <si>
    <t>Dollar Value</t>
  </si>
  <si>
    <t>Total General Fund</t>
  </si>
  <si>
    <t>Bond Redemption Fund</t>
  </si>
  <si>
    <t>DATA FROM THE COUNTY ASSESSOR PROVIDED IN AUGUST(DRAFT) AND DECEMBER(FINAL)</t>
  </si>
  <si>
    <t>Input</t>
  </si>
  <si>
    <t>Total Program HB20-1418</t>
  </si>
  <si>
    <t>Temporary Tax Credit</t>
  </si>
  <si>
    <t>Effect on Market of $100,000</t>
  </si>
  <si>
    <t>TOTAL MILLS</t>
  </si>
  <si>
    <t>Certification of Mill Levies</t>
  </si>
  <si>
    <t>0010</t>
  </si>
  <si>
    <t>* when printed,  the form will print without these comments</t>
  </si>
  <si>
    <t>Colorado Department of Education (CDE)  Mill Levy Estimated as of</t>
  </si>
  <si>
    <t>School District Final Mill Levy Certified as of</t>
  </si>
  <si>
    <t>Estimated School District Revenue from Mill Levy</t>
  </si>
  <si>
    <t>CATEGORY</t>
  </si>
  <si>
    <t>Gross Assessed Valuation</t>
  </si>
  <si>
    <t>Tax Increment Financing</t>
  </si>
  <si>
    <t>Net Assessed Valuation</t>
  </si>
  <si>
    <t>* Gross assessed valuation less approved AV related to approved TIF districts.</t>
  </si>
  <si>
    <t>(Total across all counties)</t>
  </si>
  <si>
    <t xml:space="preserve">   calculation of the abatement levy in order to get 100% of total program funding.</t>
  </si>
  <si>
    <t xml:space="preserve"> 1.  Mill Levy per HB20-1418</t>
  </si>
  <si>
    <t xml:space="preserve">    1a.  HB20-1418 Tax Credit</t>
  </si>
  <si>
    <t>* The district's school board will need to grant this tax credit by resolution per HB20-1418.</t>
  </si>
  <si>
    <t>* Tax credit will be 1.0 mills lower than prior year credit until credit is zero for district.</t>
  </si>
  <si>
    <t xml:space="preserve">    1b.  HB20-1418 Net Mill Levy</t>
  </si>
  <si>
    <t>* Net mills should equal prior year net plus one (or fraction if prior year credit was less than one).</t>
  </si>
  <si>
    <t xml:space="preserve"> 2.  Categorical Buyout</t>
  </si>
  <si>
    <t xml:space="preserve"> 4.  Total Program Mill</t>
  </si>
  <si>
    <t xml:space="preserve"> 5.  Overrides:</t>
  </si>
  <si>
    <t>* District is responsible for calculating the voter-approved mill levy. Please verify your voter-approved override mill based on your ballot question. Your MLO may be fixed mill or fixed dollar or a combination.</t>
  </si>
  <si>
    <t xml:space="preserve"> 6.  Abatement</t>
  </si>
  <si>
    <t xml:space="preserve"> 7.  Total General Fund</t>
  </si>
  <si>
    <t xml:space="preserve"> 8.  Bond Redemption Fund</t>
  </si>
  <si>
    <t xml:space="preserve"> 9.  Transportation Fund</t>
  </si>
  <si>
    <t xml:space="preserve"> </t>
  </si>
  <si>
    <t>Information provided by state for certification to county treasurer:</t>
  </si>
  <si>
    <t>Form completed by</t>
  </si>
  <si>
    <t>Phone Number</t>
  </si>
  <si>
    <t>DIST</t>
  </si>
  <si>
    <t>COUNTY</t>
  </si>
  <si>
    <t>DISTRICT</t>
  </si>
  <si>
    <t>GROSS ASSESSED VALUATION</t>
  </si>
  <si>
    <t>TIF</t>
  </si>
  <si>
    <t>NET ASSESSED VALUATION</t>
  </si>
  <si>
    <t>GENERAL FUND MILL</t>
  </si>
  <si>
    <t>CATEGORICAL</t>
  </si>
  <si>
    <t>Total Prog Reserve</t>
  </si>
  <si>
    <t>HOLD HARMLESS OVERRIDE</t>
  </si>
  <si>
    <t>EXCESS OVERRIDE</t>
  </si>
  <si>
    <t>VOTER APPROVED OVERRIDE</t>
  </si>
  <si>
    <t>ABATEMENT mill</t>
  </si>
  <si>
    <t>FULL TOTAL PROGRAM MILL</t>
  </si>
  <si>
    <t>TOTAL PRG</t>
  </si>
  <si>
    <t>STATE SHARE FUND</t>
  </si>
  <si>
    <t xml:space="preserve"> ABATE AMOUNT</t>
  </si>
  <si>
    <t>TRANSP</t>
  </si>
  <si>
    <t>SPEC BLDG</t>
  </si>
  <si>
    <t>Other</t>
  </si>
  <si>
    <t>BOND</t>
  </si>
  <si>
    <t>Total Mills</t>
  </si>
  <si>
    <t>Mill Levy per HB20-1418</t>
  </si>
  <si>
    <t>Remaining Tax Credit</t>
  </si>
  <si>
    <t>ADAMS</t>
  </si>
  <si>
    <t>MAPLETON</t>
  </si>
  <si>
    <t>0020</t>
  </si>
  <si>
    <t>ADAMS 12 FIVE STAR</t>
  </si>
  <si>
    <t>0030</t>
  </si>
  <si>
    <t>COMMERCE CITY</t>
  </si>
  <si>
    <t>0040</t>
  </si>
  <si>
    <t>BRIGHTON</t>
  </si>
  <si>
    <t>0050</t>
  </si>
  <si>
    <t>BENNETT</t>
  </si>
  <si>
    <t>0060</t>
  </si>
  <si>
    <t>STRASBURG</t>
  </si>
  <si>
    <t>0070</t>
  </si>
  <si>
    <t>WESTMINSTER</t>
  </si>
  <si>
    <t>0100</t>
  </si>
  <si>
    <t>ALAMOSA</t>
  </si>
  <si>
    <t>0110</t>
  </si>
  <si>
    <t>SANGRE DE CRISTO</t>
  </si>
  <si>
    <t>0120</t>
  </si>
  <si>
    <t>ARAPAHOE</t>
  </si>
  <si>
    <t>ENGLEWOOD</t>
  </si>
  <si>
    <t>0123</t>
  </si>
  <si>
    <t>SHERIDAN</t>
  </si>
  <si>
    <t>0130</t>
  </si>
  <si>
    <t>CHERRY CREEK</t>
  </si>
  <si>
    <t>0140</t>
  </si>
  <si>
    <t>LITTLETON</t>
  </si>
  <si>
    <t>0170</t>
  </si>
  <si>
    <t>DEER TRAIL</t>
  </si>
  <si>
    <t>0180</t>
  </si>
  <si>
    <t>AURORA</t>
  </si>
  <si>
    <t>0190</t>
  </si>
  <si>
    <t>BYERS</t>
  </si>
  <si>
    <t>0220</t>
  </si>
  <si>
    <t>ARCHULETA</t>
  </si>
  <si>
    <t>0230</t>
  </si>
  <si>
    <t>BACA</t>
  </si>
  <si>
    <t>WALSH</t>
  </si>
  <si>
    <t>0240</t>
  </si>
  <si>
    <t>PRITCHETT</t>
  </si>
  <si>
    <t>0250</t>
  </si>
  <si>
    <t>SPRINGFIELD</t>
  </si>
  <si>
    <t>0260</t>
  </si>
  <si>
    <t>VILAS</t>
  </si>
  <si>
    <t>0270</t>
  </si>
  <si>
    <t>CAMPO</t>
  </si>
  <si>
    <t>0290</t>
  </si>
  <si>
    <t>BENT</t>
  </si>
  <si>
    <t>LAS ANIMAS</t>
  </si>
  <si>
    <t>0310</t>
  </si>
  <si>
    <t>MCCLAVE</t>
  </si>
  <si>
    <t>0470</t>
  </si>
  <si>
    <t>BOULDER</t>
  </si>
  <si>
    <t>ST VRAIN</t>
  </si>
  <si>
    <t>0480</t>
  </si>
  <si>
    <t>0490</t>
  </si>
  <si>
    <t>CHAFFEE</t>
  </si>
  <si>
    <t>BUENA VISTA</t>
  </si>
  <si>
    <t>0500</t>
  </si>
  <si>
    <t>SALIDA</t>
  </si>
  <si>
    <t>0510</t>
  </si>
  <si>
    <t>CHEYENNE</t>
  </si>
  <si>
    <t>KIT CARSON</t>
  </si>
  <si>
    <t>0520</t>
  </si>
  <si>
    <t>0540</t>
  </si>
  <si>
    <t>CLEAR CREEK</t>
  </si>
  <si>
    <t>0550</t>
  </si>
  <si>
    <t>CONEJOS</t>
  </si>
  <si>
    <t>NORTH CONEJOS</t>
  </si>
  <si>
    <t>0560</t>
  </si>
  <si>
    <t>SANFORD</t>
  </si>
  <si>
    <t>0580</t>
  </si>
  <si>
    <t>SOUTH CONEJOS</t>
  </si>
  <si>
    <t>0640</t>
  </si>
  <si>
    <t>COSTILLA</t>
  </si>
  <si>
    <t>CENTENNIAL</t>
  </si>
  <si>
    <t>0740</t>
  </si>
  <si>
    <t>SIERRA GRANDE</t>
  </si>
  <si>
    <t>0770</t>
  </si>
  <si>
    <t>CROWLEY</t>
  </si>
  <si>
    <t>0860</t>
  </si>
  <si>
    <t>CUSTER</t>
  </si>
  <si>
    <t>WESTCLIFFE</t>
  </si>
  <si>
    <t>0870</t>
  </si>
  <si>
    <t>DELTA</t>
  </si>
  <si>
    <t>0880</t>
  </si>
  <si>
    <t>DENVER</t>
  </si>
  <si>
    <t>0890</t>
  </si>
  <si>
    <t>DOLORES</t>
  </si>
  <si>
    <t>0900</t>
  </si>
  <si>
    <t>DOUGLAS</t>
  </si>
  <si>
    <t>0910</t>
  </si>
  <si>
    <t>EAGLE</t>
  </si>
  <si>
    <t>0920</t>
  </si>
  <si>
    <t>ELBERT</t>
  </si>
  <si>
    <t>ELIZABETH</t>
  </si>
  <si>
    <t>0930</t>
  </si>
  <si>
    <t>KIOWA</t>
  </si>
  <si>
    <t>0940</t>
  </si>
  <si>
    <t>BIG SANDY</t>
  </si>
  <si>
    <t>0950</t>
  </si>
  <si>
    <t>0960</t>
  </si>
  <si>
    <t>AGATE</t>
  </si>
  <si>
    <t>0970</t>
  </si>
  <si>
    <t>EL PASO</t>
  </si>
  <si>
    <t>CALHAN</t>
  </si>
  <si>
    <t>0980</t>
  </si>
  <si>
    <t>HARRISON</t>
  </si>
  <si>
    <t>0990</t>
  </si>
  <si>
    <t>WIDEFIELD</t>
  </si>
  <si>
    <t>1000</t>
  </si>
  <si>
    <t>FOUNTAIN</t>
  </si>
  <si>
    <t>1010</t>
  </si>
  <si>
    <t>COLORADO SPRINGS</t>
  </si>
  <si>
    <t>1020</t>
  </si>
  <si>
    <t>CHEYENNE MOUNTAIN</t>
  </si>
  <si>
    <t>1030</t>
  </si>
  <si>
    <t>MANITOU SPRINGS</t>
  </si>
  <si>
    <t>1040</t>
  </si>
  <si>
    <t>ACADEMY</t>
  </si>
  <si>
    <t>1050</t>
  </si>
  <si>
    <t>ELLICOTT</t>
  </si>
  <si>
    <t>1060</t>
  </si>
  <si>
    <t>PEYTON</t>
  </si>
  <si>
    <t>1070</t>
  </si>
  <si>
    <t>HANOVER</t>
  </si>
  <si>
    <t>1080</t>
  </si>
  <si>
    <t>LEWIS-PALMER</t>
  </si>
  <si>
    <t>1110</t>
  </si>
  <si>
    <t>DISTRICT 49</t>
  </si>
  <si>
    <t>1120</t>
  </si>
  <si>
    <t>EDISON</t>
  </si>
  <si>
    <t>1130</t>
  </si>
  <si>
    <t>MIAMI-YODER</t>
  </si>
  <si>
    <t>1140</t>
  </si>
  <si>
    <t>FREMONT</t>
  </si>
  <si>
    <t>CANON CITY</t>
  </si>
  <si>
    <t>1150</t>
  </si>
  <si>
    <t>FREMONT RE-2</t>
  </si>
  <si>
    <t>1160</t>
  </si>
  <si>
    <t>COTOPAXI</t>
  </si>
  <si>
    <t>1180</t>
  </si>
  <si>
    <t>GARFIELD</t>
  </si>
  <si>
    <t>ROARING FORK</t>
  </si>
  <si>
    <t>1195</t>
  </si>
  <si>
    <t>RIFLE</t>
  </si>
  <si>
    <t>1220</t>
  </si>
  <si>
    <t>PARACHUTE</t>
  </si>
  <si>
    <t>1330</t>
  </si>
  <si>
    <t>GILPIN</t>
  </si>
  <si>
    <t>1340</t>
  </si>
  <si>
    <t>GRAND</t>
  </si>
  <si>
    <t>WEST GRAND</t>
  </si>
  <si>
    <t>1350</t>
  </si>
  <si>
    <t>EAST GRAND</t>
  </si>
  <si>
    <t>1360</t>
  </si>
  <si>
    <t>GUNNISON</t>
  </si>
  <si>
    <t>1380</t>
  </si>
  <si>
    <t>HINSDALE</t>
  </si>
  <si>
    <t>1390</t>
  </si>
  <si>
    <t>HUERFANO</t>
  </si>
  <si>
    <t>1400</t>
  </si>
  <si>
    <t>LA VETA</t>
  </si>
  <si>
    <t>1410</t>
  </si>
  <si>
    <t>JACKSON</t>
  </si>
  <si>
    <t>NORTH PARK</t>
  </si>
  <si>
    <t>1420</t>
  </si>
  <si>
    <t>JEFFERSON</t>
  </si>
  <si>
    <t>1430</t>
  </si>
  <si>
    <t>EADS</t>
  </si>
  <si>
    <t>1440</t>
  </si>
  <si>
    <t>PLAINVIEW</t>
  </si>
  <si>
    <t>1450</t>
  </si>
  <si>
    <t>ARRIBA-FLAGLER</t>
  </si>
  <si>
    <t>1460</t>
  </si>
  <si>
    <t>HI PLAINS</t>
  </si>
  <si>
    <t>1480</t>
  </si>
  <si>
    <t>STRATTON</t>
  </si>
  <si>
    <t>1490</t>
  </si>
  <si>
    <t>BETHUNE</t>
  </si>
  <si>
    <t>1500</t>
  </si>
  <si>
    <t>BURLINGTON</t>
  </si>
  <si>
    <t>1510</t>
  </si>
  <si>
    <t>LAKE</t>
  </si>
  <si>
    <t>1520</t>
  </si>
  <si>
    <t>LA PLATA</t>
  </si>
  <si>
    <t>DURANGO</t>
  </si>
  <si>
    <t>1530</t>
  </si>
  <si>
    <t>BAYFIELD</t>
  </si>
  <si>
    <t>1540</t>
  </si>
  <si>
    <t>IGNACIO</t>
  </si>
  <si>
    <t>1550</t>
  </si>
  <si>
    <t>LARIMER</t>
  </si>
  <si>
    <t>POUDRE</t>
  </si>
  <si>
    <t>1560</t>
  </si>
  <si>
    <t>THOMPSON</t>
  </si>
  <si>
    <t>1570</t>
  </si>
  <si>
    <t>ESTES PARK</t>
  </si>
  <si>
    <t>1580</t>
  </si>
  <si>
    <t>TRINIDAD</t>
  </si>
  <si>
    <t>1590</t>
  </si>
  <si>
    <t>PRIMERO</t>
  </si>
  <si>
    <t>1600</t>
  </si>
  <si>
    <t>HOEHNE</t>
  </si>
  <si>
    <t>1620</t>
  </si>
  <si>
    <t>AGUILAR</t>
  </si>
  <si>
    <t>1750</t>
  </si>
  <si>
    <t>BRANSON</t>
  </si>
  <si>
    <t>1760</t>
  </si>
  <si>
    <t>KIM</t>
  </si>
  <si>
    <t>1780</t>
  </si>
  <si>
    <t>LINCOLN</t>
  </si>
  <si>
    <t>GENOA-HUGO</t>
  </si>
  <si>
    <t>1790</t>
  </si>
  <si>
    <t>LIMON</t>
  </si>
  <si>
    <t>1810</t>
  </si>
  <si>
    <t>KARVAL</t>
  </si>
  <si>
    <t>1828</t>
  </si>
  <si>
    <t>LOGAN</t>
  </si>
  <si>
    <t>VALLEY</t>
  </si>
  <si>
    <t>1850</t>
  </si>
  <si>
    <t>FRENCHMAN</t>
  </si>
  <si>
    <t>1860</t>
  </si>
  <si>
    <t>BUFFALO</t>
  </si>
  <si>
    <t>1870</t>
  </si>
  <si>
    <t>PLATEAU</t>
  </si>
  <si>
    <t>1980</t>
  </si>
  <si>
    <t>MESA</t>
  </si>
  <si>
    <t>DEBEQUE</t>
  </si>
  <si>
    <t>1990</t>
  </si>
  <si>
    <t>PLATEAU VALLEY</t>
  </si>
  <si>
    <t>2000</t>
  </si>
  <si>
    <t>MESA VALLEY</t>
  </si>
  <si>
    <t>2010</t>
  </si>
  <si>
    <t>MINERAL</t>
  </si>
  <si>
    <t>CREEDE</t>
  </si>
  <si>
    <t>2020</t>
  </si>
  <si>
    <t>MOFFAT</t>
  </si>
  <si>
    <t>2035</t>
  </si>
  <si>
    <t>MONTEZUMA</t>
  </si>
  <si>
    <t>2055</t>
  </si>
  <si>
    <t>2070</t>
  </si>
  <si>
    <t>MANCOS</t>
  </si>
  <si>
    <t>2180</t>
  </si>
  <si>
    <t>MONTROSE</t>
  </si>
  <si>
    <t>2190</t>
  </si>
  <si>
    <t>WEST END</t>
  </si>
  <si>
    <t>2395</t>
  </si>
  <si>
    <t>MORGAN</t>
  </si>
  <si>
    <t>BRUSH</t>
  </si>
  <si>
    <t>2405</t>
  </si>
  <si>
    <t>FT. MORGAN</t>
  </si>
  <si>
    <t>2505</t>
  </si>
  <si>
    <t>WELDON</t>
  </si>
  <si>
    <t>2515</t>
  </si>
  <si>
    <t>WIGGINS</t>
  </si>
  <si>
    <t>2520</t>
  </si>
  <si>
    <t>OTERO</t>
  </si>
  <si>
    <t>EAST OTERO</t>
  </si>
  <si>
    <t>2530</t>
  </si>
  <si>
    <t>ROCKY FORD</t>
  </si>
  <si>
    <t>2535</t>
  </si>
  <si>
    <t>MANZANOLA</t>
  </si>
  <si>
    <t>2540</t>
  </si>
  <si>
    <t>FOWLER</t>
  </si>
  <si>
    <t>2560</t>
  </si>
  <si>
    <t>CHERAW</t>
  </si>
  <si>
    <t>2570</t>
  </si>
  <si>
    <t>SWINK</t>
  </si>
  <si>
    <t>2580</t>
  </si>
  <si>
    <t>OURAY</t>
  </si>
  <si>
    <t>2590</t>
  </si>
  <si>
    <t>RIDGWAY</t>
  </si>
  <si>
    <t>2600</t>
  </si>
  <si>
    <t>PARK</t>
  </si>
  <si>
    <t>PLATTE CANYON</t>
  </si>
  <si>
    <t>2610</t>
  </si>
  <si>
    <t>2620</t>
  </si>
  <si>
    <t>PHILLIPS</t>
  </si>
  <si>
    <t>HOLYOKE</t>
  </si>
  <si>
    <t>2630</t>
  </si>
  <si>
    <t>HAXTUN</t>
  </si>
  <si>
    <t>2640</t>
  </si>
  <si>
    <t>PITKIN</t>
  </si>
  <si>
    <t>ASPEN</t>
  </si>
  <si>
    <t>2650</t>
  </si>
  <si>
    <t>PROWERS</t>
  </si>
  <si>
    <t>GRANADA</t>
  </si>
  <si>
    <t>2660</t>
  </si>
  <si>
    <t>LAMAR</t>
  </si>
  <si>
    <t>2670</t>
  </si>
  <si>
    <t>HOLLY</t>
  </si>
  <si>
    <t>2680</t>
  </si>
  <si>
    <t>WILEY</t>
  </si>
  <si>
    <t>2690</t>
  </si>
  <si>
    <t>PUEBLO</t>
  </si>
  <si>
    <t>PUEBLO CITY</t>
  </si>
  <si>
    <t>2700</t>
  </si>
  <si>
    <t>PUEBLO RURAL</t>
  </si>
  <si>
    <t>2710</t>
  </si>
  <si>
    <t>RIO BLANCO</t>
  </si>
  <si>
    <t>MEEKER</t>
  </si>
  <si>
    <t>2720</t>
  </si>
  <si>
    <t>RANGELY</t>
  </si>
  <si>
    <t>2730</t>
  </si>
  <si>
    <t>RIO GRANDE</t>
  </si>
  <si>
    <t>DEL NORTE</t>
  </si>
  <si>
    <t>2740</t>
  </si>
  <si>
    <t>MONTE VISTA</t>
  </si>
  <si>
    <t>2750</t>
  </si>
  <si>
    <t>SARGENT</t>
  </si>
  <si>
    <t>2760</t>
  </si>
  <si>
    <t>ROUTT</t>
  </si>
  <si>
    <t>HAYDEN</t>
  </si>
  <si>
    <t>2770</t>
  </si>
  <si>
    <t>STEAMBOAT SPRINGS</t>
  </si>
  <si>
    <t>2780</t>
  </si>
  <si>
    <t>SOUTH ROUTT</t>
  </si>
  <si>
    <t>2790</t>
  </si>
  <si>
    <t>SAGUACHE</t>
  </si>
  <si>
    <t>MOUNTAIN VALLEY</t>
  </si>
  <si>
    <t>2800</t>
  </si>
  <si>
    <t>2810</t>
  </si>
  <si>
    <t>CENTER</t>
  </si>
  <si>
    <t>2820</t>
  </si>
  <si>
    <t>SAN JUAN</t>
  </si>
  <si>
    <t>SILVERTON</t>
  </si>
  <si>
    <t>2830</t>
  </si>
  <si>
    <t>SAN MIGUEL</t>
  </si>
  <si>
    <t>TELLURIDE</t>
  </si>
  <si>
    <t>2840</t>
  </si>
  <si>
    <t>NORWOOD</t>
  </si>
  <si>
    <t>2862</t>
  </si>
  <si>
    <t>SEDGWICK</t>
  </si>
  <si>
    <t>JULESBURG</t>
  </si>
  <si>
    <t>2865</t>
  </si>
  <si>
    <t>REVERE</t>
  </si>
  <si>
    <t>3000</t>
  </si>
  <si>
    <t>SUMMIT</t>
  </si>
  <si>
    <t>3010</t>
  </si>
  <si>
    <t>TELLER</t>
  </si>
  <si>
    <t>CRIPPLE CREEK</t>
  </si>
  <si>
    <t>3020</t>
  </si>
  <si>
    <t>WOODLAND PARK</t>
  </si>
  <si>
    <t>3030</t>
  </si>
  <si>
    <t>WASHINGTON</t>
  </si>
  <si>
    <t>AKRON</t>
  </si>
  <si>
    <t>3040</t>
  </si>
  <si>
    <t>ARICKAREE</t>
  </si>
  <si>
    <t>3050</t>
  </si>
  <si>
    <t>OTIS</t>
  </si>
  <si>
    <t>3060</t>
  </si>
  <si>
    <t>LONE STAR</t>
  </si>
  <si>
    <t>3070</t>
  </si>
  <si>
    <t>WOODLIN</t>
  </si>
  <si>
    <t>3080</t>
  </si>
  <si>
    <t>WELD</t>
  </si>
  <si>
    <t>GILCREST</t>
  </si>
  <si>
    <t>3085</t>
  </si>
  <si>
    <t>EATON</t>
  </si>
  <si>
    <t>3090</t>
  </si>
  <si>
    <t>KEENESBURG</t>
  </si>
  <si>
    <t>3100</t>
  </si>
  <si>
    <t>WINDSOR</t>
  </si>
  <si>
    <t>3110</t>
  </si>
  <si>
    <t>JOHNSTOWN</t>
  </si>
  <si>
    <t>3120</t>
  </si>
  <si>
    <t>GREELEY</t>
  </si>
  <si>
    <t>3130</t>
  </si>
  <si>
    <t>PLATTE VALLEY</t>
  </si>
  <si>
    <t>3140</t>
  </si>
  <si>
    <t>FT. LUPTON</t>
  </si>
  <si>
    <t>3145</t>
  </si>
  <si>
    <t>AULT-HIGHLAND</t>
  </si>
  <si>
    <t>3146</t>
  </si>
  <si>
    <t>BRIGGSDALE</t>
  </si>
  <si>
    <t>3147</t>
  </si>
  <si>
    <t>PRAIRIE</t>
  </si>
  <si>
    <t>3148</t>
  </si>
  <si>
    <t>PAWNEE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</si>
  <si>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</si>
  <si>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</si>
  <si>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</si>
  <si>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</si>
  <si>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</si>
  <si>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</si>
  <si>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</si>
  <si>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</si>
  <si>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</si>
  <si>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Transportation Fund</t>
  </si>
  <si>
    <t>Special Building and Tech Fund</t>
  </si>
  <si>
    <t>General fund</t>
  </si>
  <si>
    <t>Bond fund</t>
  </si>
  <si>
    <t>Special Building &amp; Tech Fund</t>
  </si>
  <si>
    <t>All Funds taxes, Excluding Bond</t>
  </si>
  <si>
    <t xml:space="preserve">    Total Mills</t>
  </si>
  <si>
    <t>Total $ Property Tax</t>
  </si>
  <si>
    <t>District Name</t>
  </si>
  <si>
    <t>Total</t>
  </si>
  <si>
    <t>Property Tax Mill Levy</t>
  </si>
  <si>
    <t xml:space="preserve">In compliance with Colorado Revised Statute 22-40-102(6), this is to certify that the </t>
  </si>
  <si>
    <t>and is comprised of the following:</t>
  </si>
  <si>
    <t>FUND</t>
  </si>
  <si>
    <t>Mill Total</t>
  </si>
  <si>
    <t xml:space="preserve">Total Program </t>
  </si>
  <si>
    <t>Hold Harmless</t>
  </si>
  <si>
    <t>Abatement</t>
  </si>
  <si>
    <t>Special Building &amp; Technology</t>
  </si>
  <si>
    <t>Total Non-General Fund</t>
  </si>
  <si>
    <t>Voter Approved Mill Levy Override/s</t>
  </si>
  <si>
    <t xml:space="preserve">portion that is "Applied" to Total Program.  </t>
  </si>
  <si>
    <t>CDE Mill Levy Certification Form</t>
  </si>
  <si>
    <t xml:space="preserve">Annual Residential Taxes </t>
  </si>
  <si>
    <t>Street Address</t>
  </si>
  <si>
    <t>City, State Zip</t>
  </si>
  <si>
    <t>Name</t>
  </si>
  <si>
    <t>Superintendent</t>
  </si>
  <si>
    <t>Chief Financial Officer</t>
  </si>
  <si>
    <t xml:space="preserve">      a.  Hold harmless </t>
  </si>
  <si>
    <t xml:space="preserve">      b.  Excess hold harmless</t>
  </si>
  <si>
    <t>Voter Approved Override</t>
  </si>
  <si>
    <t>Check Figure Must be Zero</t>
  </si>
  <si>
    <t>13. Total</t>
  </si>
  <si>
    <t>Auto Populate with Cell G2 = District Code</t>
  </si>
  <si>
    <t>Color Code</t>
  </si>
  <si>
    <t>School District  Final Mill Certified:</t>
  </si>
  <si>
    <t>Data Pulled from Calculation Worksheet</t>
  </si>
  <si>
    <t>Net Program Mills</t>
  </si>
  <si>
    <t>Total Program Mill</t>
  </si>
  <si>
    <t>Excess Hold Harmless</t>
  </si>
  <si>
    <t>Voter Approved Total</t>
  </si>
  <si>
    <t xml:space="preserve">    Total General Fund</t>
  </si>
  <si>
    <t>Primary County</t>
  </si>
  <si>
    <t xml:space="preserve">  1995 Hold Harmless Fixed $ Amount (Row 78-V6 Calculation Worksheet)</t>
  </si>
  <si>
    <t>Percentage Calculated</t>
  </si>
  <si>
    <t xml:space="preserve"> 10.  Special Building and Technology</t>
  </si>
  <si>
    <t xml:space="preserve">The millage total is based on a net assessed value of: </t>
  </si>
  <si>
    <t>SOT, through the pipeline submission.  That number is applied to the previous</t>
  </si>
  <si>
    <t>Calculation of County Tax Collection Rate</t>
  </si>
  <si>
    <t xml:space="preserve">  Budget for County fees/Treasurer Fee</t>
  </si>
  <si>
    <t>Creates the resolution for the Board of Education to Certify the Mills in December</t>
  </si>
  <si>
    <t>Mill Levy Certification</t>
  </si>
  <si>
    <t>DATE of BOE Approval</t>
  </si>
  <si>
    <t xml:space="preserve"> Throughout the file the Color code is:</t>
  </si>
  <si>
    <t xml:space="preserve">  </t>
  </si>
  <si>
    <t>Basics</t>
  </si>
  <si>
    <t xml:space="preserve">Header: Comparing Previous Year to Current Year </t>
  </si>
  <si>
    <t>2A</t>
  </si>
  <si>
    <t>2B</t>
  </si>
  <si>
    <t>DON'T PRESENT THIS PAGE</t>
  </si>
  <si>
    <t>* This is calculated by  taking Total Program before the Budget Stabilization Factor, then dividing by the net assessed valuation.  As if there was no State Equalization</t>
  </si>
  <si>
    <t>* Tax Increment Financing districts in your district split off property taxes related to approved TIF districts.</t>
  </si>
  <si>
    <t>Categorical Buyout Mills</t>
  </si>
  <si>
    <t xml:space="preserve"> 11.  Supplemental capital construction,  technology, &amp; maintenance Fund</t>
  </si>
  <si>
    <t>Column E Location/Link on Calculation Worksheet</t>
  </si>
  <si>
    <t>5c. Total Voter Approved Override</t>
  </si>
  <si>
    <t>County #1</t>
  </si>
  <si>
    <t>County #2</t>
  </si>
  <si>
    <t>County #3</t>
  </si>
  <si>
    <t>County #4</t>
  </si>
  <si>
    <t>August Column Comments</t>
  </si>
  <si>
    <t>Provided by County Assessor</t>
  </si>
  <si>
    <t>Provided by Assessor (may not be included)</t>
  </si>
  <si>
    <t>Cell C1</t>
  </si>
  <si>
    <t>Supplm. Cap Constr, Tech, Def Maint</t>
  </si>
  <si>
    <t>First thing</t>
  </si>
  <si>
    <t xml:space="preserve"> by HB20-1480</t>
  </si>
  <si>
    <t>Academy 20</t>
  </si>
  <si>
    <t>Not Provided</t>
  </si>
  <si>
    <t>Details for #12 other</t>
  </si>
  <si>
    <t xml:space="preserve">* The gross assessed valuation comes from the County's certification of valuation.  </t>
  </si>
  <si>
    <t xml:space="preserve">* Tax Abatements are found on the same certification of valuation.  This amount is important since it allows for the </t>
  </si>
  <si>
    <t>Only used for districts that are fully funded by Local Property tax. Can vary year to year. Contact Tim Kahle</t>
  </si>
  <si>
    <t>Total General Fund Mill Levy</t>
  </si>
  <si>
    <t>* District is responsible for calculating the bond redemption mill levy based upon the amount need to pay the UPCOMING June and Dec Interest &amp; Principal payments. Every ballot question lists a maximum annual amount that can be collected.  DO NOT EXCEED.</t>
  </si>
  <si>
    <t>*Total Mills across all Funds</t>
  </si>
  <si>
    <t>ONLY FULLY LOCALLY FUNDED Based on Aug 25 NAV</t>
  </si>
  <si>
    <t>No Need to Calculate with change in Dec AV from Aug 25</t>
  </si>
  <si>
    <t>Calculation-Locked</t>
  </si>
  <si>
    <t>Pulls info from Calc Worksheet Tab and Hidden Tabs</t>
  </si>
  <si>
    <t>Caution: Do NOT certify more than the maximum allowable per bond question</t>
  </si>
  <si>
    <t>* The lesser of number of mills needed to get to total program, mill levy just prior to de-taboring year or 27 mills.</t>
  </si>
  <si>
    <t>14. Estimated Full Funding Mill Levy</t>
  </si>
  <si>
    <t>15. Projected Gross Funding from State (Before budget stabilization factor)</t>
  </si>
  <si>
    <t>Bond Fund</t>
  </si>
  <si>
    <t xml:space="preserve">Transportation Fund </t>
  </si>
  <si>
    <t>Suppl. Capital Construct., Tech, &amp; Maint Fund</t>
  </si>
  <si>
    <t>Input District Name</t>
  </si>
  <si>
    <t>Input two-digit date of Board session</t>
  </si>
  <si>
    <t>Input by District</t>
  </si>
  <si>
    <t>Calculation Worksheet tab.</t>
  </si>
  <si>
    <t xml:space="preserve">The information on this sheet is pulled from the </t>
  </si>
  <si>
    <t>DON'T PRINT ABOVE THIS LINE. PRINT RANGE IS A13-C45</t>
  </si>
  <si>
    <t>Signature of Board of Education President</t>
  </si>
  <si>
    <t>Print this off and have BOE President sign.</t>
  </si>
  <si>
    <t xml:space="preserve">Estimated Full Funding Mill Levy </t>
  </si>
  <si>
    <t xml:space="preserve">Projected Gross Funding from State </t>
  </si>
  <si>
    <t>Form Completed By:</t>
  </si>
  <si>
    <t>LINK FOR DATA SUBMISSION</t>
  </si>
  <si>
    <t>12/15/2024 Total</t>
  </si>
  <si>
    <t>FY25 Actual $</t>
  </si>
  <si>
    <t>FY25 Actual Mills</t>
  </si>
  <si>
    <t>Property Tax Year 2025</t>
  </si>
  <si>
    <t>DON'T PRINT ABOVE THIS ROW.  PRINT RANGE IS A11-F82</t>
  </si>
  <si>
    <r>
      <t xml:space="preserve">PRINT RANGE IS B2-K38 </t>
    </r>
    <r>
      <rPr>
        <b/>
        <sz val="16"/>
        <color rgb="FF7030A0"/>
        <rFont val="Times New Roman"/>
        <family val="1"/>
      </rPr>
      <t>(change values manually)</t>
    </r>
  </si>
  <si>
    <t>The Tab is Protected</t>
  </si>
  <si>
    <t>TABS within the file:</t>
  </si>
  <si>
    <t>CALCULATION WORKSHEET tab instructions:</t>
  </si>
  <si>
    <t>therefore, the dollar amount certified most likely will be more or less than the actual value from the ballot question.</t>
  </si>
  <si>
    <t>to three decimal points, and the dollar value that the rounded mill calculates.</t>
  </si>
  <si>
    <t>Review your Bond Schedule and add the amount to certify to pay for Interest &amp; Principal Payments</t>
  </si>
  <si>
    <t>to calculate the needed Mills.  Make sure to NOT certify more than the maximum allowable from the ballot question.</t>
  </si>
  <si>
    <t>Use the same procedure as above for calculating a flat $ amount.</t>
  </si>
  <si>
    <t>Use the same procedure as above for calculating a Flat $ amount or fixed Mill.</t>
  </si>
  <si>
    <t>If the override is a Fixed Mill Levy, per the ballot question, INPUT the mill levy to three decimal</t>
  </si>
  <si>
    <t>If the Override is a fixed $ amount, per the Ballot Question, INPUT the $ amount in Column K.</t>
  </si>
  <si>
    <t xml:space="preserve"> actual Ballot Question value, due to rounding to 3rd decimal point.</t>
  </si>
  <si>
    <t>NOTE: The SOT is calculated using the previous year's reported</t>
  </si>
  <si>
    <t>year's mills; Total Mills less voter approved GF MLOs and Bond Fund Mills</t>
  </si>
  <si>
    <t>divided by Total Mills</t>
  </si>
  <si>
    <t>Treasurer Fee on your property tax distribution).</t>
  </si>
  <si>
    <t>residential and commercial assets.</t>
  </si>
  <si>
    <t>and Commercial categories, the calculation will be a bit skewed.</t>
  </si>
  <si>
    <r>
      <rPr>
        <b/>
        <sz val="14"/>
        <color rgb="FF000000"/>
        <rFont val="Times New Roman"/>
        <family val="1"/>
      </rPr>
      <t>Cover</t>
    </r>
    <r>
      <rPr>
        <sz val="14"/>
        <color rgb="FF000000"/>
        <rFont val="Times New Roman"/>
        <family val="1"/>
      </rPr>
      <t>: Customize for Specific District-Logo</t>
    </r>
  </si>
  <si>
    <r>
      <rPr>
        <b/>
        <sz val="14"/>
        <color rgb="FF000000"/>
        <rFont val="Times New Roman"/>
        <family val="1"/>
      </rPr>
      <t>BOE Resolution</t>
    </r>
    <r>
      <rPr>
        <sz val="14"/>
        <color rgb="FF000000"/>
        <rFont val="Times New Roman"/>
        <family val="1"/>
      </rPr>
      <t>: Pre-Populated Values &amp; District specific Self-Populated information -</t>
    </r>
    <r>
      <rPr>
        <b/>
        <sz val="14"/>
        <color theme="9" tint="-0.249977111117893"/>
        <rFont val="Times New Roman"/>
        <family val="1"/>
      </rPr>
      <t>TAB PROTECTED</t>
    </r>
    <r>
      <rPr>
        <sz val="14"/>
        <color rgb="FF000000"/>
        <rFont val="Times New Roman"/>
        <family val="1"/>
      </rPr>
      <t xml:space="preserve"> except yellow highlighted cells</t>
    </r>
  </si>
  <si>
    <r>
      <rPr>
        <b/>
        <sz val="14"/>
        <color rgb="FF000000"/>
        <rFont val="Times New Roman"/>
        <family val="1"/>
      </rPr>
      <t>Calculation Worksheet</t>
    </r>
    <r>
      <rPr>
        <sz val="14"/>
        <color rgb="FF000000"/>
        <rFont val="Times New Roman"/>
        <family val="1"/>
      </rPr>
      <t>: This is the tab that is used to calculate the dollar and mill amounts and populates the other tabs</t>
    </r>
  </si>
  <si>
    <r>
      <rPr>
        <b/>
        <sz val="14"/>
        <color rgb="FF000000"/>
        <rFont val="Times New Roman"/>
        <family val="1"/>
      </rPr>
      <t>Calculation Worksheet: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theme="9" tint="-0.249977111117893"/>
        <rFont val="Times New Roman"/>
        <family val="1"/>
      </rPr>
      <t>TAB PROTECTED</t>
    </r>
    <r>
      <rPr>
        <sz val="14"/>
        <color rgb="FF000000"/>
        <rFont val="Times New Roman"/>
        <family val="1"/>
      </rPr>
      <t>, except yellow highlighted cells &amp; red text date cells</t>
    </r>
  </si>
  <si>
    <r>
      <rPr>
        <b/>
        <sz val="14"/>
        <color rgb="FF000000"/>
        <rFont val="Times New Roman"/>
        <family val="1"/>
      </rPr>
      <t xml:space="preserve">CDE Mill Levy Certification Form: </t>
    </r>
    <r>
      <rPr>
        <b/>
        <sz val="14"/>
        <color theme="9" tint="-0.249977111117893"/>
        <rFont val="Times New Roman"/>
        <family val="1"/>
      </rPr>
      <t>TAB PROTECTED</t>
    </r>
    <r>
      <rPr>
        <sz val="14"/>
        <color rgb="FF000000"/>
        <rFont val="Times New Roman"/>
        <family val="1"/>
      </rPr>
      <t xml:space="preserve"> except the yellow highlighted cells</t>
    </r>
  </si>
  <si>
    <r>
      <t xml:space="preserve">Assessor will provide Preliminary AV in August and Final AV in late November/Early December </t>
    </r>
    <r>
      <rPr>
        <b/>
        <i/>
        <sz val="14"/>
        <color rgb="FF000000"/>
        <rFont val="Times New Roman"/>
        <family val="1"/>
      </rPr>
      <t>(CONTACT ASSESSOR for ETA).</t>
    </r>
  </si>
  <si>
    <r>
      <rPr>
        <b/>
        <sz val="14"/>
        <color rgb="FF000000"/>
        <rFont val="Times New Roman"/>
        <family val="1"/>
      </rPr>
      <t>Best Practice:</t>
    </r>
    <r>
      <rPr>
        <sz val="14"/>
        <color rgb="FF000000"/>
        <rFont val="Times New Roman"/>
        <family val="1"/>
      </rPr>
      <t xml:space="preserve"> show previous year values and change. </t>
    </r>
    <r>
      <rPr>
        <b/>
        <sz val="14"/>
        <color rgb="FF000000"/>
        <rFont val="Times New Roman"/>
        <family val="1"/>
      </rPr>
      <t>Cells E14-E16</t>
    </r>
    <r>
      <rPr>
        <sz val="14"/>
        <color rgb="FF000000"/>
        <rFont val="Times New Roman"/>
        <family val="1"/>
      </rPr>
      <t>.</t>
    </r>
  </si>
  <si>
    <r>
      <t xml:space="preserve">Districts need to combine all abatement amounts from </t>
    </r>
    <r>
      <rPr>
        <i/>
        <sz val="14"/>
        <color rgb="FF000000"/>
        <rFont val="Times New Roman"/>
        <family val="1"/>
      </rPr>
      <t>all</t>
    </r>
    <r>
      <rPr>
        <sz val="14"/>
        <color rgb="FF000000"/>
        <rFont val="Times New Roman"/>
        <family val="1"/>
      </rPr>
      <t xml:space="preserve"> Certificates of Valuations into the General Fund (General, Bond, Capital, MLO, etc).</t>
    </r>
  </si>
  <si>
    <r>
      <rPr>
        <b/>
        <sz val="14"/>
        <color rgb="FF000000"/>
        <rFont val="Times New Roman"/>
        <family val="1"/>
      </rPr>
      <t>Concept to Understand</t>
    </r>
    <r>
      <rPr>
        <sz val="14"/>
        <color rgb="FF000000"/>
        <rFont val="Times New Roman"/>
        <family val="1"/>
      </rPr>
      <t>: The correct Mill Levy is calculated to the rounded 3rd decimal point;</t>
    </r>
  </si>
  <si>
    <r>
      <t xml:space="preserve">Best Practice: </t>
    </r>
    <r>
      <rPr>
        <sz val="14"/>
        <color rgb="FF000000"/>
        <rFont val="Times New Roman"/>
        <family val="1"/>
      </rPr>
      <t>have a copy of every Ballot Question</t>
    </r>
    <r>
      <rPr>
        <b/>
        <sz val="14"/>
        <color rgb="FF000000"/>
        <rFont val="Times New Roman"/>
        <family val="1"/>
      </rPr>
      <t xml:space="preserve"> to check language/amounts.</t>
    </r>
  </si>
  <si>
    <r>
      <rPr>
        <b/>
        <sz val="14"/>
        <color rgb="FF000000"/>
        <rFont val="Times New Roman"/>
        <family val="1"/>
      </rPr>
      <t>NOTE</t>
    </r>
    <r>
      <rPr>
        <b/>
        <i/>
        <sz val="14"/>
        <color rgb="FF000000"/>
        <rFont val="Times New Roman"/>
        <family val="1"/>
      </rPr>
      <t xml:space="preserve">: the $ amount most likely will be more or less than the </t>
    </r>
  </si>
  <si>
    <t xml:space="preserve">All Abatements for each Certificate of Valuation are certified within the General Fund (General, Bond, MLO, etc.) </t>
  </si>
  <si>
    <t>Calculations based on inputs above:</t>
  </si>
  <si>
    <r>
      <t xml:space="preserve">  Voter Approved Override</t>
    </r>
    <r>
      <rPr>
        <sz val="12"/>
        <color rgb="FFC00000"/>
        <rFont val="Calibri"/>
        <family val="2"/>
      </rPr>
      <t xml:space="preserve"> (</t>
    </r>
    <r>
      <rPr>
        <b/>
        <sz val="12"/>
        <color rgb="FFC00000"/>
        <rFont val="Calibri"/>
        <family val="2"/>
      </rPr>
      <t>Date</t>
    </r>
    <r>
      <rPr>
        <sz val="12"/>
        <color rgb="FFC00000"/>
        <rFont val="Calibri"/>
        <family val="2"/>
      </rPr>
      <t>)</t>
    </r>
    <r>
      <rPr>
        <sz val="12"/>
        <color theme="1"/>
        <rFont val="Calibri"/>
        <family val="2"/>
      </rPr>
      <t xml:space="preserve"> Fixed $ or Fixed Mill</t>
    </r>
  </si>
  <si>
    <r>
      <t xml:space="preserve">  Voter Approved Override</t>
    </r>
    <r>
      <rPr>
        <sz val="12"/>
        <color rgb="FFC00000"/>
        <rFont val="Calibri"/>
        <family val="2"/>
      </rPr>
      <t xml:space="preserve"> (</t>
    </r>
    <r>
      <rPr>
        <b/>
        <sz val="12"/>
        <color rgb="FFC00000"/>
        <rFont val="Calibri"/>
        <family val="2"/>
      </rPr>
      <t>Date</t>
    </r>
    <r>
      <rPr>
        <sz val="12"/>
        <color rgb="FFC00000"/>
        <rFont val="Calibri"/>
        <family val="2"/>
      </rPr>
      <t xml:space="preserve">) </t>
    </r>
    <r>
      <rPr>
        <sz val="12"/>
        <color theme="1"/>
        <rFont val="Calibri"/>
        <family val="2"/>
      </rPr>
      <t>Fixed $ or Fixed Mill</t>
    </r>
  </si>
  <si>
    <r>
      <t xml:space="preserve">  Voter Approved Override </t>
    </r>
    <r>
      <rPr>
        <sz val="12"/>
        <color rgb="FFC00000"/>
        <rFont val="Calibri"/>
        <family val="2"/>
      </rPr>
      <t>(</t>
    </r>
    <r>
      <rPr>
        <b/>
        <sz val="12"/>
        <color rgb="FFC00000"/>
        <rFont val="Calibri"/>
        <family val="2"/>
      </rPr>
      <t>Date</t>
    </r>
    <r>
      <rPr>
        <sz val="12"/>
        <color rgb="FFC00000"/>
        <rFont val="Calibri"/>
        <family val="2"/>
      </rPr>
      <t>)</t>
    </r>
    <r>
      <rPr>
        <sz val="12"/>
        <color theme="1"/>
        <rFont val="Calibri"/>
        <family val="2"/>
      </rPr>
      <t xml:space="preserve"> Fixed $ or Fixed Mill</t>
    </r>
  </si>
  <si>
    <r>
      <t xml:space="preserve">  Voter Approved Override </t>
    </r>
    <r>
      <rPr>
        <sz val="12"/>
        <color rgb="FFC00000"/>
        <rFont val="Calibri"/>
        <family val="2"/>
      </rPr>
      <t>(</t>
    </r>
    <r>
      <rPr>
        <b/>
        <sz val="12"/>
        <color rgb="FFC00000"/>
        <rFont val="Calibri"/>
        <family val="2"/>
      </rPr>
      <t>Date</t>
    </r>
    <r>
      <rPr>
        <sz val="12"/>
        <color rgb="FFC00000"/>
        <rFont val="Calibri"/>
        <family val="2"/>
      </rPr>
      <t xml:space="preserve">) </t>
    </r>
    <r>
      <rPr>
        <sz val="12"/>
        <color theme="1"/>
        <rFont val="Calibri"/>
        <family val="2"/>
      </rPr>
      <t>Fixed $ or Fixed Mill</t>
    </r>
  </si>
  <si>
    <t>Inputs for calculations below:</t>
  </si>
  <si>
    <t>12/15/25 Gross Assessed Value</t>
  </si>
  <si>
    <t>12/15/25 Tax Incremental Financing</t>
  </si>
  <si>
    <t>12/15/25 NET ASSESSED VALUE</t>
  </si>
  <si>
    <t xml:space="preserve">12/15/25 Abatements  </t>
  </si>
  <si>
    <t>12/15/2025 Total</t>
  </si>
  <si>
    <t>Section 1</t>
  </si>
  <si>
    <t>Section 2</t>
  </si>
  <si>
    <t>District Mills - December 2025 for Taxes collected 2026</t>
  </si>
  <si>
    <t>General Fund MLO (if Assessor separates)</t>
  </si>
  <si>
    <t>TOTAL ABATEMENTS</t>
  </si>
  <si>
    <t>TOTAL ASSESSED VALUATIONS</t>
  </si>
  <si>
    <t>Assessed Valuation and Abatements</t>
  </si>
  <si>
    <r>
      <t xml:space="preserve"> Valuation Year</t>
    </r>
    <r>
      <rPr>
        <sz val="14"/>
        <rFont val="Calibri"/>
        <family val="2"/>
      </rPr>
      <t xml:space="preserve"> 2025 to be collected in 2026</t>
    </r>
  </si>
  <si>
    <t>District Input Areas</t>
  </si>
  <si>
    <t>Locked Calculations</t>
  </si>
  <si>
    <t>Abatments by Fund and County</t>
  </si>
  <si>
    <t>Assessed Valuations by County</t>
  </si>
  <si>
    <t>Percentage Change in NET A.V. from Prior Year</t>
  </si>
  <si>
    <t>Prior Year</t>
  </si>
  <si>
    <t>Current Year</t>
  </si>
  <si>
    <t>Gross Assessed Value</t>
  </si>
  <si>
    <t>Tax Incremental Financing</t>
  </si>
  <si>
    <t>NET ASSESSED VALUE</t>
  </si>
  <si>
    <t xml:space="preserve"> Dollar Change in NET A.V. from Prior Year</t>
  </si>
  <si>
    <t>GENERAL FUND</t>
  </si>
  <si>
    <t>(Cells are unlocked in case you want to enter your county name/s)</t>
  </si>
  <si>
    <t>Color Codes:</t>
  </si>
  <si>
    <t>VOTER APPROVED MILL LEVY OVERRIDE</t>
  </si>
  <si>
    <t>Debt Free Schools, AKA Supplemental capital construction, technology, &amp; maintenance fund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</si>
  <si>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</si>
  <si>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</si>
  <si>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</si>
  <si>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</si>
  <si>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</si>
  <si>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</si>
  <si>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</si>
  <si>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</si>
  <si>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</si>
  <si>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</si>
  <si>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r>
      <rPr>
        <b/>
        <sz val="14"/>
        <color rgb="FF000000"/>
        <rFont val="Aptos Narrow"/>
        <family val="2"/>
      </rPr>
      <t xml:space="preserve">← </t>
    </r>
    <r>
      <rPr>
        <b/>
        <sz val="14"/>
        <color rgb="FF000000"/>
        <rFont val="Calibri"/>
        <family val="2"/>
      </rPr>
      <t>Enter 4 Digit District code as text</t>
    </r>
  </si>
  <si>
    <t>Voter Approved Mill Levy Overrides</t>
  </si>
  <si>
    <t>First</t>
  </si>
  <si>
    <t>Second</t>
  </si>
  <si>
    <t>Calculation</t>
  </si>
  <si>
    <t>Input Dollar Amount of MLO from Ballot Question</t>
  </si>
  <si>
    <t>Actual Calculated to = Actual $</t>
  </si>
  <si>
    <t>Actual $ Amount from Election Question</t>
  </si>
  <si>
    <t>Round to 3</t>
  </si>
  <si>
    <t>Input Dollar Amount of Bond from Ballot Question or needed to make Payments</t>
  </si>
  <si>
    <t>Bond Fund: Record the Mills Needed to pay Interest &amp; Principal on 6/1/26 &amp; 12/1/26.</t>
  </si>
  <si>
    <t xml:space="preserve">Input Dollar Amount of MLO from Ballot Question </t>
  </si>
  <si>
    <t>Rounded to 3</t>
  </si>
  <si>
    <r>
      <t xml:space="preserve">Input by District - Add override dates </t>
    </r>
    <r>
      <rPr>
        <b/>
        <sz val="14"/>
        <color rgb="FFC00000"/>
        <rFont val="Aptos Narrow"/>
        <family val="2"/>
      </rPr>
      <t>↓</t>
    </r>
  </si>
  <si>
    <t>Special Building and Tech Fund (See Section 7 for Debt Free Schools)</t>
  </si>
  <si>
    <t>Certified $  Amount (Flows to  Cells E81)</t>
  </si>
  <si>
    <t>Other (Loan, Library, Charter School)</t>
  </si>
  <si>
    <t>Certified $  Amount (Flows to  Cells E87)</t>
  </si>
  <si>
    <t>ABATEMENTS</t>
  </si>
  <si>
    <t>Total Program Excess Mills</t>
  </si>
  <si>
    <t>Automatically populates</t>
  </si>
  <si>
    <t>Mills Check (D71-D86-D88-D77)</t>
  </si>
  <si>
    <t>Dollars Check (E71-E86-E88-E77)</t>
  </si>
  <si>
    <r>
      <t xml:space="preserve">Input Column B rounded to three 3 decimal points </t>
    </r>
    <r>
      <rPr>
        <b/>
        <sz val="12"/>
        <color theme="1"/>
        <rFont val="Times New Roman"/>
        <family val="1"/>
      </rPr>
      <t>OR</t>
    </r>
    <r>
      <rPr>
        <sz val="12"/>
        <color theme="1"/>
        <rFont val="Times New Roman"/>
        <family val="1"/>
      </rPr>
      <t xml:space="preserve"> fixed Mill amount</t>
    </r>
  </si>
  <si>
    <t>This mill has a 3 year sunset &amp; Maximum of 10 mills</t>
  </si>
  <si>
    <t>Certified $ Amount</t>
  </si>
  <si>
    <r>
      <t xml:space="preserve">Input Column B rounded to three 3 decimal points </t>
    </r>
    <r>
      <rPr>
        <b/>
        <sz val="12"/>
        <color theme="1"/>
        <rFont val="Times New Roman"/>
        <family val="1"/>
      </rPr>
      <t>OR</t>
    </r>
    <r>
      <rPr>
        <sz val="12"/>
        <color theme="1"/>
        <rFont val="Times New Roman"/>
        <family val="1"/>
      </rPr>
      <t xml:space="preserve">  fixed Mill amount</t>
    </r>
  </si>
  <si>
    <t>Statute requires rounding of all mills to three decimals, so dollar amounts may be slightly higher or lower as a result.</t>
  </si>
  <si>
    <t>This is legislatively expected and acceptable.</t>
  </si>
  <si>
    <t>FY25's Estimated Specific Ownership Tax 10-1120</t>
  </si>
  <si>
    <t>$ of Specific Ownership Taxes applied to FY26's Total Program</t>
  </si>
  <si>
    <t xml:space="preserve">Estimated Specific Ownership Taxes- Percentage (Total Mills Less Bond and General Fund MLO) divided by Total Mills </t>
  </si>
  <si>
    <t>In order to calculate the correct blended rate for your district, you need the Actual Valuation per category.</t>
  </si>
  <si>
    <t>December 15, 2025</t>
  </si>
  <si>
    <t xml:space="preserve">This spreadsheet has many links.  Please double check your work to make sure that links are working properly. </t>
  </si>
  <si>
    <t>It is your responsibility to ensure that all formulas and totals are working properly.</t>
  </si>
  <si>
    <t>The information in Column E is the data used to upload through the Mill Levy System to  CDE, using the link in cell A81.</t>
  </si>
  <si>
    <t xml:space="preserve">The Current year information is populated from the Calculation Worksheet Tab.  The Prior year and August values are populated from other data tabs 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</si>
  <si>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</si>
  <si>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</si>
  <si>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</si>
  <si>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</si>
  <si>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</si>
  <si>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</si>
  <si>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</si>
  <si>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</si>
  <si>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</si>
  <si>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</si>
  <si>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</si>
  <si>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</si>
  <si>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</si>
  <si>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</si>
  <si>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</si>
  <si>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</si>
  <si>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</si>
  <si>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</si>
  <si>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</si>
  <si>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</si>
  <si>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</si>
  <si>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</si>
  <si>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</si>
  <si>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</si>
  <si>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</si>
  <si>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</si>
  <si>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</si>
  <si>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</si>
  <si>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</si>
  <si>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</si>
  <si>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</si>
  <si>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</si>
  <si>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</si>
  <si>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</si>
  <si>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</si>
  <si>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</si>
  <si>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</si>
  <si>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</si>
  <si>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</si>
  <si>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</si>
  <si>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</si>
  <si>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</si>
  <si>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</si>
  <si>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</si>
  <si>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</si>
  <si>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</si>
  <si>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</si>
  <si>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</si>
  <si>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</si>
  <si>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</si>
  <si>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</si>
  <si>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</si>
  <si>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</si>
  <si>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</si>
  <si>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</si>
  <si>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</si>
  <si>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</si>
  <si>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</si>
  <si>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</si>
  <si>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</si>
  <si>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</si>
  <si>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</si>
  <si>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</si>
  <si>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</si>
  <si>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</si>
  <si>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</si>
  <si>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</si>
  <si>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</si>
  <si>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</si>
  <si>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</si>
  <si>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</si>
  <si>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</si>
  <si>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</si>
  <si>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</si>
  <si>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</si>
  <si>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</si>
  <si>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</si>
  <si>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</si>
  <si>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</si>
  <si>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</si>
  <si>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</si>
  <si>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</si>
  <si>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</si>
  <si>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</si>
  <si>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</si>
  <si>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</si>
  <si>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</si>
  <si>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</si>
  <si>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</si>
  <si>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</si>
  <si>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</si>
  <si>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</si>
  <si>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</si>
  <si>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</si>
  <si>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</si>
  <si>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</si>
  <si>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</si>
  <si>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</si>
  <si>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</si>
  <si>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</si>
  <si>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</si>
  <si>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</si>
  <si>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</si>
  <si>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</si>
  <si>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</si>
  <si>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</si>
  <si>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</si>
  <si>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</si>
  <si>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</si>
  <si>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</si>
  <si>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</si>
  <si>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</si>
  <si>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</si>
  <si>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</si>
  <si>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</si>
  <si>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</si>
  <si>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</si>
  <si>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</si>
  <si>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</si>
  <si>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</si>
  <si>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</si>
  <si>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</si>
  <si>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</si>
  <si>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</si>
  <si>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</si>
  <si>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</si>
  <si>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</si>
  <si>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</si>
  <si>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</si>
  <si>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</si>
  <si>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</si>
  <si>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</si>
  <si>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</si>
  <si>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</si>
  <si>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</si>
  <si>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</si>
  <si>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</si>
  <si>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</si>
  <si>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</si>
  <si>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</si>
  <si>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</si>
  <si>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</si>
  <si>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</si>
  <si>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</si>
  <si>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</si>
  <si>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</si>
  <si>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</si>
  <si>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</si>
  <si>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</si>
  <si>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</si>
  <si>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</si>
  <si>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</si>
  <si>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</si>
  <si>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</si>
  <si>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</si>
  <si>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</si>
  <si>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</si>
  <si>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</si>
  <si>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</si>
  <si>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</si>
  <si>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</si>
  <si>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</si>
  <si>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</si>
  <si>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</si>
  <si>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</si>
  <si>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</si>
  <si>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</si>
  <si>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</si>
  <si>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</si>
  <si>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</si>
  <si>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</si>
  <si>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</si>
  <si>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</si>
  <si>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</si>
  <si>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</si>
  <si>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</si>
  <si>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</si>
  <si>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tax year 2025 (to be collected in 2026) at:</t>
  </si>
  <si>
    <t>CDE is not responsible for any errors or discrepancies in the creation of your budget or final certification of mills.</t>
  </si>
  <si>
    <t>Fixed for FY25-Both Aug &amp; Dec, Based off Aug 25's NAV</t>
  </si>
  <si>
    <t>Fiscal Year 2025-26</t>
  </si>
  <si>
    <t>The print section is columns A-F</t>
  </si>
  <si>
    <t>INPUT four digit district code on the Calculation Worksheet tab in cell C1</t>
  </si>
  <si>
    <t xml:space="preserve">Section 1: Establishing Net Assessed Valuation. This is the value that all MILLS and DOLLAR calculations are based on.  </t>
  </si>
  <si>
    <t>Section 2: General Fund Total Program Mill</t>
  </si>
  <si>
    <t>Section 3: General Fund Non-Total Program Mill Calculation</t>
  </si>
  <si>
    <t>Section 4: Bond Fund Principal and Interest Amount Certification</t>
  </si>
  <si>
    <t>Section 5: Transportation Mill Levy Override</t>
  </si>
  <si>
    <t xml:space="preserve">Section 6: Special Building &amp; Tech Fund </t>
  </si>
  <si>
    <t xml:space="preserve">Section 7: Supplemental Capital Construction, Technology, &amp; Maintenance Fund </t>
  </si>
  <si>
    <t>Section 8: Other</t>
  </si>
  <si>
    <t>Section 11: Calculation of Treasurer Fee</t>
  </si>
  <si>
    <t>Section 12: Tax impact for Residential and Commercial Assets</t>
  </si>
  <si>
    <t>Welcome to the Colorado Department of Education (CDE) Mill Levy Calculation Worksheet.</t>
  </si>
  <si>
    <t>This template is designed to assist you and your district with the development, presentation and publication of your District's REQUIRED Mill Levy Certification,</t>
  </si>
  <si>
    <t xml:space="preserve"> including the Board of Education Resolution, Calculation Worksheet, and CDE Mill Levy Certification Form.</t>
  </si>
  <si>
    <t xml:space="preserve"> In addition, it has monthly property tax collection tabs that will assist in tracking collections and </t>
  </si>
  <si>
    <t>aid in the audit entry (Taxes Receivable and Deferred Inflows) to record the difference between Collected and Certified.</t>
  </si>
  <si>
    <r>
      <t xml:space="preserve">INPUT Gross Assessed Valuation from the County's notice of valuation in </t>
    </r>
    <r>
      <rPr>
        <b/>
        <sz val="14"/>
        <color rgb="FF000000"/>
        <rFont val="Times New Roman"/>
        <family val="1"/>
      </rPr>
      <t xml:space="preserve">Cells C10-F10, </t>
    </r>
    <r>
      <rPr>
        <sz val="14"/>
        <color rgb="FF000000"/>
        <rFont val="Times New Roman"/>
        <family val="1"/>
      </rPr>
      <t xml:space="preserve">depending upon how many counties the district has.  </t>
    </r>
  </si>
  <si>
    <r>
      <t xml:space="preserve">INPUT, if applicable, Tax Incremental Financing from the County's notice of valuation in </t>
    </r>
    <r>
      <rPr>
        <b/>
        <sz val="14"/>
        <color rgb="FF000000"/>
        <rFont val="Times New Roman"/>
        <family val="1"/>
      </rPr>
      <t xml:space="preserve">Cells C11-F11, </t>
    </r>
    <r>
      <rPr>
        <sz val="14"/>
        <color rgb="FF000000"/>
        <rFont val="Times New Roman"/>
        <family val="1"/>
      </rPr>
      <t xml:space="preserve">depending upon how many counties the district has. </t>
    </r>
  </si>
  <si>
    <r>
      <t xml:space="preserve">Net Assessed Value is CALCULATED in </t>
    </r>
    <r>
      <rPr>
        <b/>
        <sz val="14"/>
        <color rgb="FF000000"/>
        <rFont val="Times New Roman"/>
        <family val="1"/>
      </rPr>
      <t>Cell D31</t>
    </r>
    <r>
      <rPr>
        <sz val="14"/>
        <color rgb="FF000000"/>
        <rFont val="Times New Roman"/>
        <family val="1"/>
      </rPr>
      <t xml:space="preserve">.  </t>
    </r>
  </si>
  <si>
    <r>
      <t xml:space="preserve">INPUT Abatement $ amount from the County's notice of valuation in </t>
    </r>
    <r>
      <rPr>
        <b/>
        <sz val="14"/>
        <color rgb="FF000000"/>
        <rFont val="Times New Roman"/>
        <family val="1"/>
      </rPr>
      <t>Cells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C16-F22</t>
    </r>
    <r>
      <rPr>
        <sz val="14"/>
        <color rgb="FF000000"/>
        <rFont val="Times New Roman"/>
        <family val="1"/>
      </rPr>
      <t xml:space="preserve">.   </t>
    </r>
  </si>
  <si>
    <t>Rows 43-48 are all calculations pulled from the "CDE Mill Levy Certify Form" tab.</t>
  </si>
  <si>
    <t>Fully Locally Funded Districts Only: Enter Categorical Buyout and Total Program Excess Mills in cells F46 and F47 if any.</t>
  </si>
  <si>
    <t>The worksheet will help calculate the correct mill levy amount, rounded</t>
  </si>
  <si>
    <t>points in Column D. The $ amount will calculate in Column M &amp; populate Columns E.</t>
  </si>
  <si>
    <t>Input Column B rounded to 3 (three) decimal points or Input Fixed Mill amount</t>
  </si>
  <si>
    <r>
      <t xml:space="preserve">The Mill will calculate in Column B. </t>
    </r>
    <r>
      <rPr>
        <b/>
        <sz val="14"/>
        <color rgb="FF000000"/>
        <rFont val="Times New Roman"/>
        <family val="1"/>
      </rPr>
      <t>NOTE</t>
    </r>
    <r>
      <rPr>
        <b/>
        <i/>
        <sz val="14"/>
        <color rgb="FF000000"/>
        <rFont val="Times New Roman"/>
        <family val="1"/>
      </rPr>
      <t>: it is listed to the 4th decimal point.</t>
    </r>
  </si>
  <si>
    <t xml:space="preserve">INPUT the 4 decimal point mill from Column B and input it in Column D, BUT </t>
  </si>
  <si>
    <t>ROUNDED TO 3 DECIMAL POINTS. The correct $ amount will be in column E.</t>
  </si>
  <si>
    <t xml:space="preserve">Rows 58, 59, 77  &amp; 78 are specific to the 1995 Excess &amp; Hold Harmless fixed $ amount. You'll know you should certify </t>
  </si>
  <si>
    <t>this if it is listed on the FY2025-26 District Fund Calculation Worksheet in Rows 46 &amp; 47 of the district's data.</t>
  </si>
  <si>
    <t>In column A, replace the red text with the date of each voter-approved override as applicable.</t>
  </si>
  <si>
    <r>
      <t xml:space="preserve">NOTE: </t>
    </r>
    <r>
      <rPr>
        <b/>
        <i/>
        <sz val="14"/>
        <color rgb="FF000000"/>
        <rFont val="Times New Roman"/>
        <family val="1"/>
      </rPr>
      <t>the Abatement $ amount in Cell B69 is pulling from Cell D35</t>
    </r>
    <r>
      <rPr>
        <b/>
        <sz val="14"/>
        <color rgb="FF000000"/>
        <rFont val="Times New Roman"/>
        <family val="1"/>
      </rPr>
      <t>.</t>
    </r>
  </si>
  <si>
    <t>Section 9: Rows 165-173 provide a summary of all the funds, comparing current &amp; prior year</t>
  </si>
  <si>
    <t>Section 10: Specific Ownership Taxes (SOT) calculation to estimate the portion of SOT applied to FY26 Total Program</t>
  </si>
  <si>
    <t>Rows 177-182 provide the calculation of the Specific Ownership Tax (SOT)</t>
  </si>
  <si>
    <t>Rows 186-188 calculate the County Tax Collection Rate (also known as</t>
  </si>
  <si>
    <t xml:space="preserve">NOTE: Because of the  differing rates within the Residential </t>
  </si>
  <si>
    <t xml:space="preserve">Rows 192-206 provide a summary of the tax impact on $100,000 of both </t>
  </si>
  <si>
    <t>This spreadsheet has many links.  Please double check your work to make sure that links are working properly.</t>
  </si>
  <si>
    <t xml:space="preserve">CDE is not responsible for any errors or discrepancies in the creation of your Mill Levy Certification.    </t>
  </si>
  <si>
    <t>Cell D31</t>
  </si>
  <si>
    <t>Cell D29</t>
  </si>
  <si>
    <t>Cell D30</t>
  </si>
  <si>
    <t>Cell D35</t>
  </si>
  <si>
    <t>Cell F46</t>
  </si>
  <si>
    <t>Cell F47</t>
  </si>
  <si>
    <t xml:space="preserve"> 3. Total Program Excess Mills</t>
  </si>
  <si>
    <t>Fixed for FY25-Both Aug &amp; Dec</t>
  </si>
  <si>
    <t>Cell F48</t>
  </si>
  <si>
    <t>Cell E77</t>
  </si>
  <si>
    <t>Cell E78</t>
  </si>
  <si>
    <t>Cell E86</t>
  </si>
  <si>
    <t>Cell E88</t>
  </si>
  <si>
    <t>Cell E90</t>
  </si>
  <si>
    <t>Cell E105</t>
  </si>
  <si>
    <t>Cell E119</t>
  </si>
  <si>
    <t>Cell E133</t>
  </si>
  <si>
    <t>Cell E147</t>
  </si>
  <si>
    <t>Cell E161</t>
  </si>
  <si>
    <t>12. Other (Loan, Charter School, Library)</t>
  </si>
  <si>
    <t>Cell E172</t>
  </si>
  <si>
    <t>EDAC review stamp. Mandatory Form #PSF-119 EDAC reviewed biennial stamp, 03/07/2025 for 2025-2027</t>
  </si>
  <si>
    <t>(amt to be collected by county)</t>
  </si>
  <si>
    <t>Debt Free Schools: Supplemental Capital Construction, Technology, &amp; Maintenance</t>
  </si>
  <si>
    <t xml:space="preserve"> Submit Data to CDE via State Equal no later than December 15, 2025</t>
  </si>
  <si>
    <t>TOTAL STATE SHARE (GT5)</t>
  </si>
  <si>
    <t>TOTAL PROGRAM FUNDING 
(GT1)</t>
  </si>
  <si>
    <t>Mill Levy to buyout Total Program Funding (ML2)</t>
  </si>
  <si>
    <t>FY26 Actual $</t>
  </si>
  <si>
    <t>FY26 Actual Mills</t>
  </si>
  <si>
    <t>Total FY26 Mills</t>
  </si>
  <si>
    <t>Total FY26 Bond Mills</t>
  </si>
  <si>
    <t xml:space="preserve">Total FY26 General Fund MLO  </t>
  </si>
  <si>
    <t xml:space="preserve">Please note that starting in FY26 there are differing rates within the Residential and Commercial categories of the calculation. </t>
  </si>
  <si>
    <t>SYNCPLICITY LINK FOR DOCUMENT SUBMISSION</t>
  </si>
  <si>
    <t>FY2025-26 District Funding Calculation Worksheet - HB25-1420 Approved May 14, 2025 - New Formula with HB25-1320 tab</t>
  </si>
  <si>
    <t xml:space="preserve">  1995 Hold Harmless Fixed $ Amount (Row 46-V32 on New Formula with HB25-1320 tab of District Funding Calculation Worksheet)</t>
  </si>
  <si>
    <t>Excess Hold Harmless (Row 47-V33 on New Formula with HB25-1320 tab of District Funding Calculation Worksheet)</t>
  </si>
  <si>
    <t>V32 - Hold Harmless</t>
  </si>
  <si>
    <t>V33 - Excess Hold Harmless</t>
  </si>
  <si>
    <t>District Funding Calculation Worksheet - HB25-1320 - New Formula with HB25-1320 tab</t>
  </si>
  <si>
    <t>FY 25/26</t>
  </si>
  <si>
    <t>ESTIMATED FY25/26</t>
  </si>
  <si>
    <t>PRIMARY COUNTY</t>
  </si>
  <si>
    <t>NET ASSESSED VALUATION
(Column D minus column E)</t>
  </si>
  <si>
    <t>ABATEMENT</t>
  </si>
  <si>
    <t>ABATEMENTS (sum of total)</t>
  </si>
  <si>
    <t>TOTAL PROGRAM/GENERAL FUND MILLS 
(Sum of columns J through P)</t>
  </si>
  <si>
    <t>TRANSPORTATION 
MILLS</t>
  </si>
  <si>
    <t>SPECIAL BUILDING AND TECH FUND MILLS 
(Sum of Total)</t>
  </si>
  <si>
    <t>DEBT FREE SCHOOLS MILLS/ SUPPLEMENTAL CAPTIAL CONTRUCTION, TECHNOLOGY AND MAINT. FUND MILLS
(Sum of Total)</t>
  </si>
  <si>
    <t>TOTAL MILL LEVY
(Sum of columns Q through V)</t>
  </si>
  <si>
    <t>August 2025 County Certification Valuation Totals (Formulas)</t>
  </si>
  <si>
    <t>TOTAL 
PROGRAM
HB20-1418</t>
  </si>
  <si>
    <t>TEMPORARY 
TAX CREDIT
HB20-1418</t>
  </si>
  <si>
    <t>FY25/26 GENERAL MILLS AND MILLS FROM MILL LEVY CERTIFICATION TAB</t>
  </si>
  <si>
    <t xml:space="preserve">CATEGORICAL 
BUYOUT MILLS </t>
  </si>
  <si>
    <t xml:space="preserve">TOTAL PROGRAM 
EXCESS MILLS </t>
  </si>
  <si>
    <t>1995 HOLD 
HARMLESS</t>
  </si>
  <si>
    <t>EXCESS HOLD 
HARMLESS</t>
  </si>
  <si>
    <t>VOTER APPROVED OVERRIDE MILLS 
(sum of total)</t>
  </si>
  <si>
    <t>OTHER 
MILLS</t>
  </si>
  <si>
    <t>Version</t>
  </si>
  <si>
    <t>GENERAL FUND 
MILLS (Generally Column D minus Column E, but a district may report less if fully locally funded)</t>
  </si>
  <si>
    <t>12/8/2025 - 9.35am(2)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</si>
</sst>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0_);\(#,##0.000\)"/>
    <numFmt numFmtId="166" formatCode="#,##0.0000_);\(#,##0.0000\)"/>
    <numFmt numFmtId="167" formatCode="#,##0.000000000_);\(#,##0.000000000\)"/>
    <numFmt numFmtId="168" formatCode="#,##0.000_);[Red]\(#,##0.000\)"/>
    <numFmt numFmtId="169" formatCode="0.0000"/>
    <numFmt numFmtId="170" formatCode="0.000"/>
    <numFmt numFmtId="171" formatCode="#,##0.0"/>
    <numFmt numFmtId="172" formatCode="#,##0.000"/>
    <numFmt numFmtId="173" formatCode="[$-409]mmmm\ d\,\ yyyy;@"/>
    <numFmt numFmtId="174" formatCode="&quot;$&quot;#,##0"/>
    <numFmt numFmtId="175" formatCode="&quot;$&quot;#,##0.00"/>
    <numFmt numFmtId="176" formatCode="_(* #,##0.000_);_(* \(#,##0.000\);_(* &quot;-&quot;???_);_(@_)"/>
    <numFmt numFmtId="177" formatCode="#,##0;\-#,##0"/>
    <numFmt numFmtId="178" formatCode="#,##0.00;\-#,##0.00"/>
    <numFmt numFmtId="179" formatCode="###0.00;\-###0.00"/>
    <numFmt numFmtId="180" formatCode="[&lt;=9999999]###\-####;\(###\)\ ###\-####"/>
    <numFmt numFmtId="181" formatCode="#,##0.0000"/>
    <numFmt numFmtId="182" formatCode="0000"/>
    <numFmt numFmtId="183" formatCode="&quot;$&quot;#,##0.000"/>
    <numFmt numFmtId="184" formatCode="&quot;$&quot;#,##0.0"/>
  </numFmts>
  <fonts count="132" x14ac:knownFonts="1">
    <font>
      <sz val="10"/>
      <color rgb="FF000000"/>
      <name val="Courier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1"/>
      <color theme="1"/>
      <name val="Courier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ourier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ourier"/>
      <family val="2"/>
      <scheme val="minor"/>
    </font>
    <font>
      <sz val="10"/>
      <name val="Arial"/>
      <family val="2"/>
    </font>
    <font>
      <b/>
      <sz val="9"/>
      <color rgb="FF000000"/>
      <name val="Tahoma"/>
      <family val="2"/>
    </font>
    <font>
      <sz val="10"/>
      <color rgb="FF000000"/>
      <name val="Courier"/>
      <scheme val="minor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name val="Times New Roman"/>
      <family val="1"/>
    </font>
    <font>
      <sz val="14"/>
      <color theme="1"/>
      <name val="Courier"/>
      <family val="2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8"/>
      <color rgb="FF000000"/>
      <name val="Times New Roman"/>
      <family val="1"/>
    </font>
    <font>
      <b/>
      <sz val="11"/>
      <color rgb="FFFF0000"/>
      <name val="Courier"/>
      <family val="2"/>
      <scheme val="minor"/>
    </font>
    <font>
      <sz val="10"/>
      <name val="Arial"/>
      <family val="2"/>
    </font>
    <font>
      <b/>
      <sz val="24"/>
      <color theme="1"/>
      <name val="Times New Roman"/>
      <family val="1"/>
    </font>
    <font>
      <u/>
      <sz val="10"/>
      <color theme="10"/>
      <name val="Courier"/>
      <scheme val="minor"/>
    </font>
    <font>
      <sz val="16"/>
      <color theme="1"/>
      <name val="Courier"/>
      <family val="2"/>
      <scheme val="minor"/>
    </font>
    <font>
      <b/>
      <sz val="16"/>
      <name val="Times New Roman"/>
      <family val="1"/>
    </font>
    <font>
      <b/>
      <sz val="16"/>
      <color theme="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8"/>
      <color rgb="FF7030A0"/>
      <name val="Times New Roman"/>
      <family val="1"/>
    </font>
    <font>
      <b/>
      <sz val="11"/>
      <color rgb="FF7030A0"/>
      <name val="Courier"/>
      <family val="2"/>
      <scheme val="minor"/>
    </font>
    <font>
      <b/>
      <sz val="16"/>
      <color rgb="FF7030A0"/>
      <name val="Times New Roman"/>
      <family val="1"/>
    </font>
    <font>
      <b/>
      <sz val="22"/>
      <color theme="1"/>
      <name val="Times New Roman"/>
      <family val="1"/>
    </font>
    <font>
      <sz val="8"/>
      <name val="Courier"/>
      <scheme val="minor"/>
    </font>
    <font>
      <sz val="16"/>
      <color rgb="FF000000"/>
      <name val="Times New Roman"/>
      <family val="1"/>
    </font>
    <font>
      <sz val="16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6"/>
      <color rgb="FF550580"/>
      <name val="Times New Roman"/>
      <family val="1"/>
    </font>
    <font>
      <b/>
      <sz val="20"/>
      <name val="Times New Roman"/>
      <family val="1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C00000"/>
      <name val="Arial"/>
      <family val="2"/>
    </font>
    <font>
      <b/>
      <sz val="14"/>
      <color rgb="FF000000"/>
      <name val="Times New Roman"/>
      <family val="1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2"/>
      <name val="Arial"/>
      <family val="2"/>
    </font>
    <font>
      <u/>
      <sz val="24"/>
      <color theme="10"/>
      <name val="Arial"/>
      <family val="2"/>
    </font>
    <font>
      <b/>
      <sz val="14"/>
      <color rgb="FF7030A0"/>
      <name val="Times New Roman"/>
      <family val="1"/>
    </font>
    <font>
      <b/>
      <sz val="14"/>
      <color rgb="FF7030A0"/>
      <name val="Courier"/>
      <family val="2"/>
      <scheme val="minor"/>
    </font>
    <font>
      <b/>
      <sz val="14"/>
      <color theme="9" tint="-0.249977111117893"/>
      <name val="Times New Roman"/>
      <family val="1"/>
    </font>
    <font>
      <sz val="14"/>
      <color rgb="FFFF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rgb="FF0070C0"/>
      <name val="Calibri"/>
      <family val="2"/>
    </font>
    <font>
      <sz val="12"/>
      <color rgb="FF0070C0"/>
      <name val="Calibri"/>
      <family val="2"/>
    </font>
    <font>
      <b/>
      <sz val="14"/>
      <color theme="1"/>
      <name val="Calibri"/>
      <family val="2"/>
    </font>
    <font>
      <b/>
      <sz val="20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theme="4" tint="-0.249977111117893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b/>
      <u/>
      <sz val="12"/>
      <color theme="1"/>
      <name val="Calibri"/>
      <family val="2"/>
    </font>
    <font>
      <u/>
      <sz val="15"/>
      <color theme="10"/>
      <name val="Calibri"/>
      <family val="2"/>
    </font>
    <font>
      <b/>
      <sz val="18"/>
      <color theme="1"/>
      <name val="Calibri"/>
      <family val="2"/>
    </font>
    <font>
      <b/>
      <i/>
      <sz val="18"/>
      <color theme="1"/>
      <name val="Calibri"/>
      <family val="2"/>
    </font>
    <font>
      <sz val="12"/>
      <color rgb="FFC00000"/>
      <name val="Calibri"/>
      <family val="2"/>
    </font>
    <font>
      <b/>
      <sz val="12"/>
      <color rgb="FFC00000"/>
      <name val="Calibri"/>
      <family val="2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i/>
      <sz val="16"/>
      <color theme="1"/>
      <name val="Calibri"/>
      <family val="2"/>
    </font>
    <font>
      <sz val="14"/>
      <name val="Calibri"/>
      <family val="2"/>
    </font>
    <font>
      <sz val="12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color rgb="FFC00000"/>
      <name val="Aptos Narrow"/>
      <family val="2"/>
    </font>
    <font>
      <b/>
      <sz val="14"/>
      <color rgb="FF000000"/>
      <name val="Aptos Narrow"/>
      <family val="2"/>
    </font>
    <font>
      <b/>
      <sz val="16"/>
      <name val="Calibri"/>
      <family val="2"/>
    </font>
    <font>
      <sz val="12"/>
      <name val="Times New Roman"/>
      <family val="1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rgb="FF0000FF"/>
      <name val="Calibri"/>
      <family val="2"/>
    </font>
    <font>
      <b/>
      <sz val="18"/>
      <color rgb="FF7030A0"/>
      <name val="Arial"/>
      <family val="2"/>
    </font>
    <font>
      <b/>
      <sz val="24"/>
      <color rgb="FF000000"/>
      <name val="Arial"/>
      <family val="2"/>
    </font>
    <font>
      <b/>
      <sz val="12"/>
      <color rgb="FF0070C0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i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ptos"/>
      <family val="2"/>
    </font>
    <font>
      <sz val="12"/>
      <color rgb="FF505050"/>
      <name val="Arial"/>
      <family val="2"/>
    </font>
    <font>
      <u/>
      <sz val="16"/>
      <color theme="10"/>
      <name val="Arial"/>
      <family val="2"/>
    </font>
    <font>
      <sz val="16"/>
      <color theme="1"/>
      <name val="Arial"/>
      <family val="2"/>
    </font>
    <font>
      <sz val="12"/>
      <name val="Arial"/>
      <family val="1"/>
    </font>
    <font>
      <sz val="10"/>
      <color theme="1"/>
      <name val="Segoe UI"/>
      <family val="2"/>
    </font>
    <font>
      <sz val="11"/>
      <color rgb="FF9C6500"/>
      <name val="Courier"/>
      <family val="2"/>
      <scheme val="minor"/>
    </font>
    <font>
      <sz val="11"/>
      <color indexed="8"/>
      <name val="Calibri"/>
      <family val="2"/>
    </font>
    <font>
      <sz val="11"/>
      <name val="Courier"/>
      <family val="2"/>
      <scheme val="minor"/>
    </font>
    <font>
      <sz val="11"/>
      <color theme="1"/>
      <name val="Segoe U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D6E3BC"/>
      </patternFill>
    </fill>
    <fill>
      <patternFill patternType="solid">
        <fgColor theme="8" tint="0.79998168889431442"/>
        <bgColor rgb="FFD6E3BC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4.9989318521683403E-2"/>
        <bgColor rgb="FFD6E3BC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rgb="FFDBB7FF"/>
        <bgColor indexed="64"/>
      </patternFill>
    </fill>
    <fill>
      <patternFill patternType="solid">
        <fgColor rgb="FFFFEB9C"/>
      </patternFill>
    </fill>
    <fill>
      <patternFill patternType="solid">
        <fgColor rgb="FFD3D3D3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37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0" fontId="35" fillId="0" borderId="0"/>
    <xf numFmtId="37" fontId="3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0" fontId="65" fillId="0" borderId="0"/>
    <xf numFmtId="43" fontId="65" fillId="0" borderId="0" applyFont="0" applyFill="0" applyBorder="0" applyAlignment="0" applyProtection="0"/>
    <xf numFmtId="9" fontId="58" fillId="0" borderId="0" applyFont="0" applyFill="0" applyBorder="0" applyAlignment="0" applyProtection="0"/>
    <xf numFmtId="40" fontId="58" fillId="0" borderId="0"/>
    <xf numFmtId="40" fontId="58" fillId="0" borderId="0"/>
    <xf numFmtId="3" fontId="19" fillId="0" borderId="0" applyFont="0" applyFill="0" applyBorder="0" applyAlignment="0" applyProtection="0"/>
    <xf numFmtId="40" fontId="58" fillId="0" borderId="0"/>
    <xf numFmtId="40" fontId="58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5" fillId="0" borderId="0"/>
    <xf numFmtId="43" fontId="125" fillId="0" borderId="0" applyFont="0" applyFill="0" applyBorder="0" applyAlignment="0" applyProtection="0"/>
    <xf numFmtId="44" fontId="12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15" fillId="26" borderId="0"/>
    <xf numFmtId="44" fontId="4" fillId="0" borderId="0" applyFont="0" applyFill="0" applyBorder="0" applyAlignment="0" applyProtection="0"/>
    <xf numFmtId="0" fontId="4" fillId="0" borderId="0"/>
    <xf numFmtId="43" fontId="127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6" fillId="25" borderId="0" applyNumberFormat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3" borderId="14" applyProtection="0"/>
    <xf numFmtId="44" fontId="128" fillId="18" borderId="0"/>
    <xf numFmtId="0" fontId="129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0" fontId="58" fillId="0" borderId="0"/>
    <xf numFmtId="43" fontId="5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3" borderId="14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3" borderId="14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3" borderId="14" applyProtection="0"/>
    <xf numFmtId="44" fontId="21" fillId="0" borderId="0" applyFont="0" applyFill="0" applyBorder="0" applyAlignment="0" applyProtection="0"/>
  </cellStyleXfs>
  <cellXfs count="610">
    <xf numFmtId="37" fontId="0" fillId="0" borderId="0" xfId="0"/>
    <xf numFmtId="0" fontId="17" fillId="0" borderId="0" xfId="1" applyFont="1" applyAlignment="1">
      <alignment horizontal="center"/>
    </xf>
    <xf numFmtId="0" fontId="17" fillId="0" borderId="0" xfId="1" applyFont="1"/>
    <xf numFmtId="0" fontId="16" fillId="0" borderId="0" xfId="1" applyFont="1"/>
    <xf numFmtId="37" fontId="33" fillId="0" borderId="0" xfId="0" applyFont="1"/>
    <xf numFmtId="0" fontId="35" fillId="0" borderId="0" xfId="7"/>
    <xf numFmtId="0" fontId="22" fillId="0" borderId="0" xfId="1" applyFont="1" applyAlignment="1">
      <alignment horizontal="center"/>
    </xf>
    <xf numFmtId="0" fontId="41" fillId="0" borderId="0" xfId="7" applyFont="1"/>
    <xf numFmtId="0" fontId="44" fillId="0" borderId="0" xfId="7" applyFont="1"/>
    <xf numFmtId="15" fontId="45" fillId="0" borderId="0" xfId="7" applyNumberFormat="1" applyFont="1"/>
    <xf numFmtId="0" fontId="36" fillId="0" borderId="0" xfId="7" applyFont="1"/>
    <xf numFmtId="0" fontId="17" fillId="0" borderId="0" xfId="1" applyFont="1" applyAlignment="1" applyProtection="1">
      <alignment horizontal="center"/>
      <protection locked="0"/>
    </xf>
    <xf numFmtId="0" fontId="42" fillId="0" borderId="0" xfId="7" applyFont="1" applyProtection="1">
      <protection locked="0"/>
    </xf>
    <xf numFmtId="0" fontId="43" fillId="0" borderId="0" xfId="7" applyFont="1" applyProtection="1">
      <protection locked="0"/>
    </xf>
    <xf numFmtId="0" fontId="41" fillId="0" borderId="0" xfId="7" applyFont="1" applyProtection="1">
      <protection locked="0"/>
    </xf>
    <xf numFmtId="0" fontId="43" fillId="0" borderId="0" xfId="7" applyFont="1"/>
    <xf numFmtId="0" fontId="42" fillId="0" borderId="0" xfId="7" applyFont="1"/>
    <xf numFmtId="0" fontId="23" fillId="16" borderId="0" xfId="1" applyFont="1" applyFill="1" applyAlignment="1">
      <alignment horizontal="center" wrapText="1"/>
    </xf>
    <xf numFmtId="0" fontId="24" fillId="0" borderId="0" xfId="1" applyFont="1"/>
    <xf numFmtId="0" fontId="57" fillId="0" borderId="0" xfId="1" applyFont="1"/>
    <xf numFmtId="6" fontId="58" fillId="16" borderId="0" xfId="1" applyNumberFormat="1" applyFont="1" applyFill="1" applyAlignment="1">
      <alignment horizontal="center"/>
    </xf>
    <xf numFmtId="0" fontId="24" fillId="0" borderId="0" xfId="1" applyFont="1" applyAlignment="1">
      <alignment horizontal="center"/>
    </xf>
    <xf numFmtId="0" fontId="59" fillId="17" borderId="0" xfId="1" applyFont="1" applyFill="1" applyAlignment="1">
      <alignment horizontal="center" wrapText="1"/>
    </xf>
    <xf numFmtId="0" fontId="23" fillId="17" borderId="0" xfId="1" applyFont="1" applyFill="1" applyAlignment="1">
      <alignment horizontal="center" wrapText="1"/>
    </xf>
    <xf numFmtId="173" fontId="59" fillId="15" borderId="0" xfId="1" quotePrefix="1" applyNumberFormat="1" applyFont="1" applyFill="1" applyAlignment="1">
      <alignment horizontal="center"/>
    </xf>
    <xf numFmtId="0" fontId="24" fillId="15" borderId="0" xfId="1" quotePrefix="1" applyFont="1" applyFill="1" applyAlignment="1">
      <alignment horizontal="center"/>
    </xf>
    <xf numFmtId="0" fontId="26" fillId="16" borderId="0" xfId="1" quotePrefix="1" applyFont="1" applyFill="1" applyAlignment="1">
      <alignment horizontal="center" vertical="center"/>
    </xf>
    <xf numFmtId="0" fontId="24" fillId="16" borderId="0" xfId="1" quotePrefix="1" applyFont="1" applyFill="1" applyAlignment="1">
      <alignment horizontal="center" vertical="center"/>
    </xf>
    <xf numFmtId="5" fontId="24" fillId="16" borderId="0" xfId="1" quotePrefix="1" applyNumberFormat="1" applyFont="1" applyFill="1" applyAlignment="1">
      <alignment horizontal="center" vertical="center"/>
    </xf>
    <xf numFmtId="0" fontId="23" fillId="0" borderId="0" xfId="1" applyFont="1"/>
    <xf numFmtId="0" fontId="23" fillId="0" borderId="0" xfId="1" applyFont="1" applyAlignment="1">
      <alignment horizontal="center"/>
    </xf>
    <xf numFmtId="0" fontId="26" fillId="16" borderId="0" xfId="1" applyFont="1" applyFill="1" applyAlignment="1">
      <alignment horizontal="center" vertical="center"/>
    </xf>
    <xf numFmtId="0" fontId="24" fillId="16" borderId="0" xfId="1" applyFont="1" applyFill="1" applyAlignment="1">
      <alignment horizontal="center" vertical="center"/>
    </xf>
    <xf numFmtId="5" fontId="24" fillId="16" borderId="0" xfId="1" applyNumberFormat="1" applyFont="1" applyFill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right"/>
    </xf>
    <xf numFmtId="6" fontId="58" fillId="16" borderId="0" xfId="1" applyNumberFormat="1" applyFont="1" applyFill="1" applyAlignment="1">
      <alignment horizontal="center" vertical="center"/>
    </xf>
    <xf numFmtId="6" fontId="24" fillId="16" borderId="0" xfId="1" applyNumberFormat="1" applyFont="1" applyFill="1" applyAlignment="1">
      <alignment horizontal="center" vertical="center"/>
    </xf>
    <xf numFmtId="6" fontId="26" fillId="16" borderId="0" xfId="1" applyNumberFormat="1" applyFont="1" applyFill="1" applyAlignment="1">
      <alignment horizontal="center" vertical="center"/>
    </xf>
    <xf numFmtId="0" fontId="24" fillId="0" borderId="0" xfId="1" applyFont="1" applyAlignment="1">
      <alignment horizontal="right" wrapText="1"/>
    </xf>
    <xf numFmtId="42" fontId="58" fillId="16" borderId="0" xfId="1" applyNumberFormat="1" applyFont="1" applyFill="1" applyAlignment="1">
      <alignment horizontal="center" vertical="center"/>
    </xf>
    <xf numFmtId="42" fontId="26" fillId="16" borderId="0" xfId="1" applyNumberFormat="1" applyFont="1" applyFill="1" applyAlignment="1">
      <alignment horizontal="center" vertical="center"/>
    </xf>
    <xf numFmtId="42" fontId="24" fillId="16" borderId="0" xfId="1" applyNumberFormat="1" applyFont="1" applyFill="1" applyAlignment="1">
      <alignment horizontal="center" vertical="center"/>
    </xf>
    <xf numFmtId="0" fontId="58" fillId="16" borderId="0" xfId="1" applyFont="1" applyFill="1" applyAlignment="1">
      <alignment horizontal="center" vertical="center"/>
    </xf>
    <xf numFmtId="168" fontId="58" fillId="16" borderId="0" xfId="1" applyNumberFormat="1" applyFont="1" applyFill="1" applyAlignment="1">
      <alignment horizontal="center" vertical="center"/>
    </xf>
    <xf numFmtId="0" fontId="58" fillId="0" borderId="0" xfId="1" applyFont="1" applyAlignment="1">
      <alignment horizontal="right"/>
    </xf>
    <xf numFmtId="0" fontId="58" fillId="0" borderId="0" xfId="1" applyFont="1"/>
    <xf numFmtId="170" fontId="58" fillId="16" borderId="0" xfId="1" applyNumberFormat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58" fillId="0" borderId="0" xfId="1" applyFont="1" applyAlignment="1">
      <alignment horizontal="right" wrapText="1"/>
    </xf>
    <xf numFmtId="0" fontId="60" fillId="0" borderId="0" xfId="1" applyFont="1"/>
    <xf numFmtId="0" fontId="23" fillId="0" borderId="0" xfId="1" applyFont="1" applyAlignment="1">
      <alignment vertical="center"/>
    </xf>
    <xf numFmtId="170" fontId="59" fillId="16" borderId="17" xfId="1" applyNumberFormat="1" applyFont="1" applyFill="1" applyBorder="1" applyAlignment="1">
      <alignment horizontal="center" vertical="center"/>
    </xf>
    <xf numFmtId="0" fontId="60" fillId="0" borderId="0" xfId="1" applyFont="1" applyAlignment="1">
      <alignment horizontal="right"/>
    </xf>
    <xf numFmtId="174" fontId="24" fillId="16" borderId="0" xfId="1" applyNumberFormat="1" applyFont="1" applyFill="1" applyAlignment="1">
      <alignment horizontal="center" vertical="center"/>
    </xf>
    <xf numFmtId="0" fontId="23" fillId="0" borderId="0" xfId="1" applyFont="1" applyAlignment="1">
      <alignment horizontal="right" vertical="center"/>
    </xf>
    <xf numFmtId="170" fontId="59" fillId="16" borderId="0" xfId="1" applyNumberFormat="1" applyFont="1" applyFill="1" applyAlignment="1">
      <alignment horizontal="center" vertical="center"/>
    </xf>
    <xf numFmtId="8" fontId="24" fillId="0" borderId="0" xfId="1" applyNumberFormat="1" applyFont="1" applyAlignment="1">
      <alignment vertical="center"/>
    </xf>
    <xf numFmtId="0" fontId="61" fillId="0" borderId="23" xfId="1" applyFont="1" applyBorder="1" applyAlignment="1">
      <alignment horizontal="right"/>
    </xf>
    <xf numFmtId="170" fontId="61" fillId="16" borderId="24" xfId="1" applyNumberFormat="1" applyFont="1" applyFill="1" applyBorder="1" applyAlignment="1">
      <alignment horizontal="center" vertical="center"/>
    </xf>
    <xf numFmtId="170" fontId="26" fillId="16" borderId="0" xfId="1" applyNumberFormat="1" applyFont="1" applyFill="1" applyAlignment="1">
      <alignment horizontal="center" vertical="center"/>
    </xf>
    <xf numFmtId="170" fontId="24" fillId="16" borderId="0" xfId="1" applyNumberFormat="1" applyFont="1" applyFill="1" applyAlignment="1">
      <alignment horizontal="center" vertical="center"/>
    </xf>
    <xf numFmtId="0" fontId="24" fillId="0" borderId="0" xfId="1" applyFont="1" applyAlignment="1">
      <alignment vertical="center" wrapText="1"/>
    </xf>
    <xf numFmtId="0" fontId="24" fillId="0" borderId="23" xfId="1" applyFont="1" applyBorder="1" applyAlignment="1">
      <alignment horizontal="right"/>
    </xf>
    <xf numFmtId="0" fontId="24" fillId="0" borderId="25" xfId="1" applyFont="1" applyBorder="1"/>
    <xf numFmtId="170" fontId="58" fillId="16" borderId="0" xfId="1" applyNumberFormat="1" applyFont="1" applyFill="1" applyAlignment="1">
      <alignment horizontal="center"/>
    </xf>
    <xf numFmtId="170" fontId="26" fillId="16" borderId="0" xfId="1" applyNumberFormat="1" applyFont="1" applyFill="1" applyAlignment="1">
      <alignment horizontal="center"/>
    </xf>
    <xf numFmtId="170" fontId="24" fillId="16" borderId="0" xfId="1" applyNumberFormat="1" applyFont="1" applyFill="1" applyAlignment="1">
      <alignment horizontal="center"/>
    </xf>
    <xf numFmtId="174" fontId="24" fillId="16" borderId="0" xfId="1" applyNumberFormat="1" applyFont="1" applyFill="1" applyAlignment="1">
      <alignment horizontal="center"/>
    </xf>
    <xf numFmtId="169" fontId="23" fillId="16" borderId="17" xfId="1" applyNumberFormat="1" applyFont="1" applyFill="1" applyBorder="1" applyAlignment="1">
      <alignment horizontal="center"/>
    </xf>
    <xf numFmtId="0" fontId="58" fillId="0" borderId="0" xfId="1" applyFont="1" applyAlignment="1">
      <alignment horizontal="right" vertical="center" wrapText="1"/>
    </xf>
    <xf numFmtId="170" fontId="58" fillId="16" borderId="16" xfId="1" applyNumberFormat="1" applyFont="1" applyFill="1" applyBorder="1" applyAlignment="1">
      <alignment horizontal="center"/>
    </xf>
    <xf numFmtId="170" fontId="24" fillId="0" borderId="0" xfId="1" applyNumberFormat="1" applyFont="1" applyAlignment="1">
      <alignment horizontal="right"/>
    </xf>
    <xf numFmtId="0" fontId="24" fillId="0" borderId="0" xfId="1" applyFont="1" applyAlignment="1">
      <alignment horizontal="right" vertical="center"/>
    </xf>
    <xf numFmtId="170" fontId="24" fillId="16" borderId="15" xfId="1" applyNumberFormat="1" applyFont="1" applyFill="1" applyBorder="1" applyAlignment="1">
      <alignment horizontal="center"/>
    </xf>
    <xf numFmtId="170" fontId="24" fillId="16" borderId="16" xfId="1" applyNumberFormat="1" applyFont="1" applyFill="1" applyBorder="1" applyAlignment="1">
      <alignment horizontal="center"/>
    </xf>
    <xf numFmtId="174" fontId="24" fillId="16" borderId="15" xfId="1" applyNumberFormat="1" applyFont="1" applyFill="1" applyBorder="1" applyAlignment="1">
      <alignment horizontal="center"/>
    </xf>
    <xf numFmtId="174" fontId="24" fillId="16" borderId="16" xfId="1" applyNumberFormat="1" applyFont="1" applyFill="1" applyBorder="1" applyAlignment="1">
      <alignment horizontal="center"/>
    </xf>
    <xf numFmtId="3" fontId="24" fillId="0" borderId="0" xfId="1" applyNumberFormat="1" applyFont="1" applyAlignment="1">
      <alignment horizontal="right"/>
    </xf>
    <xf numFmtId="0" fontId="24" fillId="16" borderId="11" xfId="1" applyFont="1" applyFill="1" applyBorder="1" applyAlignment="1">
      <alignment horizontal="center"/>
    </xf>
    <xf numFmtId="0" fontId="24" fillId="16" borderId="12" xfId="1" applyFont="1" applyFill="1" applyBorder="1" applyAlignment="1">
      <alignment horizontal="center"/>
    </xf>
    <xf numFmtId="0" fontId="24" fillId="16" borderId="13" xfId="1" applyFont="1" applyFill="1" applyBorder="1" applyAlignment="1">
      <alignment horizontal="center"/>
    </xf>
    <xf numFmtId="8" fontId="24" fillId="0" borderId="0" xfId="1" applyNumberFormat="1" applyFont="1" applyAlignment="1">
      <alignment horizontal="center"/>
    </xf>
    <xf numFmtId="174" fontId="24" fillId="0" borderId="0" xfId="1" applyNumberFormat="1" applyFont="1"/>
    <xf numFmtId="37" fontId="62" fillId="0" borderId="0" xfId="0" applyFont="1"/>
    <xf numFmtId="0" fontId="54" fillId="0" borderId="0" xfId="1" applyFont="1" applyAlignment="1">
      <alignment horizontal="right"/>
    </xf>
    <xf numFmtId="0" fontId="63" fillId="0" borderId="0" xfId="1" applyFont="1" applyAlignment="1">
      <alignment horizontal="center"/>
    </xf>
    <xf numFmtId="0" fontId="63" fillId="0" borderId="0" xfId="1" applyFont="1"/>
    <xf numFmtId="37" fontId="46" fillId="0" borderId="0" xfId="0" applyFont="1" applyAlignment="1">
      <alignment vertical="center" wrapText="1"/>
    </xf>
    <xf numFmtId="174" fontId="58" fillId="16" borderId="0" xfId="1" applyNumberFormat="1" applyFont="1" applyFill="1" applyAlignment="1">
      <alignment horizontal="center" vertical="center"/>
    </xf>
    <xf numFmtId="172" fontId="58" fillId="16" borderId="0" xfId="1" applyNumberFormat="1" applyFont="1" applyFill="1" applyAlignment="1">
      <alignment horizontal="center" vertical="center"/>
    </xf>
    <xf numFmtId="172" fontId="61" fillId="16" borderId="24" xfId="1" applyNumberFormat="1" applyFont="1" applyFill="1" applyBorder="1" applyAlignment="1">
      <alignment horizontal="center" vertical="center"/>
    </xf>
    <xf numFmtId="172" fontId="58" fillId="16" borderId="15" xfId="1" applyNumberFormat="1" applyFont="1" applyFill="1" applyBorder="1" applyAlignment="1">
      <alignment horizontal="center"/>
    </xf>
    <xf numFmtId="170" fontId="58" fillId="18" borderId="0" xfId="1" applyNumberFormat="1" applyFont="1" applyFill="1" applyAlignment="1">
      <alignment horizontal="center" vertical="center"/>
    </xf>
    <xf numFmtId="172" fontId="58" fillId="12" borderId="0" xfId="1" applyNumberFormat="1" applyFont="1" applyFill="1" applyAlignment="1">
      <alignment horizontal="center" vertical="center"/>
    </xf>
    <xf numFmtId="170" fontId="58" fillId="12" borderId="0" xfId="1" applyNumberFormat="1" applyFont="1" applyFill="1" applyAlignment="1">
      <alignment horizontal="center" vertical="center"/>
    </xf>
    <xf numFmtId="49" fontId="11" fillId="3" borderId="27" xfId="6" applyNumberFormat="1" applyFont="1" applyFill="1" applyBorder="1" applyProtection="1">
      <protection locked="0"/>
    </xf>
    <xf numFmtId="49" fontId="11" fillId="3" borderId="28" xfId="6" applyNumberFormat="1" applyFont="1" applyFill="1" applyBorder="1" applyAlignment="1" applyProtection="1">
      <alignment horizontal="left"/>
      <protection locked="0"/>
    </xf>
    <xf numFmtId="0" fontId="40" fillId="0" borderId="0" xfId="1" applyFont="1" applyAlignment="1">
      <alignment horizontal="right"/>
    </xf>
    <xf numFmtId="0" fontId="11" fillId="3" borderId="0" xfId="6" applyFont="1" applyFill="1"/>
    <xf numFmtId="0" fontId="28" fillId="0" borderId="0" xfId="6" applyFont="1"/>
    <xf numFmtId="0" fontId="14" fillId="16" borderId="0" xfId="6" applyFont="1" applyFill="1"/>
    <xf numFmtId="0" fontId="14" fillId="10" borderId="0" xfId="6" applyFont="1" applyFill="1"/>
    <xf numFmtId="0" fontId="54" fillId="0" borderId="0" xfId="6" applyFont="1" applyAlignment="1">
      <alignment horizontal="right"/>
    </xf>
    <xf numFmtId="37" fontId="52" fillId="0" borderId="0" xfId="0" applyFont="1"/>
    <xf numFmtId="0" fontId="38" fillId="0" borderId="0" xfId="6" applyFont="1"/>
    <xf numFmtId="37" fontId="34" fillId="0" borderId="0" xfId="0" applyFont="1" applyAlignment="1">
      <alignment vertical="center" wrapText="1"/>
    </xf>
    <xf numFmtId="0" fontId="29" fillId="0" borderId="0" xfId="6" applyFont="1" applyAlignment="1">
      <alignment horizontal="justify" vertical="center"/>
    </xf>
    <xf numFmtId="37" fontId="30" fillId="0" borderId="0" xfId="0" applyFont="1"/>
    <xf numFmtId="172" fontId="27" fillId="16" borderId="14" xfId="6" applyNumberFormat="1" applyFont="1" applyFill="1" applyBorder="1" applyAlignment="1">
      <alignment horizontal="center" vertical="center"/>
    </xf>
    <xf numFmtId="174" fontId="27" fillId="16" borderId="14" xfId="6" applyNumberFormat="1" applyFont="1" applyFill="1" applyBorder="1" applyAlignment="1">
      <alignment horizontal="center" vertical="center"/>
    </xf>
    <xf numFmtId="0" fontId="32" fillId="0" borderId="0" xfId="6" applyFont="1" applyAlignment="1">
      <alignment horizontal="justify" vertical="center"/>
    </xf>
    <xf numFmtId="0" fontId="14" fillId="0" borderId="0" xfId="6" applyFont="1" applyAlignment="1">
      <alignment horizontal="justify" vertical="center"/>
    </xf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justify" vertical="center"/>
    </xf>
    <xf numFmtId="0" fontId="31" fillId="0" borderId="0" xfId="6" applyFont="1" applyAlignment="1">
      <alignment horizontal="right" vertical="center"/>
    </xf>
    <xf numFmtId="174" fontId="27" fillId="16" borderId="0" xfId="6" applyNumberFormat="1" applyFont="1" applyFill="1" applyAlignment="1">
      <alignment horizontal="center" vertical="center"/>
    </xf>
    <xf numFmtId="172" fontId="27" fillId="16" borderId="0" xfId="6" applyNumberFormat="1" applyFont="1" applyFill="1" applyAlignment="1">
      <alignment horizontal="center" vertical="center"/>
    </xf>
    <xf numFmtId="0" fontId="29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174" fontId="27" fillId="16" borderId="17" xfId="6" applyNumberFormat="1" applyFont="1" applyFill="1" applyBorder="1" applyAlignment="1">
      <alignment horizontal="center" vertical="center"/>
    </xf>
    <xf numFmtId="172" fontId="27" fillId="16" borderId="17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horizontal="justify" vertical="center"/>
    </xf>
    <xf numFmtId="0" fontId="27" fillId="16" borderId="0" xfId="6" applyFont="1" applyFill="1" applyAlignment="1">
      <alignment horizontal="center" vertical="center"/>
    </xf>
    <xf numFmtId="5" fontId="27" fillId="16" borderId="0" xfId="6" applyNumberFormat="1" applyFont="1" applyFill="1" applyAlignment="1">
      <alignment horizontal="center" vertical="center"/>
    </xf>
    <xf numFmtId="0" fontId="28" fillId="16" borderId="0" xfId="6" applyFont="1" applyFill="1"/>
    <xf numFmtId="5" fontId="27" fillId="0" borderId="0" xfId="6" applyNumberFormat="1" applyFont="1" applyAlignment="1">
      <alignment horizontal="center" vertical="center"/>
    </xf>
    <xf numFmtId="0" fontId="31" fillId="0" borderId="0" xfId="6" applyFont="1" applyAlignment="1">
      <alignment horizontal="right"/>
    </xf>
    <xf numFmtId="0" fontId="28" fillId="0" borderId="26" xfId="6" applyFont="1" applyBorder="1"/>
    <xf numFmtId="0" fontId="27" fillId="0" borderId="0" xfId="6" applyFont="1" applyAlignment="1">
      <alignment horizontal="right" vertical="center"/>
    </xf>
    <xf numFmtId="172" fontId="27" fillId="16" borderId="27" xfId="6" applyNumberFormat="1" applyFont="1" applyFill="1" applyBorder="1" applyAlignment="1">
      <alignment horizontal="center" vertical="center"/>
    </xf>
    <xf numFmtId="174" fontId="27" fillId="16" borderId="28" xfId="6" applyNumberFormat="1" applyFont="1" applyFill="1" applyBorder="1" applyAlignment="1">
      <alignment horizontal="center" vertical="center"/>
    </xf>
    <xf numFmtId="180" fontId="24" fillId="0" borderId="12" xfId="1" applyNumberFormat="1" applyFont="1" applyBorder="1" applyAlignment="1">
      <alignment horizontal="center"/>
    </xf>
    <xf numFmtId="49" fontId="24" fillId="0" borderId="12" xfId="1" applyNumberFormat="1" applyFont="1" applyBorder="1"/>
    <xf numFmtId="49" fontId="63" fillId="3" borderId="27" xfId="1" applyNumberFormat="1" applyFont="1" applyFill="1" applyBorder="1" applyProtection="1">
      <protection locked="0"/>
    </xf>
    <xf numFmtId="0" fontId="63" fillId="3" borderId="28" xfId="1" applyFont="1" applyFill="1" applyBorder="1" applyProtection="1">
      <protection locked="0"/>
    </xf>
    <xf numFmtId="37" fontId="69" fillId="0" borderId="0" xfId="0" applyFont="1"/>
    <xf numFmtId="37" fontId="70" fillId="0" borderId="0" xfId="0" applyFont="1"/>
    <xf numFmtId="37" fontId="62" fillId="14" borderId="0" xfId="0" applyFont="1" applyFill="1"/>
    <xf numFmtId="37" fontId="30" fillId="14" borderId="0" xfId="0" applyFont="1" applyFill="1"/>
    <xf numFmtId="37" fontId="71" fillId="0" borderId="0" xfId="0" applyFont="1"/>
    <xf numFmtId="37" fontId="72" fillId="0" borderId="0" xfId="0" applyFont="1"/>
    <xf numFmtId="37" fontId="30" fillId="0" borderId="0" xfId="0" applyFont="1" applyAlignment="1">
      <alignment horizontal="right"/>
    </xf>
    <xf numFmtId="0" fontId="73" fillId="17" borderId="20" xfId="1" applyFont="1" applyFill="1" applyBorder="1" applyAlignment="1">
      <alignment horizontal="right"/>
    </xf>
    <xf numFmtId="37" fontId="76" fillId="0" borderId="0" xfId="0" applyFont="1"/>
    <xf numFmtId="37" fontId="77" fillId="0" borderId="0" xfId="0" applyFont="1"/>
    <xf numFmtId="37" fontId="78" fillId="0" borderId="0" xfId="0" applyFont="1"/>
    <xf numFmtId="37" fontId="81" fillId="0" borderId="0" xfId="0" applyFont="1"/>
    <xf numFmtId="37" fontId="82" fillId="16" borderId="0" xfId="0" applyFont="1" applyFill="1"/>
    <xf numFmtId="37" fontId="78" fillId="16" borderId="0" xfId="0" applyFont="1" applyFill="1"/>
    <xf numFmtId="37" fontId="83" fillId="16" borderId="0" xfId="0" applyFont="1" applyFill="1" applyAlignment="1">
      <alignment horizontal="center"/>
    </xf>
    <xf numFmtId="37" fontId="84" fillId="0" borderId="0" xfId="0" applyFont="1" applyAlignment="1">
      <alignment horizontal="center"/>
    </xf>
    <xf numFmtId="37" fontId="85" fillId="0" borderId="0" xfId="0" applyFont="1" applyAlignment="1">
      <alignment horizontal="center"/>
    </xf>
    <xf numFmtId="37" fontId="85" fillId="0" borderId="0" xfId="0" applyFont="1"/>
    <xf numFmtId="37" fontId="82" fillId="0" borderId="0" xfId="0" applyFont="1" applyAlignment="1">
      <alignment horizontal="center"/>
    </xf>
    <xf numFmtId="166" fontId="85" fillId="0" borderId="0" xfId="0" applyNumberFormat="1" applyFont="1"/>
    <xf numFmtId="166" fontId="84" fillId="17" borderId="0" xfId="0" applyNumberFormat="1" applyFont="1" applyFill="1" applyAlignment="1">
      <alignment horizontal="center"/>
    </xf>
    <xf numFmtId="5" fontId="86" fillId="0" borderId="0" xfId="0" applyNumberFormat="1" applyFont="1" applyAlignment="1">
      <alignment horizontal="right"/>
    </xf>
    <xf numFmtId="3" fontId="85" fillId="16" borderId="0" xfId="0" applyNumberFormat="1" applyFont="1" applyFill="1" applyAlignment="1">
      <alignment horizontal="center"/>
    </xf>
    <xf numFmtId="3" fontId="85" fillId="3" borderId="14" xfId="0" applyNumberFormat="1" applyFont="1" applyFill="1" applyBorder="1" applyAlignment="1" applyProtection="1">
      <alignment horizontal="center"/>
      <protection locked="0"/>
    </xf>
    <xf numFmtId="3" fontId="85" fillId="16" borderId="17" xfId="0" applyNumberFormat="1" applyFont="1" applyFill="1" applyBorder="1" applyAlignment="1">
      <alignment horizontal="center"/>
    </xf>
    <xf numFmtId="3" fontId="85" fillId="0" borderId="0" xfId="0" applyNumberFormat="1" applyFont="1" applyAlignment="1">
      <alignment horizontal="center"/>
    </xf>
    <xf numFmtId="166" fontId="84" fillId="17" borderId="0" xfId="0" applyNumberFormat="1" applyFont="1" applyFill="1" applyAlignment="1">
      <alignment horizontal="center" wrapText="1"/>
    </xf>
    <xf numFmtId="37" fontId="87" fillId="17" borderId="0" xfId="0" applyFont="1" applyFill="1" applyAlignment="1">
      <alignment horizontal="right"/>
    </xf>
    <xf numFmtId="4" fontId="85" fillId="16" borderId="0" xfId="0" applyNumberFormat="1" applyFont="1" applyFill="1" applyAlignment="1">
      <alignment horizontal="center"/>
    </xf>
    <xf numFmtId="4" fontId="85" fillId="3" borderId="14" xfId="0" applyNumberFormat="1" applyFont="1" applyFill="1" applyBorder="1" applyAlignment="1" applyProtection="1">
      <alignment horizontal="center"/>
      <protection locked="0"/>
    </xf>
    <xf numFmtId="10" fontId="85" fillId="0" borderId="0" xfId="0" applyNumberFormat="1" applyFont="1"/>
    <xf numFmtId="5" fontId="86" fillId="17" borderId="0" xfId="0" applyNumberFormat="1" applyFont="1" applyFill="1" applyAlignment="1">
      <alignment horizontal="right" wrapText="1"/>
    </xf>
    <xf numFmtId="4" fontId="85" fillId="16" borderId="17" xfId="0" applyNumberFormat="1" applyFont="1" applyFill="1" applyBorder="1" applyAlignment="1">
      <alignment horizontal="center"/>
    </xf>
    <xf numFmtId="4" fontId="85" fillId="16" borderId="17" xfId="0" applyNumberFormat="1" applyFont="1" applyFill="1" applyBorder="1" applyAlignment="1" applyProtection="1">
      <alignment horizontal="center"/>
      <protection locked="0"/>
    </xf>
    <xf numFmtId="37" fontId="88" fillId="0" borderId="0" xfId="0" applyFont="1" applyAlignment="1">
      <alignment horizontal="center"/>
    </xf>
    <xf numFmtId="37" fontId="84" fillId="17" borderId="0" xfId="0" applyFont="1" applyFill="1" applyAlignment="1">
      <alignment horizontal="center"/>
    </xf>
    <xf numFmtId="37" fontId="91" fillId="17" borderId="0" xfId="0" applyFont="1" applyFill="1" applyAlignment="1">
      <alignment horizontal="center"/>
    </xf>
    <xf numFmtId="37" fontId="87" fillId="0" borderId="0" xfId="0" applyFont="1" applyProtection="1">
      <protection locked="0"/>
    </xf>
    <xf numFmtId="37" fontId="85" fillId="0" borderId="2" xfId="0" applyFont="1" applyBorder="1"/>
    <xf numFmtId="37" fontId="85" fillId="0" borderId="0" xfId="0" applyFont="1" applyAlignment="1">
      <alignment horizontal="right"/>
    </xf>
    <xf numFmtId="37" fontId="93" fillId="0" borderId="0" xfId="8" applyNumberFormat="1" applyFont="1" applyAlignment="1"/>
    <xf numFmtId="5" fontId="87" fillId="0" borderId="0" xfId="0" applyNumberFormat="1" applyFont="1" applyAlignment="1">
      <alignment horizontal="right"/>
    </xf>
    <xf numFmtId="3" fontId="87" fillId="16" borderId="0" xfId="0" applyNumberFormat="1" applyFont="1" applyFill="1" applyAlignment="1">
      <alignment horizontal="center"/>
    </xf>
    <xf numFmtId="5" fontId="87" fillId="0" borderId="0" xfId="0" applyNumberFormat="1" applyFont="1" applyAlignment="1">
      <alignment horizontal="left"/>
    </xf>
    <xf numFmtId="165" fontId="85" fillId="0" borderId="0" xfId="0" applyNumberFormat="1" applyFont="1"/>
    <xf numFmtId="3" fontId="87" fillId="16" borderId="17" xfId="0" applyNumberFormat="1" applyFont="1" applyFill="1" applyBorder="1" applyAlignment="1">
      <alignment horizontal="center"/>
    </xf>
    <xf numFmtId="38" fontId="87" fillId="0" borderId="0" xfId="0" applyNumberFormat="1" applyFont="1" applyAlignment="1">
      <alignment horizontal="center"/>
    </xf>
    <xf numFmtId="37" fontId="87" fillId="0" borderId="0" xfId="0" applyFont="1"/>
    <xf numFmtId="172" fontId="82" fillId="16" borderId="17" xfId="0" applyNumberFormat="1" applyFont="1" applyFill="1" applyBorder="1" applyAlignment="1">
      <alignment horizontal="center" vertical="center"/>
    </xf>
    <xf numFmtId="172" fontId="94" fillId="16" borderId="17" xfId="0" applyNumberFormat="1" applyFont="1" applyFill="1" applyBorder="1" applyAlignment="1">
      <alignment horizontal="center" vertical="center"/>
    </xf>
    <xf numFmtId="166" fontId="95" fillId="0" borderId="0" xfId="0" applyNumberFormat="1" applyFont="1" applyAlignment="1">
      <alignment horizontal="center" vertical="top" wrapText="1"/>
    </xf>
    <xf numFmtId="10" fontId="87" fillId="0" borderId="0" xfId="0" applyNumberFormat="1" applyFont="1" applyAlignment="1">
      <alignment horizontal="center"/>
    </xf>
    <xf numFmtId="37" fontId="92" fillId="17" borderId="0" xfId="0" applyFont="1" applyFill="1" applyAlignment="1">
      <alignment horizontal="center"/>
    </xf>
    <xf numFmtId="172" fontId="74" fillId="16" borderId="0" xfId="0" applyNumberFormat="1" applyFont="1" applyFill="1" applyAlignment="1">
      <alignment horizontal="center" vertical="center"/>
    </xf>
    <xf numFmtId="5" fontId="85" fillId="0" borderId="0" xfId="0" applyNumberFormat="1" applyFont="1" applyAlignment="1">
      <alignment horizontal="right"/>
    </xf>
    <xf numFmtId="5" fontId="85" fillId="0" borderId="0" xfId="0" applyNumberFormat="1" applyFont="1" applyAlignment="1">
      <alignment horizontal="center"/>
    </xf>
    <xf numFmtId="37" fontId="78" fillId="0" borderId="0" xfId="0" applyFont="1" applyAlignment="1">
      <alignment vertical="center"/>
    </xf>
    <xf numFmtId="37" fontId="85" fillId="0" borderId="5" xfId="0" applyFont="1" applyBorder="1"/>
    <xf numFmtId="172" fontId="84" fillId="17" borderId="0" xfId="0" applyNumberFormat="1" applyFont="1" applyFill="1" applyAlignment="1">
      <alignment vertical="center" wrapText="1"/>
    </xf>
    <xf numFmtId="37" fontId="85" fillId="17" borderId="0" xfId="0" applyFont="1" applyFill="1"/>
    <xf numFmtId="37" fontId="82" fillId="17" borderId="0" xfId="0" applyFont="1" applyFill="1" applyAlignment="1">
      <alignment horizontal="right"/>
    </xf>
    <xf numFmtId="6" fontId="82" fillId="17" borderId="0" xfId="0" applyNumberFormat="1" applyFont="1" applyFill="1" applyAlignment="1">
      <alignment horizontal="center"/>
    </xf>
    <xf numFmtId="175" fontId="74" fillId="16" borderId="0" xfId="0" applyNumberFormat="1" applyFont="1" applyFill="1" applyAlignment="1">
      <alignment horizontal="center" vertical="center"/>
    </xf>
    <xf numFmtId="170" fontId="74" fillId="16" borderId="0" xfId="0" applyNumberFormat="1" applyFont="1" applyFill="1" applyAlignment="1">
      <alignment horizontal="center" vertical="center"/>
    </xf>
    <xf numFmtId="175" fontId="85" fillId="16" borderId="0" xfId="0" applyNumberFormat="1" applyFont="1" applyFill="1" applyAlignment="1">
      <alignment horizontal="center" vertical="center"/>
    </xf>
    <xf numFmtId="175" fontId="82" fillId="16" borderId="17" xfId="0" applyNumberFormat="1" applyFont="1" applyFill="1" applyBorder="1" applyAlignment="1">
      <alignment horizontal="center" vertical="center"/>
    </xf>
    <xf numFmtId="170" fontId="82" fillId="16" borderId="17" xfId="0" applyNumberFormat="1" applyFont="1" applyFill="1" applyBorder="1" applyAlignment="1">
      <alignment horizontal="center" vertical="center"/>
    </xf>
    <xf numFmtId="181" fontId="74" fillId="16" borderId="0" xfId="0" applyNumberFormat="1" applyFont="1" applyFill="1" applyAlignment="1">
      <alignment horizontal="center" vertical="center"/>
    </xf>
    <xf numFmtId="172" fontId="85" fillId="16" borderId="0" xfId="0" applyNumberFormat="1" applyFont="1" applyFill="1" applyAlignment="1">
      <alignment horizontal="center" vertical="center"/>
    </xf>
    <xf numFmtId="172" fontId="94" fillId="16" borderId="18" xfId="0" applyNumberFormat="1" applyFont="1" applyFill="1" applyBorder="1" applyAlignment="1">
      <alignment horizontal="center" vertical="center"/>
    </xf>
    <xf numFmtId="37" fontId="94" fillId="0" borderId="0" xfId="0" applyFont="1" applyAlignment="1">
      <alignment horizontal="right" vertical="center"/>
    </xf>
    <xf numFmtId="174" fontId="94" fillId="16" borderId="17" xfId="0" applyNumberFormat="1" applyFont="1" applyFill="1" applyBorder="1" applyAlignment="1">
      <alignment horizontal="center" vertical="center"/>
    </xf>
    <xf numFmtId="39" fontId="81" fillId="0" borderId="0" xfId="0" applyNumberFormat="1" applyFont="1"/>
    <xf numFmtId="37" fontId="85" fillId="0" borderId="0" xfId="0" applyFont="1" applyAlignment="1">
      <alignment horizontal="right" vertical="center" wrapText="1"/>
    </xf>
    <xf numFmtId="174" fontId="85" fillId="16" borderId="0" xfId="0" applyNumberFormat="1" applyFont="1" applyFill="1" applyAlignment="1">
      <alignment horizontal="center" vertical="center"/>
    </xf>
    <xf numFmtId="6" fontId="85" fillId="16" borderId="0" xfId="0" applyNumberFormat="1" applyFont="1" applyFill="1" applyAlignment="1">
      <alignment horizontal="center" vertical="center"/>
    </xf>
    <xf numFmtId="37" fontId="84" fillId="17" borderId="0" xfId="0" applyFont="1" applyFill="1" applyAlignment="1">
      <alignment vertical="center" wrapText="1"/>
    </xf>
    <xf numFmtId="37" fontId="85" fillId="0" borderId="0" xfId="0" applyFont="1" applyAlignment="1" applyProtection="1">
      <alignment horizontal="right" vertical="center" wrapText="1"/>
      <protection locked="0"/>
    </xf>
    <xf numFmtId="174" fontId="85" fillId="16" borderId="29" xfId="0" applyNumberFormat="1" applyFont="1" applyFill="1" applyBorder="1" applyAlignment="1" applyProtection="1">
      <alignment horizontal="center" vertical="center"/>
      <protection locked="0"/>
    </xf>
    <xf numFmtId="172" fontId="74" fillId="16" borderId="29" xfId="0" applyNumberFormat="1" applyFont="1" applyFill="1" applyBorder="1" applyAlignment="1" applyProtection="1">
      <alignment horizontal="center" vertical="center"/>
      <protection locked="0"/>
    </xf>
    <xf numFmtId="174" fontId="78" fillId="16" borderId="29" xfId="0" applyNumberFormat="1" applyFont="1" applyFill="1" applyBorder="1" applyAlignment="1" applyProtection="1">
      <alignment vertical="center"/>
      <protection locked="0"/>
    </xf>
    <xf numFmtId="172" fontId="78" fillId="16" borderId="29" xfId="0" applyNumberFormat="1" applyFont="1" applyFill="1" applyBorder="1" applyAlignment="1" applyProtection="1">
      <alignment vertical="center"/>
      <protection locked="0"/>
    </xf>
    <xf numFmtId="174" fontId="78" fillId="16" borderId="0" xfId="0" applyNumberFormat="1" applyFont="1" applyFill="1" applyAlignment="1">
      <alignment vertical="center"/>
    </xf>
    <xf numFmtId="172" fontId="78" fillId="16" borderId="0" xfId="0" applyNumberFormat="1" applyFont="1" applyFill="1" applyAlignment="1">
      <alignment vertical="center"/>
    </xf>
    <xf numFmtId="168" fontId="74" fillId="16" borderId="0" xfId="0" applyNumberFormat="1" applyFont="1" applyFill="1" applyAlignment="1">
      <alignment horizontal="center" vertical="center"/>
    </xf>
    <xf numFmtId="37" fontId="85" fillId="0" borderId="0" xfId="0" applyFont="1" applyAlignment="1">
      <alignment vertical="center"/>
    </xf>
    <xf numFmtId="174" fontId="94" fillId="16" borderId="18" xfId="0" applyNumberFormat="1" applyFont="1" applyFill="1" applyBorder="1" applyAlignment="1">
      <alignment horizontal="center" vertical="center"/>
    </xf>
    <xf numFmtId="37" fontId="81" fillId="0" borderId="0" xfId="0" applyFont="1" applyAlignment="1">
      <alignment vertical="center"/>
    </xf>
    <xf numFmtId="167" fontId="85" fillId="0" borderId="0" xfId="0" applyNumberFormat="1" applyFont="1" applyAlignment="1">
      <alignment horizontal="left" vertical="center"/>
    </xf>
    <xf numFmtId="165" fontId="84" fillId="0" borderId="0" xfId="0" applyNumberFormat="1" applyFont="1" applyAlignment="1">
      <alignment horizontal="center"/>
    </xf>
    <xf numFmtId="37" fontId="82" fillId="0" borderId="0" xfId="0" applyFont="1" applyAlignment="1">
      <alignment horizontal="left" wrapText="1"/>
    </xf>
    <xf numFmtId="37" fontId="74" fillId="0" borderId="0" xfId="0" applyFont="1" applyAlignment="1">
      <alignment horizontal="left"/>
    </xf>
    <xf numFmtId="165" fontId="85" fillId="0" borderId="1" xfId="0" applyNumberFormat="1" applyFont="1" applyBorder="1"/>
    <xf numFmtId="5" fontId="85" fillId="0" borderId="2" xfId="0" applyNumberFormat="1" applyFont="1" applyBorder="1" applyAlignment="1">
      <alignment horizontal="center"/>
    </xf>
    <xf numFmtId="174" fontId="85" fillId="16" borderId="0" xfId="0" applyNumberFormat="1" applyFont="1" applyFill="1" applyAlignment="1">
      <alignment horizontal="center" vertical="center" wrapText="1"/>
    </xf>
    <xf numFmtId="172" fontId="85" fillId="16" borderId="0" xfId="0" applyNumberFormat="1" applyFont="1" applyFill="1" applyAlignment="1">
      <alignment horizontal="center" vertical="center" wrapText="1"/>
    </xf>
    <xf numFmtId="37" fontId="74" fillId="0" borderId="0" xfId="0" applyFont="1" applyAlignment="1">
      <alignment horizontal="right"/>
    </xf>
    <xf numFmtId="7" fontId="85" fillId="0" borderId="0" xfId="0" applyNumberFormat="1" applyFont="1"/>
    <xf numFmtId="37" fontId="82" fillId="0" borderId="0" xfId="0" applyFont="1" applyAlignment="1">
      <alignment horizontal="right"/>
    </xf>
    <xf numFmtId="172" fontId="85" fillId="0" borderId="0" xfId="0" applyNumberFormat="1" applyFont="1"/>
    <xf numFmtId="37" fontId="99" fillId="0" borderId="0" xfId="0" applyFont="1"/>
    <xf numFmtId="37" fontId="73" fillId="0" borderId="0" xfId="0" applyFont="1" applyAlignment="1">
      <alignment horizontal="center"/>
    </xf>
    <xf numFmtId="37" fontId="84" fillId="0" borderId="0" xfId="0" applyFont="1" applyAlignment="1">
      <alignment horizontal="right"/>
    </xf>
    <xf numFmtId="172" fontId="84" fillId="16" borderId="6" xfId="0" applyNumberFormat="1" applyFont="1" applyFill="1" applyBorder="1" applyAlignment="1">
      <alignment horizontal="center"/>
    </xf>
    <xf numFmtId="5" fontId="84" fillId="0" borderId="0" xfId="0" applyNumberFormat="1" applyFont="1" applyAlignment="1">
      <alignment horizontal="center"/>
    </xf>
    <xf numFmtId="6" fontId="84" fillId="0" borderId="0" xfId="0" applyNumberFormat="1" applyFont="1" applyAlignment="1">
      <alignment horizontal="center"/>
    </xf>
    <xf numFmtId="37" fontId="84" fillId="17" borderId="15" xfId="0" applyFont="1" applyFill="1" applyBorder="1" applyAlignment="1">
      <alignment horizontal="center"/>
    </xf>
    <xf numFmtId="37" fontId="85" fillId="0" borderId="15" xfId="0" applyFont="1" applyBorder="1" applyAlignment="1">
      <alignment horizontal="right"/>
    </xf>
    <xf numFmtId="37" fontId="85" fillId="0" borderId="15" xfId="0" applyFont="1" applyBorder="1"/>
    <xf numFmtId="37" fontId="84" fillId="0" borderId="15" xfId="0" applyFont="1" applyBorder="1" applyAlignment="1">
      <alignment horizontal="right"/>
    </xf>
    <xf numFmtId="37" fontId="80" fillId="0" borderId="0" xfId="0" applyFont="1"/>
    <xf numFmtId="37" fontId="84" fillId="0" borderId="11" xfId="0" applyFont="1" applyBorder="1" applyAlignment="1">
      <alignment horizontal="right"/>
    </xf>
    <xf numFmtId="37" fontId="82" fillId="0" borderId="12" xfId="0" applyFont="1" applyBorder="1" applyAlignment="1">
      <alignment horizontal="right"/>
    </xf>
    <xf numFmtId="175" fontId="82" fillId="16" borderId="12" xfId="0" applyNumberFormat="1" applyFont="1" applyFill="1" applyBorder="1" applyAlignment="1">
      <alignment horizontal="center"/>
    </xf>
    <xf numFmtId="37" fontId="79" fillId="17" borderId="15" xfId="0" applyFont="1" applyFill="1" applyBorder="1" applyAlignment="1">
      <alignment horizontal="left"/>
    </xf>
    <xf numFmtId="37" fontId="79" fillId="17" borderId="11" xfId="0" applyFont="1" applyFill="1" applyBorder="1" applyAlignment="1">
      <alignment horizontal="left"/>
    </xf>
    <xf numFmtId="37" fontId="85" fillId="17" borderId="12" xfId="0" applyFont="1" applyFill="1" applyBorder="1"/>
    <xf numFmtId="165" fontId="85" fillId="17" borderId="12" xfId="0" applyNumberFormat="1" applyFont="1" applyFill="1" applyBorder="1"/>
    <xf numFmtId="37" fontId="82" fillId="0" borderId="0" xfId="0" applyFont="1"/>
    <xf numFmtId="37" fontId="83" fillId="0" borderId="0" xfId="0" applyFont="1" applyAlignment="1">
      <alignment horizontal="center"/>
    </xf>
    <xf numFmtId="3" fontId="98" fillId="0" borderId="0" xfId="0" applyNumberFormat="1" applyFont="1" applyAlignment="1">
      <alignment horizontal="left"/>
    </xf>
    <xf numFmtId="37" fontId="90" fillId="0" borderId="7" xfId="0" applyFont="1" applyBorder="1" applyAlignment="1">
      <alignment horizontal="center"/>
    </xf>
    <xf numFmtId="5" fontId="87" fillId="0" borderId="7" xfId="0" applyNumberFormat="1" applyFont="1" applyBorder="1" applyAlignment="1">
      <alignment horizontal="right"/>
    </xf>
    <xf numFmtId="5" fontId="86" fillId="17" borderId="7" xfId="0" applyNumberFormat="1" applyFont="1" applyFill="1" applyBorder="1" applyAlignment="1">
      <alignment horizontal="right" wrapText="1"/>
    </xf>
    <xf numFmtId="37" fontId="78" fillId="0" borderId="15" xfId="0" applyFont="1" applyBorder="1"/>
    <xf numFmtId="37" fontId="78" fillId="0" borderId="16" xfId="0" applyFont="1" applyBorder="1"/>
    <xf numFmtId="37" fontId="84" fillId="0" borderId="15" xfId="0" applyFont="1" applyBorder="1" applyAlignment="1">
      <alignment horizontal="center" wrapText="1"/>
    </xf>
    <xf numFmtId="174" fontId="87" fillId="16" borderId="4" xfId="0" applyNumberFormat="1" applyFont="1" applyFill="1" applyBorder="1" applyAlignment="1">
      <alignment horizontal="center"/>
    </xf>
    <xf numFmtId="5" fontId="87" fillId="0" borderId="4" xfId="0" applyNumberFormat="1" applyFont="1" applyBorder="1" applyAlignment="1">
      <alignment horizontal="left"/>
    </xf>
    <xf numFmtId="37" fontId="86" fillId="0" borderId="0" xfId="0" applyFont="1"/>
    <xf numFmtId="174" fontId="87" fillId="0" borderId="0" xfId="0" applyNumberFormat="1" applyFont="1" applyAlignment="1">
      <alignment horizontal="center"/>
    </xf>
    <xf numFmtId="37" fontId="74" fillId="0" borderId="0" xfId="0" applyFont="1" applyAlignment="1">
      <alignment horizontal="right" vertical="center"/>
    </xf>
    <xf numFmtId="37" fontId="82" fillId="0" borderId="0" xfId="0" applyFont="1" applyAlignment="1">
      <alignment horizontal="right" vertical="center"/>
    </xf>
    <xf numFmtId="37" fontId="104" fillId="0" borderId="0" xfId="0" applyFont="1" applyAlignment="1">
      <alignment horizontal="center"/>
    </xf>
    <xf numFmtId="5" fontId="86" fillId="0" borderId="7" xfId="0" applyNumberFormat="1" applyFont="1" applyBorder="1" applyAlignment="1">
      <alignment horizontal="right"/>
    </xf>
    <xf numFmtId="0" fontId="12" fillId="0" borderId="0" xfId="7" applyFont="1" applyAlignment="1">
      <alignment horizontal="center" vertical="center"/>
    </xf>
    <xf numFmtId="173" fontId="48" fillId="0" borderId="0" xfId="7" applyNumberFormat="1" applyFont="1" applyAlignment="1" applyProtection="1">
      <alignment horizontal="center"/>
      <protection locked="0"/>
    </xf>
    <xf numFmtId="0" fontId="36" fillId="0" borderId="0" xfId="7" applyFont="1" applyAlignment="1">
      <alignment horizontal="center"/>
    </xf>
    <xf numFmtId="0" fontId="49" fillId="0" borderId="0" xfId="7" applyFont="1" applyAlignment="1" applyProtection="1">
      <alignment horizontal="center"/>
      <protection locked="0"/>
    </xf>
    <xf numFmtId="0" fontId="39" fillId="16" borderId="0" xfId="6" applyFont="1" applyFill="1" applyAlignment="1">
      <alignment horizontal="center" vertical="center"/>
    </xf>
    <xf numFmtId="49" fontId="56" fillId="0" borderId="0" xfId="6" applyNumberFormat="1" applyFont="1" applyAlignment="1">
      <alignment horizontal="center" vertical="top"/>
    </xf>
    <xf numFmtId="0" fontId="39" fillId="0" borderId="0" xfId="6" applyFont="1" applyAlignment="1">
      <alignment horizontal="center" vertical="top"/>
    </xf>
    <xf numFmtId="37" fontId="74" fillId="0" borderId="0" xfId="0" applyFont="1" applyAlignment="1">
      <alignment horizontal="center"/>
    </xf>
    <xf numFmtId="37" fontId="89" fillId="0" borderId="8" xfId="0" applyFont="1" applyBorder="1" applyAlignment="1">
      <alignment horizontal="center"/>
    </xf>
    <xf numFmtId="0" fontId="23" fillId="16" borderId="8" xfId="1" applyFont="1" applyFill="1" applyBorder="1" applyAlignment="1">
      <alignment horizontal="center"/>
    </xf>
    <xf numFmtId="0" fontId="23" fillId="16" borderId="10" xfId="1" applyFont="1" applyFill="1" applyBorder="1" applyAlignment="1">
      <alignment horizontal="center"/>
    </xf>
    <xf numFmtId="37" fontId="87" fillId="0" borderId="0" xfId="0" applyFont="1" applyAlignment="1">
      <alignment horizontal="left" wrapText="1"/>
    </xf>
    <xf numFmtId="0" fontId="105" fillId="0" borderId="0" xfId="6" applyFont="1" applyAlignment="1">
      <alignment vertical="center"/>
    </xf>
    <xf numFmtId="0" fontId="74" fillId="3" borderId="30" xfId="6" applyFont="1" applyFill="1" applyBorder="1"/>
    <xf numFmtId="0" fontId="79" fillId="17" borderId="22" xfId="1" applyFont="1" applyFill="1" applyBorder="1"/>
    <xf numFmtId="0" fontId="74" fillId="16" borderId="13" xfId="6" applyFont="1" applyFill="1" applyBorder="1"/>
    <xf numFmtId="166" fontId="84" fillId="17" borderId="0" xfId="0" applyNumberFormat="1" applyFont="1" applyFill="1" applyAlignment="1" applyProtection="1">
      <alignment horizontal="center"/>
      <protection locked="0"/>
    </xf>
    <xf numFmtId="49" fontId="75" fillId="3" borderId="19" xfId="0" quotePrefix="1" applyNumberFormat="1" applyFont="1" applyFill="1" applyBorder="1" applyAlignment="1" applyProtection="1">
      <alignment horizontal="center"/>
      <protection locked="0"/>
    </xf>
    <xf numFmtId="37" fontId="84" fillId="0" borderId="0" xfId="0" applyFont="1" applyAlignment="1">
      <alignment vertical="center" wrapText="1"/>
    </xf>
    <xf numFmtId="37" fontId="101" fillId="0" borderId="0" xfId="0" applyFont="1"/>
    <xf numFmtId="37" fontId="108" fillId="11" borderId="0" xfId="0" applyFont="1" applyFill="1" applyAlignment="1">
      <alignment horizontal="center"/>
    </xf>
    <xf numFmtId="37" fontId="73" fillId="11" borderId="0" xfId="0" applyFont="1" applyFill="1"/>
    <xf numFmtId="37" fontId="78" fillId="11" borderId="0" xfId="0" applyFont="1" applyFill="1"/>
    <xf numFmtId="37" fontId="108" fillId="0" borderId="0" xfId="0" applyFont="1" applyAlignment="1">
      <alignment horizontal="center"/>
    </xf>
    <xf numFmtId="37" fontId="73" fillId="0" borderId="0" xfId="0" applyFont="1"/>
    <xf numFmtId="6" fontId="94" fillId="0" borderId="0" xfId="0" applyNumberFormat="1" applyFont="1" applyAlignment="1">
      <alignment horizontal="center" vertical="center"/>
    </xf>
    <xf numFmtId="37" fontId="86" fillId="0" borderId="0" xfId="0" applyFont="1" applyAlignment="1">
      <alignment horizontal="left"/>
    </xf>
    <xf numFmtId="37" fontId="85" fillId="0" borderId="0" xfId="0" applyFont="1" applyAlignment="1">
      <alignment horizontal="left"/>
    </xf>
    <xf numFmtId="0" fontId="100" fillId="11" borderId="0" xfId="0" applyNumberFormat="1" applyFont="1" applyFill="1"/>
    <xf numFmtId="174" fontId="94" fillId="0" borderId="0" xfId="0" applyNumberFormat="1" applyFont="1" applyAlignment="1">
      <alignment horizontal="center" vertical="center"/>
    </xf>
    <xf numFmtId="168" fontId="94" fillId="0" borderId="0" xfId="0" applyNumberFormat="1" applyFont="1" applyAlignment="1">
      <alignment horizontal="center" vertical="center"/>
    </xf>
    <xf numFmtId="172" fontId="94" fillId="0" borderId="0" xfId="0" applyNumberFormat="1" applyFont="1" applyAlignment="1">
      <alignment horizontal="center" vertical="center"/>
    </xf>
    <xf numFmtId="37" fontId="87" fillId="0" borderId="0" xfId="0" applyFont="1" applyAlignment="1">
      <alignment horizontal="left"/>
    </xf>
    <xf numFmtId="37" fontId="10" fillId="0" borderId="0" xfId="0" applyFont="1"/>
    <xf numFmtId="37" fontId="10" fillId="0" borderId="0" xfId="0" applyFont="1" applyAlignment="1">
      <alignment horizontal="center"/>
    </xf>
    <xf numFmtId="43" fontId="10" fillId="0" borderId="0" xfId="0" applyNumberFormat="1" applyFont="1"/>
    <xf numFmtId="37" fontId="10" fillId="0" borderId="0" xfId="0" applyFont="1" applyAlignment="1">
      <alignment horizontal="right"/>
    </xf>
    <xf numFmtId="37" fontId="13" fillId="0" borderId="0" xfId="0" applyFont="1"/>
    <xf numFmtId="166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43" fontId="10" fillId="0" borderId="0" xfId="0" applyNumberFormat="1" applyFont="1" applyAlignment="1">
      <alignment vertical="center"/>
    </xf>
    <xf numFmtId="37" fontId="0" fillId="0" borderId="0" xfId="0" applyAlignment="1">
      <alignment vertical="center"/>
    </xf>
    <xf numFmtId="37" fontId="33" fillId="0" borderId="0" xfId="0" applyFont="1" applyAlignment="1">
      <alignment horizontal="center"/>
    </xf>
    <xf numFmtId="37" fontId="10" fillId="20" borderId="0" xfId="0" applyFont="1" applyFill="1" applyAlignment="1">
      <alignment horizontal="center" wrapText="1"/>
    </xf>
    <xf numFmtId="165" fontId="10" fillId="17" borderId="0" xfId="0" applyNumberFormat="1" applyFont="1" applyFill="1" applyAlignment="1">
      <alignment horizontal="center" vertical="center" wrapText="1"/>
    </xf>
    <xf numFmtId="37" fontId="10" fillId="17" borderId="0" xfId="0" applyFont="1" applyFill="1" applyAlignment="1">
      <alignment horizontal="center" vertical="center" wrapText="1"/>
    </xf>
    <xf numFmtId="37" fontId="10" fillId="17" borderId="0" xfId="0" applyFont="1" applyFill="1" applyAlignment="1">
      <alignment horizontal="center" vertical="center"/>
    </xf>
    <xf numFmtId="37" fontId="13" fillId="20" borderId="0" xfId="0" applyFont="1" applyFill="1" applyAlignment="1">
      <alignment horizontal="center" wrapText="1"/>
    </xf>
    <xf numFmtId="37" fontId="13" fillId="21" borderId="0" xfId="0" applyFont="1" applyFill="1" applyAlignment="1" applyProtection="1">
      <alignment horizontal="center" wrapText="1"/>
      <protection locked="0"/>
    </xf>
    <xf numFmtId="165" fontId="10" fillId="17" borderId="0" xfId="0" applyNumberFormat="1" applyFont="1" applyFill="1" applyAlignment="1" applyProtection="1">
      <alignment horizontal="center" vertical="center" wrapText="1"/>
      <protection locked="0"/>
    </xf>
    <xf numFmtId="172" fontId="10" fillId="16" borderId="0" xfId="0" applyNumberFormat="1" applyFont="1" applyFill="1" applyAlignment="1">
      <alignment horizontal="center"/>
    </xf>
    <xf numFmtId="181" fontId="10" fillId="22" borderId="0" xfId="0" applyNumberFormat="1" applyFont="1" applyFill="1" applyAlignment="1">
      <alignment horizontal="center" vertical="center"/>
    </xf>
    <xf numFmtId="181" fontId="10" fillId="22" borderId="26" xfId="0" applyNumberFormat="1" applyFont="1" applyFill="1" applyBorder="1" applyAlignment="1">
      <alignment horizontal="center" vertical="center"/>
    </xf>
    <xf numFmtId="181" fontId="10" fillId="22" borderId="31" xfId="0" applyNumberFormat="1" applyFont="1" applyFill="1" applyBorder="1" applyAlignment="1">
      <alignment horizontal="center"/>
    </xf>
    <xf numFmtId="174" fontId="109" fillId="23" borderId="0" xfId="0" applyNumberFormat="1" applyFont="1" applyFill="1" applyAlignment="1">
      <alignment horizontal="center" vertical="center"/>
    </xf>
    <xf numFmtId="174" fontId="10" fillId="23" borderId="31" xfId="0" applyNumberFormat="1" applyFont="1" applyFill="1" applyBorder="1" applyAlignment="1">
      <alignment horizontal="center"/>
    </xf>
    <xf numFmtId="172" fontId="10" fillId="23" borderId="31" xfId="0" applyNumberFormat="1" applyFont="1" applyFill="1" applyBorder="1" applyAlignment="1">
      <alignment horizontal="center"/>
    </xf>
    <xf numFmtId="174" fontId="10" fillId="22" borderId="31" xfId="0" applyNumberFormat="1" applyFont="1" applyFill="1" applyBorder="1" applyAlignment="1">
      <alignment horizontal="center"/>
    </xf>
    <xf numFmtId="174" fontId="10" fillId="22" borderId="0" xfId="0" applyNumberFormat="1" applyFont="1" applyFill="1" applyAlignment="1">
      <alignment horizontal="center" vertical="center"/>
    </xf>
    <xf numFmtId="174" fontId="10" fillId="22" borderId="26" xfId="0" applyNumberFormat="1" applyFont="1" applyFill="1" applyBorder="1" applyAlignment="1">
      <alignment horizontal="center" vertical="center"/>
    </xf>
    <xf numFmtId="181" fontId="10" fillId="23" borderId="26" xfId="0" applyNumberFormat="1" applyFont="1" applyFill="1" applyBorder="1" applyAlignment="1">
      <alignment horizontal="center"/>
    </xf>
    <xf numFmtId="3" fontId="10" fillId="22" borderId="26" xfId="0" applyNumberFormat="1" applyFont="1" applyFill="1" applyBorder="1" applyAlignment="1">
      <alignment horizontal="center"/>
    </xf>
    <xf numFmtId="174" fontId="10" fillId="2" borderId="14" xfId="0" applyNumberFormat="1" applyFont="1" applyFill="1" applyBorder="1" applyAlignment="1" applyProtection="1">
      <alignment horizontal="center" vertical="center"/>
      <protection locked="0"/>
    </xf>
    <xf numFmtId="181" fontId="10" fillId="20" borderId="0" xfId="0" applyNumberFormat="1" applyFont="1" applyFill="1" applyAlignment="1">
      <alignment horizontal="center" vertical="center"/>
    </xf>
    <xf numFmtId="174" fontId="10" fillId="20" borderId="0" xfId="0" applyNumberFormat="1" applyFont="1" applyFill="1" applyAlignment="1">
      <alignment horizontal="center" vertical="center"/>
    </xf>
    <xf numFmtId="174" fontId="10" fillId="21" borderId="0" xfId="0" applyNumberFormat="1" applyFont="1" applyFill="1" applyAlignment="1" applyProtection="1">
      <alignment horizontal="center" vertical="center"/>
      <protection locked="0"/>
    </xf>
    <xf numFmtId="172" fontId="10" fillId="21" borderId="0" xfId="0" applyNumberFormat="1" applyFont="1" applyFill="1" applyAlignment="1" applyProtection="1">
      <alignment horizontal="center" vertical="center"/>
      <protection locked="0"/>
    </xf>
    <xf numFmtId="174" fontId="10" fillId="2" borderId="32" xfId="0" applyNumberFormat="1" applyFont="1" applyFill="1" applyBorder="1" applyAlignment="1" applyProtection="1">
      <alignment horizontal="center" vertical="center"/>
      <protection locked="0"/>
    </xf>
    <xf numFmtId="6" fontId="10" fillId="21" borderId="0" xfId="0" applyNumberFormat="1" applyFont="1" applyFill="1" applyAlignment="1" applyProtection="1">
      <alignment horizontal="center" vertical="center"/>
      <protection locked="0"/>
    </xf>
    <xf numFmtId="174" fontId="10" fillId="23" borderId="26" xfId="0" applyNumberFormat="1" applyFont="1" applyFill="1" applyBorder="1" applyAlignment="1">
      <alignment horizontal="center" vertical="center"/>
    </xf>
    <xf numFmtId="6" fontId="10" fillId="23" borderId="33" xfId="0" applyNumberFormat="1" applyFont="1" applyFill="1" applyBorder="1" applyAlignment="1" applyProtection="1">
      <alignment horizontal="center" vertical="center"/>
      <protection locked="0"/>
    </xf>
    <xf numFmtId="172" fontId="10" fillId="23" borderId="33" xfId="0" applyNumberFormat="1" applyFont="1" applyFill="1" applyBorder="1" applyAlignment="1" applyProtection="1">
      <alignment horizontal="center" vertical="center"/>
      <protection locked="0"/>
    </xf>
    <xf numFmtId="172" fontId="10" fillId="23" borderId="26" xfId="0" applyNumberFormat="1" applyFont="1" applyFill="1" applyBorder="1" applyAlignment="1">
      <alignment horizontal="center" vertical="center"/>
    </xf>
    <xf numFmtId="3" fontId="10" fillId="2" borderId="14" xfId="0" applyNumberFormat="1" applyFont="1" applyFill="1" applyBorder="1" applyAlignment="1" applyProtection="1">
      <alignment horizontal="center"/>
      <protection locked="0"/>
    </xf>
    <xf numFmtId="181" fontId="10" fillId="2" borderId="14" xfId="0" applyNumberFormat="1" applyFont="1" applyFill="1" applyBorder="1" applyAlignment="1" applyProtection="1">
      <alignment horizontal="center" vertical="center"/>
      <protection locked="0"/>
    </xf>
    <xf numFmtId="174" fontId="10" fillId="23" borderId="0" xfId="0" applyNumberFormat="1" applyFont="1" applyFill="1" applyAlignment="1" applyProtection="1">
      <alignment horizontal="center" vertical="center"/>
      <protection locked="0"/>
    </xf>
    <xf numFmtId="181" fontId="10" fillId="23" borderId="0" xfId="0" applyNumberFormat="1" applyFont="1" applyFill="1" applyAlignment="1" applyProtection="1">
      <alignment horizontal="center" vertical="center"/>
      <protection locked="0"/>
    </xf>
    <xf numFmtId="37" fontId="10" fillId="17" borderId="0" xfId="0" applyFont="1" applyFill="1" applyAlignment="1" applyProtection="1">
      <alignment horizontal="center" vertical="center" wrapText="1"/>
      <protection locked="0"/>
    </xf>
    <xf numFmtId="181" fontId="10" fillId="19" borderId="14" xfId="0" applyNumberFormat="1" applyFont="1" applyFill="1" applyBorder="1" applyAlignment="1" applyProtection="1">
      <alignment horizontal="center"/>
      <protection locked="0"/>
    </xf>
    <xf numFmtId="174" fontId="84" fillId="0" borderId="0" xfId="0" applyNumberFormat="1" applyFont="1" applyAlignment="1">
      <alignment horizontal="center"/>
    </xf>
    <xf numFmtId="3" fontId="86" fillId="0" borderId="0" xfId="0" applyNumberFormat="1" applyFont="1" applyAlignment="1">
      <alignment horizontal="center"/>
    </xf>
    <xf numFmtId="37" fontId="85" fillId="17" borderId="8" xfId="0" applyFont="1" applyFill="1" applyBorder="1"/>
    <xf numFmtId="37" fontId="85" fillId="17" borderId="9" xfId="0" applyFont="1" applyFill="1" applyBorder="1"/>
    <xf numFmtId="37" fontId="91" fillId="17" borderId="9" xfId="0" applyFont="1" applyFill="1" applyBorder="1" applyAlignment="1">
      <alignment horizontal="center"/>
    </xf>
    <xf numFmtId="37" fontId="92" fillId="17" borderId="10" xfId="0" applyFont="1" applyFill="1" applyBorder="1" applyAlignment="1">
      <alignment horizontal="center"/>
    </xf>
    <xf numFmtId="37" fontId="85" fillId="0" borderId="15" xfId="0" applyFont="1" applyBorder="1" applyAlignment="1">
      <alignment horizontal="left"/>
    </xf>
    <xf numFmtId="172" fontId="85" fillId="16" borderId="0" xfId="0" applyNumberFormat="1" applyFont="1" applyFill="1" applyAlignment="1">
      <alignment horizontal="center"/>
    </xf>
    <xf numFmtId="172" fontId="85" fillId="16" borderId="16" xfId="0" applyNumberFormat="1" applyFont="1" applyFill="1" applyBorder="1" applyAlignment="1">
      <alignment horizontal="center"/>
    </xf>
    <xf numFmtId="172" fontId="84" fillId="16" borderId="34" xfId="0" applyNumberFormat="1" applyFont="1" applyFill="1" applyBorder="1" applyAlignment="1">
      <alignment horizontal="center"/>
    </xf>
    <xf numFmtId="37" fontId="85" fillId="0" borderId="11" xfId="0" applyFont="1" applyBorder="1" applyAlignment="1">
      <alignment horizontal="left"/>
    </xf>
    <xf numFmtId="37" fontId="84" fillId="0" borderId="12" xfId="0" applyFont="1" applyBorder="1" applyAlignment="1">
      <alignment horizontal="right"/>
    </xf>
    <xf numFmtId="174" fontId="84" fillId="16" borderId="12" xfId="0" applyNumberFormat="1" applyFont="1" applyFill="1" applyBorder="1" applyAlignment="1">
      <alignment horizontal="center"/>
    </xf>
    <xf numFmtId="3" fontId="86" fillId="16" borderId="13" xfId="0" applyNumberFormat="1" applyFont="1" applyFill="1" applyBorder="1" applyAlignment="1">
      <alignment horizontal="center"/>
    </xf>
    <xf numFmtId="37" fontId="84" fillId="0" borderId="8" xfId="0" applyFont="1" applyBorder="1" applyAlignment="1">
      <alignment horizontal="left"/>
    </xf>
    <xf numFmtId="37" fontId="84" fillId="0" borderId="9" xfId="0" applyFont="1" applyBorder="1" applyAlignment="1">
      <alignment horizontal="right"/>
    </xf>
    <xf numFmtId="5" fontId="84" fillId="0" borderId="9" xfId="0" applyNumberFormat="1" applyFont="1" applyBorder="1" applyAlignment="1">
      <alignment horizontal="center"/>
    </xf>
    <xf numFmtId="5" fontId="85" fillId="0" borderId="9" xfId="0" applyNumberFormat="1" applyFont="1" applyBorder="1" applyAlignment="1">
      <alignment horizontal="right"/>
    </xf>
    <xf numFmtId="172" fontId="84" fillId="16" borderId="10" xfId="0" applyNumberFormat="1" applyFont="1" applyFill="1" applyBorder="1" applyAlignment="1">
      <alignment horizontal="center"/>
    </xf>
    <xf numFmtId="37" fontId="84" fillId="0" borderId="15" xfId="0" applyFont="1" applyBorder="1" applyAlignment="1">
      <alignment horizontal="left"/>
    </xf>
    <xf numFmtId="172" fontId="84" fillId="16" borderId="16" xfId="0" applyNumberFormat="1" applyFont="1" applyFill="1" applyBorder="1" applyAlignment="1">
      <alignment horizontal="center"/>
    </xf>
    <xf numFmtId="10" fontId="84" fillId="16" borderId="16" xfId="5" applyNumberFormat="1" applyFont="1" applyFill="1" applyBorder="1" applyAlignment="1">
      <alignment horizontal="center"/>
    </xf>
    <xf numFmtId="3" fontId="84" fillId="3" borderId="35" xfId="5" applyNumberFormat="1" applyFont="1" applyFill="1" applyBorder="1" applyAlignment="1" applyProtection="1">
      <alignment horizontal="center"/>
      <protection locked="0"/>
    </xf>
    <xf numFmtId="5" fontId="84" fillId="0" borderId="12" xfId="0" applyNumberFormat="1" applyFont="1" applyBorder="1" applyAlignment="1">
      <alignment horizontal="center"/>
    </xf>
    <xf numFmtId="5" fontId="85" fillId="0" borderId="12" xfId="0" applyNumberFormat="1" applyFont="1" applyBorder="1" applyAlignment="1">
      <alignment horizontal="right"/>
    </xf>
    <xf numFmtId="3" fontId="84" fillId="16" borderId="13" xfId="5" applyNumberFormat="1" applyFont="1" applyFill="1" applyBorder="1" applyAlignment="1">
      <alignment horizontal="center"/>
    </xf>
    <xf numFmtId="3" fontId="84" fillId="0" borderId="0" xfId="5" applyNumberFormat="1" applyFont="1" applyFill="1" applyBorder="1" applyAlignment="1">
      <alignment horizontal="center"/>
    </xf>
    <xf numFmtId="37" fontId="85" fillId="0" borderId="8" xfId="0" applyFont="1" applyBorder="1"/>
    <xf numFmtId="37" fontId="85" fillId="0" borderId="9" xfId="0" applyFont="1" applyBorder="1"/>
    <xf numFmtId="37" fontId="85" fillId="0" borderId="9" xfId="0" applyFont="1" applyBorder="1" applyAlignment="1">
      <alignment horizontal="right"/>
    </xf>
    <xf numFmtId="174" fontId="84" fillId="16" borderId="10" xfId="0" applyNumberFormat="1" applyFont="1" applyFill="1" applyBorder="1" applyAlignment="1">
      <alignment horizontal="center"/>
    </xf>
    <xf numFmtId="10" fontId="85" fillId="16" borderId="16" xfId="0" applyNumberFormat="1" applyFont="1" applyFill="1" applyBorder="1" applyAlignment="1">
      <alignment horizontal="center"/>
    </xf>
    <xf numFmtId="37" fontId="85" fillId="0" borderId="11" xfId="0" applyFont="1" applyBorder="1"/>
    <xf numFmtId="37" fontId="85" fillId="0" borderId="12" xfId="0" applyFont="1" applyBorder="1"/>
    <xf numFmtId="37" fontId="85" fillId="0" borderId="12" xfId="0" applyFont="1" applyBorder="1" applyAlignment="1">
      <alignment horizontal="right"/>
    </xf>
    <xf numFmtId="174" fontId="84" fillId="16" borderId="13" xfId="0" applyNumberFormat="1" applyFont="1" applyFill="1" applyBorder="1" applyAlignment="1">
      <alignment horizontal="center"/>
    </xf>
    <xf numFmtId="37" fontId="84" fillId="0" borderId="8" xfId="0" applyFont="1" applyBorder="1" applyAlignment="1">
      <alignment horizontal="center"/>
    </xf>
    <xf numFmtId="37" fontId="78" fillId="0" borderId="9" xfId="0" applyFont="1" applyBorder="1"/>
    <xf numFmtId="37" fontId="78" fillId="0" borderId="10" xfId="0" applyFont="1" applyBorder="1"/>
    <xf numFmtId="37" fontId="92" fillId="17" borderId="16" xfId="0" applyFont="1" applyFill="1" applyBorder="1" applyAlignment="1">
      <alignment horizontal="center"/>
    </xf>
    <xf numFmtId="174" fontId="85" fillId="16" borderId="0" xfId="0" applyNumberFormat="1" applyFont="1" applyFill="1" applyAlignment="1">
      <alignment horizontal="center"/>
    </xf>
    <xf numFmtId="3" fontId="85" fillId="16" borderId="16" xfId="0" applyNumberFormat="1" applyFont="1" applyFill="1" applyBorder="1" applyAlignment="1">
      <alignment horizontal="center"/>
    </xf>
    <xf numFmtId="10" fontId="85" fillId="16" borderId="0" xfId="0" applyNumberFormat="1" applyFont="1" applyFill="1" applyAlignment="1">
      <alignment horizontal="center"/>
    </xf>
    <xf numFmtId="164" fontId="87" fillId="16" borderId="16" xfId="0" applyNumberFormat="1" applyFont="1" applyFill="1" applyBorder="1" applyAlignment="1">
      <alignment horizontal="center"/>
    </xf>
    <xf numFmtId="174" fontId="87" fillId="16" borderId="16" xfId="0" applyNumberFormat="1" applyFont="1" applyFill="1" applyBorder="1" applyAlignment="1">
      <alignment horizontal="center"/>
    </xf>
    <xf numFmtId="172" fontId="84" fillId="16" borderId="0" xfId="0" applyNumberFormat="1" applyFont="1" applyFill="1" applyAlignment="1">
      <alignment horizontal="center"/>
    </xf>
    <xf numFmtId="8" fontId="84" fillId="0" borderId="0" xfId="0" applyNumberFormat="1" applyFont="1" applyAlignment="1">
      <alignment horizontal="center"/>
    </xf>
    <xf numFmtId="8" fontId="84" fillId="0" borderId="16" xfId="0" applyNumberFormat="1" applyFont="1" applyBorder="1" applyAlignment="1">
      <alignment horizontal="center"/>
    </xf>
    <xf numFmtId="9" fontId="85" fillId="16" borderId="16" xfId="0" applyNumberFormat="1" applyFont="1" applyFill="1" applyBorder="1" applyAlignment="1">
      <alignment horizontal="center"/>
    </xf>
    <xf numFmtId="174" fontId="85" fillId="16" borderId="16" xfId="0" applyNumberFormat="1" applyFont="1" applyFill="1" applyBorder="1" applyAlignment="1">
      <alignment horizontal="center"/>
    </xf>
    <xf numFmtId="175" fontId="82" fillId="16" borderId="13" xfId="0" applyNumberFormat="1" applyFont="1" applyFill="1" applyBorder="1" applyAlignment="1">
      <alignment horizontal="center"/>
    </xf>
    <xf numFmtId="165" fontId="85" fillId="17" borderId="0" xfId="0" applyNumberFormat="1" applyFont="1" applyFill="1"/>
    <xf numFmtId="165" fontId="85" fillId="17" borderId="16" xfId="0" applyNumberFormat="1" applyFont="1" applyFill="1" applyBorder="1"/>
    <xf numFmtId="165" fontId="85" fillId="17" borderId="13" xfId="0" applyNumberFormat="1" applyFont="1" applyFill="1" applyBorder="1"/>
    <xf numFmtId="5" fontId="86" fillId="0" borderId="3" xfId="0" applyNumberFormat="1" applyFont="1" applyBorder="1" applyAlignment="1">
      <alignment horizontal="right"/>
    </xf>
    <xf numFmtId="9" fontId="87" fillId="16" borderId="0" xfId="5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4" fontId="10" fillId="0" borderId="0" xfId="0" applyNumberFormat="1" applyFont="1" applyAlignment="1">
      <alignment horizontal="center"/>
    </xf>
    <xf numFmtId="37" fontId="110" fillId="0" borderId="0" xfId="0" applyFont="1"/>
    <xf numFmtId="172" fontId="10" fillId="2" borderId="14" xfId="0" applyNumberFormat="1" applyFont="1" applyFill="1" applyBorder="1" applyAlignment="1" applyProtection="1">
      <alignment horizontal="center" vertical="center"/>
      <protection locked="0"/>
    </xf>
    <xf numFmtId="172" fontId="10" fillId="2" borderId="32" xfId="0" applyNumberFormat="1" applyFont="1" applyFill="1" applyBorder="1" applyAlignment="1" applyProtection="1">
      <alignment horizontal="center" vertical="center"/>
      <protection locked="0"/>
    </xf>
    <xf numFmtId="170" fontId="109" fillId="23" borderId="0" xfId="0" applyNumberFormat="1" applyFont="1" applyFill="1" applyAlignment="1">
      <alignment horizontal="center" vertical="center"/>
    </xf>
    <xf numFmtId="181" fontId="10" fillId="0" borderId="0" xfId="0" applyNumberFormat="1" applyFont="1" applyAlignment="1">
      <alignment horizontal="center"/>
    </xf>
    <xf numFmtId="3" fontId="10" fillId="0" borderId="0" xfId="0" applyNumberFormat="1" applyFont="1" applyAlignment="1" applyProtection="1">
      <alignment horizontal="center"/>
      <protection locked="0"/>
    </xf>
    <xf numFmtId="181" fontId="10" fillId="0" borderId="0" xfId="0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"/>
    </xf>
    <xf numFmtId="37" fontId="13" fillId="20" borderId="0" xfId="0" applyFont="1" applyFill="1" applyAlignment="1">
      <alignment horizontal="center"/>
    </xf>
    <xf numFmtId="37" fontId="93" fillId="0" borderId="0" xfId="8" applyNumberFormat="1" applyFont="1" applyFill="1" applyAlignment="1"/>
    <xf numFmtId="181" fontId="10" fillId="0" borderId="0" xfId="0" applyNumberFormat="1" applyFont="1" applyAlignment="1" applyProtection="1">
      <alignment horizontal="center" vertical="center"/>
      <protection locked="0"/>
    </xf>
    <xf numFmtId="37" fontId="74" fillId="0" borderId="0" xfId="0" applyFont="1"/>
    <xf numFmtId="37" fontId="89" fillId="0" borderId="9" xfId="0" applyFont="1" applyBorder="1"/>
    <xf numFmtId="37" fontId="89" fillId="0" borderId="10" xfId="0" applyFont="1" applyBorder="1"/>
    <xf numFmtId="37" fontId="78" fillId="0" borderId="8" xfId="0" applyFont="1" applyBorder="1"/>
    <xf numFmtId="166" fontId="102" fillId="7" borderId="0" xfId="0" applyNumberFormat="1" applyFont="1" applyFill="1" applyAlignment="1">
      <alignment vertical="top" wrapText="1"/>
    </xf>
    <xf numFmtId="166" fontId="102" fillId="7" borderId="0" xfId="0" applyNumberFormat="1" applyFont="1" applyFill="1" applyAlignment="1">
      <alignment horizontal="center" vertical="top"/>
    </xf>
    <xf numFmtId="37" fontId="78" fillId="7" borderId="0" xfId="0" applyFont="1" applyFill="1"/>
    <xf numFmtId="175" fontId="82" fillId="16" borderId="33" xfId="0" applyNumberFormat="1" applyFont="1" applyFill="1" applyBorder="1" applyAlignment="1">
      <alignment horizontal="center"/>
    </xf>
    <xf numFmtId="175" fontId="82" fillId="16" borderId="36" xfId="0" applyNumberFormat="1" applyFont="1" applyFill="1" applyBorder="1" applyAlignment="1">
      <alignment horizontal="center"/>
    </xf>
    <xf numFmtId="43" fontId="78" fillId="0" borderId="0" xfId="14" applyFont="1"/>
    <xf numFmtId="37" fontId="78" fillId="0" borderId="0" xfId="0" applyFont="1" applyAlignment="1">
      <alignment horizontal="right"/>
    </xf>
    <xf numFmtId="37" fontId="100" fillId="0" borderId="0" xfId="0" applyFont="1"/>
    <xf numFmtId="37" fontId="111" fillId="0" borderId="0" xfId="0" applyFont="1" applyAlignment="1">
      <alignment wrapText="1"/>
    </xf>
    <xf numFmtId="43" fontId="111" fillId="0" borderId="0" xfId="14" applyFont="1" applyAlignment="1">
      <alignment wrapText="1"/>
    </xf>
    <xf numFmtId="37" fontId="78" fillId="6" borderId="0" xfId="0" applyFont="1" applyFill="1" applyAlignment="1">
      <alignment vertical="center" wrapText="1"/>
    </xf>
    <xf numFmtId="170" fontId="111" fillId="4" borderId="0" xfId="0" applyNumberFormat="1" applyFont="1" applyFill="1" applyAlignment="1">
      <alignment wrapText="1"/>
    </xf>
    <xf numFmtId="37" fontId="111" fillId="4" borderId="0" xfId="0" applyFont="1" applyFill="1" applyAlignment="1">
      <alignment wrapText="1"/>
    </xf>
    <xf numFmtId="37" fontId="111" fillId="4" borderId="0" xfId="0" applyFont="1" applyFill="1" applyAlignment="1">
      <alignment horizontal="right" wrapText="1"/>
    </xf>
    <xf numFmtId="170" fontId="111" fillId="0" borderId="0" xfId="0" applyNumberFormat="1" applyFont="1" applyAlignment="1">
      <alignment wrapText="1"/>
    </xf>
    <xf numFmtId="171" fontId="111" fillId="5" borderId="0" xfId="0" applyNumberFormat="1" applyFont="1" applyFill="1" applyAlignment="1">
      <alignment wrapText="1"/>
    </xf>
    <xf numFmtId="37" fontId="111" fillId="5" borderId="0" xfId="0" applyFont="1" applyFill="1" applyAlignment="1">
      <alignment wrapText="1"/>
    </xf>
    <xf numFmtId="43" fontId="111" fillId="4" borderId="0" xfId="14" applyFont="1" applyFill="1" applyAlignment="1">
      <alignment wrapText="1"/>
    </xf>
    <xf numFmtId="37" fontId="78" fillId="7" borderId="0" xfId="0" applyFont="1" applyFill="1" applyAlignment="1">
      <alignment horizontal="center"/>
    </xf>
    <xf numFmtId="37" fontId="78" fillId="0" borderId="0" xfId="0" applyFont="1" applyAlignment="1">
      <alignment horizontal="center"/>
    </xf>
    <xf numFmtId="170" fontId="78" fillId="0" borderId="0" xfId="0" applyNumberFormat="1" applyFont="1" applyAlignment="1">
      <alignment horizontal="center"/>
    </xf>
    <xf numFmtId="43" fontId="78" fillId="0" borderId="0" xfId="14" applyFont="1" applyAlignment="1">
      <alignment horizontal="center"/>
    </xf>
    <xf numFmtId="43" fontId="100" fillId="0" borderId="0" xfId="14" applyFont="1" applyAlignment="1">
      <alignment horizontal="center"/>
    </xf>
    <xf numFmtId="170" fontId="78" fillId="0" borderId="0" xfId="0" applyNumberFormat="1" applyFont="1" applyAlignment="1">
      <alignment horizontal="center" vertical="top" wrapText="1"/>
    </xf>
    <xf numFmtId="172" fontId="100" fillId="0" borderId="0" xfId="0" applyNumberFormat="1" applyFont="1" applyAlignment="1">
      <alignment horizontal="center"/>
    </xf>
    <xf numFmtId="168" fontId="78" fillId="0" borderId="0" xfId="0" applyNumberFormat="1" applyFont="1" applyAlignment="1">
      <alignment horizontal="center"/>
    </xf>
    <xf numFmtId="170" fontId="100" fillId="0" borderId="0" xfId="0" applyNumberFormat="1" applyFont="1" applyAlignment="1">
      <alignment horizontal="center"/>
    </xf>
    <xf numFmtId="165" fontId="78" fillId="0" borderId="0" xfId="0" applyNumberFormat="1" applyFont="1" applyAlignment="1">
      <alignment horizontal="right"/>
    </xf>
    <xf numFmtId="170" fontId="112" fillId="0" borderId="0" xfId="0" applyNumberFormat="1" applyFont="1" applyAlignment="1">
      <alignment horizontal="center"/>
    </xf>
    <xf numFmtId="37" fontId="78" fillId="8" borderId="0" xfId="0" applyFont="1" applyFill="1" applyAlignment="1">
      <alignment horizontal="center"/>
    </xf>
    <xf numFmtId="170" fontId="78" fillId="8" borderId="0" xfId="0" applyNumberFormat="1" applyFont="1" applyFill="1" applyAlignment="1">
      <alignment horizontal="center"/>
    </xf>
    <xf numFmtId="37" fontId="78" fillId="3" borderId="0" xfId="0" applyFont="1" applyFill="1" applyAlignment="1">
      <alignment horizontal="center"/>
    </xf>
    <xf numFmtId="37" fontId="78" fillId="9" borderId="0" xfId="0" applyFont="1" applyFill="1" applyAlignment="1">
      <alignment horizontal="center"/>
    </xf>
    <xf numFmtId="170" fontId="78" fillId="9" borderId="0" xfId="0" applyNumberFormat="1" applyFont="1" applyFill="1" applyAlignment="1">
      <alignment horizontal="center"/>
    </xf>
    <xf numFmtId="170" fontId="100" fillId="10" borderId="0" xfId="0" applyNumberFormat="1" applyFont="1" applyFill="1" applyAlignment="1">
      <alignment horizontal="center"/>
    </xf>
    <xf numFmtId="37" fontId="78" fillId="10" borderId="0" xfId="0" applyFont="1" applyFill="1" applyAlignment="1">
      <alignment horizontal="center"/>
    </xf>
    <xf numFmtId="170" fontId="78" fillId="10" borderId="0" xfId="0" applyNumberFormat="1" applyFont="1" applyFill="1" applyAlignment="1">
      <alignment horizontal="center"/>
    </xf>
    <xf numFmtId="168" fontId="78" fillId="10" borderId="0" xfId="0" applyNumberFormat="1" applyFont="1" applyFill="1" applyAlignment="1">
      <alignment horizontal="center"/>
    </xf>
    <xf numFmtId="172" fontId="100" fillId="0" borderId="0" xfId="0" applyNumberFormat="1" applyFont="1"/>
    <xf numFmtId="170" fontId="78" fillId="0" borderId="0" xfId="0" applyNumberFormat="1" applyFont="1"/>
    <xf numFmtId="168" fontId="78" fillId="0" borderId="0" xfId="0" applyNumberFormat="1" applyFont="1"/>
    <xf numFmtId="166" fontId="78" fillId="0" borderId="0" xfId="0" applyNumberFormat="1" applyFont="1"/>
    <xf numFmtId="176" fontId="78" fillId="0" borderId="0" xfId="14" applyNumberFormat="1" applyFont="1"/>
    <xf numFmtId="172" fontId="78" fillId="0" borderId="0" xfId="0" applyNumberFormat="1" applyFont="1"/>
    <xf numFmtId="170" fontId="100" fillId="0" borderId="0" xfId="0" applyNumberFormat="1" applyFont="1"/>
    <xf numFmtId="0" fontId="78" fillId="0" borderId="0" xfId="11" applyFont="1" applyAlignment="1">
      <alignment horizontal="center"/>
    </xf>
    <xf numFmtId="0" fontId="78" fillId="0" borderId="0" xfId="11" applyFont="1" applyAlignment="1">
      <alignment horizontal="right"/>
    </xf>
    <xf numFmtId="172" fontId="100" fillId="0" borderId="0" xfId="11" applyNumberFormat="1" applyFont="1"/>
    <xf numFmtId="0" fontId="100" fillId="0" borderId="0" xfId="11" applyFont="1" applyAlignment="1">
      <alignment horizontal="center"/>
    </xf>
    <xf numFmtId="0" fontId="100" fillId="0" borderId="0" xfId="11" applyFont="1"/>
    <xf numFmtId="170" fontId="78" fillId="0" borderId="0" xfId="11" applyNumberFormat="1" applyFont="1" applyAlignment="1">
      <alignment horizontal="center"/>
    </xf>
    <xf numFmtId="165" fontId="100" fillId="0" borderId="0" xfId="14" applyNumberFormat="1" applyFont="1"/>
    <xf numFmtId="170" fontId="78" fillId="0" borderId="0" xfId="11" applyNumberFormat="1" applyFont="1" applyAlignment="1">
      <alignment horizontal="right"/>
    </xf>
    <xf numFmtId="168" fontId="78" fillId="0" borderId="0" xfId="11" applyNumberFormat="1" applyFont="1" applyAlignment="1">
      <alignment horizontal="center"/>
    </xf>
    <xf numFmtId="170" fontId="100" fillId="0" borderId="0" xfId="11" applyNumberFormat="1" applyFont="1" applyAlignment="1">
      <alignment horizontal="center"/>
    </xf>
    <xf numFmtId="165" fontId="78" fillId="0" borderId="0" xfId="11" applyNumberFormat="1" applyFont="1" applyAlignment="1">
      <alignment horizontal="right"/>
    </xf>
    <xf numFmtId="168" fontId="100" fillId="0" borderId="0" xfId="0" applyNumberFormat="1" applyFont="1" applyAlignment="1">
      <alignment horizontal="right"/>
    </xf>
    <xf numFmtId="170" fontId="112" fillId="0" borderId="0" xfId="11" applyNumberFormat="1" applyFont="1" applyAlignment="1">
      <alignment horizontal="right"/>
    </xf>
    <xf numFmtId="172" fontId="100" fillId="0" borderId="0" xfId="11" applyNumberFormat="1" applyFont="1" applyAlignment="1">
      <alignment horizontal="center"/>
    </xf>
    <xf numFmtId="172" fontId="100" fillId="12" borderId="0" xfId="11" applyNumberFormat="1" applyFont="1" applyFill="1" applyAlignment="1">
      <alignment horizontal="center"/>
    </xf>
    <xf numFmtId="168" fontId="100" fillId="15" borderId="0" xfId="0" applyNumberFormat="1" applyFont="1" applyFill="1" applyAlignment="1">
      <alignment horizontal="right"/>
    </xf>
    <xf numFmtId="168" fontId="78" fillId="15" borderId="0" xfId="11" applyNumberFormat="1" applyFont="1" applyFill="1" applyAlignment="1">
      <alignment horizontal="center"/>
    </xf>
    <xf numFmtId="170" fontId="100" fillId="15" borderId="0" xfId="11" applyNumberFormat="1" applyFont="1" applyFill="1" applyAlignment="1">
      <alignment horizontal="center"/>
    </xf>
    <xf numFmtId="0" fontId="78" fillId="15" borderId="0" xfId="11" applyFont="1" applyFill="1" applyAlignment="1">
      <alignment horizontal="center"/>
    </xf>
    <xf numFmtId="0" fontId="78" fillId="8" borderId="0" xfId="11" applyFont="1" applyFill="1" applyAlignment="1">
      <alignment horizontal="center"/>
    </xf>
    <xf numFmtId="165" fontId="100" fillId="10" borderId="0" xfId="14" applyNumberFormat="1" applyFont="1" applyFill="1"/>
    <xf numFmtId="170" fontId="78" fillId="10" borderId="0" xfId="11" applyNumberFormat="1" applyFont="1" applyFill="1" applyAlignment="1">
      <alignment horizontal="right"/>
    </xf>
    <xf numFmtId="168" fontId="78" fillId="10" borderId="0" xfId="11" applyNumberFormat="1" applyFont="1" applyFill="1" applyAlignment="1">
      <alignment horizontal="center"/>
    </xf>
    <xf numFmtId="170" fontId="100" fillId="10" borderId="0" xfId="11" applyNumberFormat="1" applyFont="1" applyFill="1" applyAlignment="1">
      <alignment horizontal="center"/>
    </xf>
    <xf numFmtId="168" fontId="78" fillId="0" borderId="0" xfId="11" applyNumberFormat="1" applyFont="1" applyAlignment="1">
      <alignment horizontal="right"/>
    </xf>
    <xf numFmtId="38" fontId="78" fillId="0" borderId="0" xfId="11" applyNumberFormat="1" applyFont="1" applyAlignment="1">
      <alignment horizontal="center"/>
    </xf>
    <xf numFmtId="172" fontId="78" fillId="0" borderId="0" xfId="11" applyNumberFormat="1" applyFont="1" applyAlignment="1">
      <alignment horizontal="center"/>
    </xf>
    <xf numFmtId="172" fontId="78" fillId="0" borderId="0" xfId="11" applyNumberFormat="1" applyFont="1" applyAlignment="1">
      <alignment horizontal="right"/>
    </xf>
    <xf numFmtId="172" fontId="78" fillId="0" borderId="0" xfId="11" applyNumberFormat="1" applyFont="1"/>
    <xf numFmtId="0" fontId="78" fillId="0" borderId="0" xfId="11" applyFont="1" applyAlignment="1">
      <alignment horizontal="left"/>
    </xf>
    <xf numFmtId="43" fontId="110" fillId="0" borderId="0" xfId="14" applyFont="1" applyFill="1" applyBorder="1"/>
    <xf numFmtId="178" fontId="78" fillId="0" borderId="0" xfId="0" applyNumberFormat="1" applyFont="1" applyAlignment="1">
      <alignment vertical="top"/>
    </xf>
    <xf numFmtId="37" fontId="78" fillId="0" borderId="0" xfId="0" applyFont="1" applyAlignment="1">
      <alignment vertical="top"/>
    </xf>
    <xf numFmtId="179" fontId="78" fillId="0" borderId="0" xfId="0" applyNumberFormat="1" applyFont="1" applyAlignment="1">
      <alignment vertical="top"/>
    </xf>
    <xf numFmtId="43" fontId="78" fillId="0" borderId="0" xfId="0" applyNumberFormat="1" applyFont="1" applyAlignment="1">
      <alignment vertical="top"/>
    </xf>
    <xf numFmtId="177" fontId="78" fillId="0" borderId="0" xfId="0" applyNumberFormat="1" applyFont="1" applyAlignment="1">
      <alignment vertical="top"/>
    </xf>
    <xf numFmtId="0" fontId="63" fillId="3" borderId="0" xfId="6" applyFont="1" applyFill="1"/>
    <xf numFmtId="0" fontId="63" fillId="16" borderId="0" xfId="6" applyFont="1" applyFill="1"/>
    <xf numFmtId="37" fontId="113" fillId="13" borderId="0" xfId="0" applyFont="1" applyFill="1" applyAlignment="1">
      <alignment vertical="center" wrapText="1"/>
    </xf>
    <xf numFmtId="37" fontId="115" fillId="0" borderId="0" xfId="0" applyFont="1" applyAlignment="1">
      <alignment horizontal="center" wrapText="1"/>
    </xf>
    <xf numFmtId="37" fontId="116" fillId="0" borderId="0" xfId="0" applyFont="1"/>
    <xf numFmtId="37" fontId="17" fillId="16" borderId="14" xfId="1" quotePrefix="1" applyNumberFormat="1" applyFont="1" applyFill="1" applyBorder="1" applyAlignment="1">
      <alignment horizontal="center"/>
    </xf>
    <xf numFmtId="169" fontId="64" fillId="0" borderId="0" xfId="8" applyNumberFormat="1" applyFont="1" applyAlignment="1">
      <alignment horizontal="right"/>
    </xf>
    <xf numFmtId="0" fontId="25" fillId="0" borderId="0" xfId="1" applyFont="1"/>
    <xf numFmtId="0" fontId="23" fillId="0" borderId="0" xfId="1" applyFont="1" applyAlignment="1">
      <alignment horizontal="left" vertical="center" wrapText="1"/>
    </xf>
    <xf numFmtId="169" fontId="117" fillId="0" borderId="0" xfId="8" applyNumberFormat="1" applyFont="1" applyAlignment="1">
      <alignment horizontal="right"/>
    </xf>
    <xf numFmtId="0" fontId="24" fillId="0" borderId="0" xfId="1" applyFont="1" applyAlignment="1">
      <alignment horizontal="left" wrapText="1"/>
    </xf>
    <xf numFmtId="0" fontId="24" fillId="0" borderId="0" xfId="1" applyFont="1" applyAlignment="1">
      <alignment wrapText="1"/>
    </xf>
    <xf numFmtId="0" fontId="24" fillId="0" borderId="20" xfId="1" applyFont="1" applyBorder="1" applyAlignment="1">
      <alignment wrapText="1"/>
    </xf>
    <xf numFmtId="0" fontId="24" fillId="0" borderId="21" xfId="1" applyFont="1" applyBorder="1" applyAlignment="1">
      <alignment wrapText="1"/>
    </xf>
    <xf numFmtId="0" fontId="24" fillId="0" borderId="22" xfId="1" applyFont="1" applyBorder="1" applyAlignment="1">
      <alignment wrapText="1"/>
    </xf>
    <xf numFmtId="0" fontId="24" fillId="0" borderId="19" xfId="1" applyFont="1" applyBorder="1" applyAlignment="1">
      <alignment wrapText="1"/>
    </xf>
    <xf numFmtId="37" fontId="54" fillId="0" borderId="0" xfId="0" applyFont="1" applyAlignment="1">
      <alignment vertical="center"/>
    </xf>
    <xf numFmtId="37" fontId="54" fillId="0" borderId="0" xfId="0" applyFont="1" applyAlignment="1">
      <alignment vertical="center" wrapText="1"/>
    </xf>
    <xf numFmtId="37" fontId="118" fillId="0" borderId="0" xfId="0" applyFont="1" applyAlignment="1">
      <alignment vertical="center"/>
    </xf>
    <xf numFmtId="37" fontId="119" fillId="0" borderId="0" xfId="0" applyFont="1" applyAlignment="1">
      <alignment vertical="center"/>
    </xf>
    <xf numFmtId="37" fontId="114" fillId="0" borderId="0" xfId="0" applyFont="1" applyAlignment="1">
      <alignment vertical="center"/>
    </xf>
    <xf numFmtId="37" fontId="114" fillId="0" borderId="0" xfId="0" applyFont="1" applyAlignment="1">
      <alignment horizontal="center" vertical="center"/>
    </xf>
    <xf numFmtId="0" fontId="23" fillId="16" borderId="0" xfId="1" applyFont="1" applyFill="1"/>
    <xf numFmtId="37" fontId="53" fillId="0" borderId="0" xfId="0" applyFont="1"/>
    <xf numFmtId="0" fontId="39" fillId="16" borderId="0" xfId="6" applyFont="1" applyFill="1" applyAlignment="1">
      <alignment vertical="center"/>
    </xf>
    <xf numFmtId="37" fontId="51" fillId="0" borderId="0" xfId="0" applyFont="1" applyAlignment="1">
      <alignment horizontal="center"/>
    </xf>
    <xf numFmtId="0" fontId="28" fillId="24" borderId="0" xfId="6" applyFont="1" applyFill="1"/>
    <xf numFmtId="37" fontId="55" fillId="24" borderId="0" xfId="0" applyFont="1" applyFill="1" applyAlignment="1">
      <alignment horizontal="center" vertical="center"/>
    </xf>
    <xf numFmtId="37" fontId="47" fillId="24" borderId="0" xfId="0" applyFont="1" applyFill="1" applyAlignment="1">
      <alignment vertical="center" wrapText="1"/>
    </xf>
    <xf numFmtId="37" fontId="34" fillId="24" borderId="0" xfId="0" applyFont="1" applyFill="1" applyAlignment="1">
      <alignment vertical="center" wrapText="1"/>
    </xf>
    <xf numFmtId="0" fontId="39" fillId="0" borderId="0" xfId="6" applyFont="1" applyAlignment="1">
      <alignment vertical="top"/>
    </xf>
    <xf numFmtId="0" fontId="12" fillId="0" borderId="0" xfId="7" applyFont="1" applyAlignment="1">
      <alignment vertical="center"/>
    </xf>
    <xf numFmtId="173" fontId="48" fillId="0" borderId="0" xfId="7" applyNumberFormat="1" applyFont="1" applyProtection="1">
      <protection locked="0"/>
    </xf>
    <xf numFmtId="0" fontId="49" fillId="0" borderId="0" xfId="7" applyFont="1" applyProtection="1">
      <protection locked="0"/>
    </xf>
    <xf numFmtId="0" fontId="35" fillId="0" borderId="0" xfId="7" applyAlignment="1">
      <alignment horizontal="center"/>
    </xf>
    <xf numFmtId="0" fontId="41" fillId="0" borderId="0" xfId="7" applyFont="1" applyAlignment="1">
      <alignment horizontal="center"/>
    </xf>
    <xf numFmtId="0" fontId="38" fillId="16" borderId="0" xfId="6" applyFont="1" applyFill="1"/>
    <xf numFmtId="49" fontId="56" fillId="0" borderId="0" xfId="6" applyNumberFormat="1" applyFont="1" applyAlignment="1">
      <alignment vertical="top"/>
    </xf>
    <xf numFmtId="37" fontId="31" fillId="0" borderId="0" xfId="0" applyFont="1" applyAlignment="1">
      <alignment vertical="center"/>
    </xf>
    <xf numFmtId="37" fontId="11" fillId="0" borderId="0" xfId="0" applyFont="1" applyAlignment="1">
      <alignment vertical="center"/>
    </xf>
    <xf numFmtId="37" fontId="67" fillId="13" borderId="0" xfId="0" applyFont="1" applyFill="1" applyAlignment="1">
      <alignment horizontal="center" vertical="center"/>
    </xf>
    <xf numFmtId="37" fontId="68" fillId="13" borderId="0" xfId="0" applyFont="1" applyFill="1" applyAlignment="1">
      <alignment vertical="center"/>
    </xf>
    <xf numFmtId="37" fontId="11" fillId="0" borderId="0" xfId="0" applyFont="1" applyAlignment="1">
      <alignment horizontal="center" vertical="center"/>
    </xf>
    <xf numFmtId="37" fontId="120" fillId="0" borderId="0" xfId="0" applyFont="1" applyAlignment="1">
      <alignment horizontal="center"/>
    </xf>
    <xf numFmtId="0" fontId="121" fillId="0" borderId="0" xfId="1" applyFont="1" applyAlignment="1">
      <alignment wrapText="1"/>
    </xf>
    <xf numFmtId="0" fontId="24" fillId="0" borderId="0" xfId="1" applyFont="1" applyAlignment="1">
      <alignment horizontal="left" vertical="center" wrapText="1"/>
    </xf>
    <xf numFmtId="0" fontId="17" fillId="16" borderId="20" xfId="1" applyFont="1" applyFill="1" applyBorder="1"/>
    <xf numFmtId="0" fontId="24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vertical="center"/>
    </xf>
    <xf numFmtId="0" fontId="11" fillId="0" borderId="0" xfId="6" applyFont="1" applyAlignment="1">
      <alignment horizontal="left" vertical="center" wrapText="1"/>
    </xf>
    <xf numFmtId="165" fontId="78" fillId="0" borderId="0" xfId="0" applyNumberFormat="1" applyFont="1" applyAlignment="1">
      <alignment vertical="center"/>
    </xf>
    <xf numFmtId="0" fontId="122" fillId="7" borderId="0" xfId="8" applyNumberFormat="1" applyFont="1" applyFill="1" applyAlignment="1">
      <alignment horizontal="centerContinuous"/>
    </xf>
    <xf numFmtId="0" fontId="123" fillId="7" borderId="0" xfId="1" applyFont="1" applyFill="1" applyAlignment="1">
      <alignment horizontal="centerContinuous"/>
    </xf>
    <xf numFmtId="44" fontId="110" fillId="0" borderId="0" xfId="0" applyNumberFormat="1" applyFont="1"/>
    <xf numFmtId="44" fontId="53" fillId="0" borderId="0" xfId="0" applyNumberFormat="1" applyFont="1"/>
    <xf numFmtId="1" fontId="110" fillId="0" borderId="0" xfId="0" applyNumberFormat="1" applyFont="1"/>
    <xf numFmtId="40" fontId="124" fillId="0" borderId="0" xfId="23" applyFont="1"/>
    <xf numFmtId="40" fontId="124" fillId="0" borderId="0" xfId="23" applyFont="1" applyProtection="1">
      <protection locked="0"/>
    </xf>
    <xf numFmtId="168" fontId="58" fillId="0" borderId="0" xfId="23" applyNumberFormat="1"/>
    <xf numFmtId="44" fontId="111" fillId="4" borderId="14" xfId="14" applyNumberFormat="1" applyFont="1" applyFill="1" applyBorder="1" applyAlignment="1">
      <alignment horizontal="center" vertical="top" wrapText="1"/>
    </xf>
    <xf numFmtId="44" fontId="78" fillId="0" borderId="0" xfId="14" applyNumberFormat="1" applyFont="1" applyAlignment="1">
      <alignment horizontal="center"/>
    </xf>
    <xf numFmtId="170" fontId="111" fillId="4" borderId="14" xfId="11" applyNumberFormat="1" applyFont="1" applyFill="1" applyBorder="1" applyAlignment="1">
      <alignment horizontal="center" vertical="top" wrapText="1"/>
    </xf>
    <xf numFmtId="182" fontId="130" fillId="0" borderId="14" xfId="0" applyNumberFormat="1" applyFont="1" applyBorder="1" applyAlignment="1">
      <alignment horizontal="left" vertical="top" wrapText="1"/>
    </xf>
    <xf numFmtId="37" fontId="130" fillId="0" borderId="14" xfId="0" applyFont="1" applyBorder="1" applyAlignment="1">
      <alignment horizontal="left" vertical="top" wrapText="1"/>
    </xf>
    <xf numFmtId="4" fontId="130" fillId="12" borderId="14" xfId="0" applyNumberFormat="1" applyFont="1" applyFill="1" applyBorder="1" applyAlignment="1">
      <alignment horizontal="left" vertical="top" wrapText="1"/>
    </xf>
    <xf numFmtId="172" fontId="130" fillId="7" borderId="0" xfId="0" applyNumberFormat="1" applyFont="1" applyFill="1" applyAlignment="1">
      <alignment horizontal="left" vertical="top" wrapText="1"/>
    </xf>
    <xf numFmtId="172" fontId="130" fillId="9" borderId="0" xfId="0" applyNumberFormat="1" applyFont="1" applyFill="1" applyAlignment="1">
      <alignment horizontal="left" vertical="top" wrapText="1"/>
    </xf>
    <xf numFmtId="172" fontId="130" fillId="17" borderId="0" xfId="0" applyNumberFormat="1" applyFont="1" applyFill="1" applyAlignment="1">
      <alignment horizontal="left" vertical="top" wrapText="1"/>
    </xf>
    <xf numFmtId="37" fontId="130" fillId="0" borderId="0" xfId="0" applyFont="1" applyAlignment="1">
      <alignment horizontal="left" vertical="top" wrapText="1"/>
    </xf>
    <xf numFmtId="172" fontId="130" fillId="0" borderId="0" xfId="0" applyNumberFormat="1" applyFont="1" applyAlignment="1">
      <alignment horizontal="left" vertical="top" wrapText="1"/>
    </xf>
    <xf numFmtId="41" fontId="130" fillId="12" borderId="14" xfId="14" applyNumberFormat="1" applyFont="1" applyFill="1" applyBorder="1" applyAlignment="1">
      <alignment horizontal="centerContinuous"/>
    </xf>
    <xf numFmtId="41" fontId="130" fillId="7" borderId="0" xfId="14" applyNumberFormat="1" applyFont="1" applyFill="1"/>
    <xf numFmtId="41" fontId="130" fillId="9" borderId="0" xfId="14" applyNumberFormat="1" applyFont="1" applyFill="1"/>
    <xf numFmtId="41" fontId="131" fillId="17" borderId="0" xfId="14" applyNumberFormat="1" applyFont="1" applyFill="1"/>
    <xf numFmtId="41" fontId="131" fillId="9" borderId="0" xfId="14" applyNumberFormat="1" applyFont="1" applyFill="1"/>
    <xf numFmtId="41" fontId="110" fillId="0" borderId="0" xfId="14" applyNumberFormat="1" applyFont="1" applyFill="1"/>
    <xf numFmtId="41" fontId="110" fillId="12" borderId="14" xfId="14" applyNumberFormat="1" applyFont="1" applyFill="1" applyBorder="1" applyAlignment="1">
      <alignment horizontal="centerContinuous"/>
    </xf>
    <xf numFmtId="0" fontId="53" fillId="7" borderId="37" xfId="11" applyFont="1" applyFill="1" applyBorder="1" applyAlignment="1">
      <alignment horizontal="centerContinuous"/>
    </xf>
    <xf numFmtId="44" fontId="53" fillId="7" borderId="33" xfId="14" applyNumberFormat="1" applyFont="1" applyFill="1" applyBorder="1" applyAlignment="1">
      <alignment horizontal="centerContinuous"/>
    </xf>
    <xf numFmtId="44" fontId="53" fillId="7" borderId="38" xfId="14" applyNumberFormat="1" applyFont="1" applyFill="1" applyBorder="1" applyAlignment="1">
      <alignment horizontal="centerContinuous"/>
    </xf>
    <xf numFmtId="172" fontId="74" fillId="3" borderId="14" xfId="0" applyNumberFormat="1" applyFont="1" applyFill="1" applyBorder="1" applyAlignment="1" applyProtection="1">
      <alignment horizontal="center" vertical="center"/>
      <protection locked="0"/>
    </xf>
    <xf numFmtId="6" fontId="94" fillId="16" borderId="18" xfId="0" applyNumberFormat="1" applyFont="1" applyFill="1" applyBorder="1" applyAlignment="1">
      <alignment horizontal="center" vertical="center"/>
    </xf>
    <xf numFmtId="170" fontId="23" fillId="16" borderId="17" xfId="1" applyNumberFormat="1" applyFont="1" applyFill="1" applyBorder="1" applyAlignment="1">
      <alignment horizontal="center"/>
    </xf>
    <xf numFmtId="184" fontId="24" fillId="16" borderId="0" xfId="1" applyNumberFormat="1" applyFont="1" applyFill="1" applyAlignment="1">
      <alignment horizontal="center" vertical="center"/>
    </xf>
    <xf numFmtId="184" fontId="24" fillId="12" borderId="0" xfId="1" applyNumberFormat="1" applyFont="1" applyFill="1" applyAlignment="1">
      <alignment horizontal="center" vertical="center"/>
    </xf>
    <xf numFmtId="184" fontId="61" fillId="16" borderId="25" xfId="1" applyNumberFormat="1" applyFont="1" applyFill="1" applyBorder="1" applyAlignment="1">
      <alignment horizontal="center" vertical="center"/>
    </xf>
    <xf numFmtId="184" fontId="24" fillId="16" borderId="0" xfId="1" applyNumberFormat="1" applyFont="1" applyFill="1" applyAlignment="1">
      <alignment horizontal="center"/>
    </xf>
    <xf numFmtId="175" fontId="24" fillId="16" borderId="0" xfId="1" applyNumberFormat="1" applyFont="1" applyFill="1" applyAlignment="1">
      <alignment horizontal="center" vertical="center"/>
    </xf>
    <xf numFmtId="175" fontId="23" fillId="16" borderId="0" xfId="1" applyNumberFormat="1" applyFont="1" applyFill="1" applyAlignment="1">
      <alignment horizontal="center" vertical="center"/>
    </xf>
    <xf numFmtId="175" fontId="59" fillId="16" borderId="17" xfId="140" applyNumberFormat="1" applyFont="1" applyFill="1" applyBorder="1" applyAlignment="1">
      <alignment horizontal="center" vertical="center"/>
    </xf>
    <xf numFmtId="183" fontId="59" fillId="16" borderId="17" xfId="1" applyNumberFormat="1" applyFont="1" applyFill="1" applyBorder="1" applyAlignment="1">
      <alignment horizontal="center" vertical="center"/>
    </xf>
    <xf numFmtId="183" fontId="24" fillId="16" borderId="0" xfId="1" applyNumberFormat="1" applyFont="1" applyFill="1" applyAlignment="1">
      <alignment horizontal="right" vertical="center"/>
    </xf>
    <xf numFmtId="183" fontId="24" fillId="16" borderId="0" xfId="1" applyNumberFormat="1" applyFont="1" applyFill="1" applyAlignment="1">
      <alignment horizontal="center" vertical="center"/>
    </xf>
    <xf numFmtId="175" fontId="23" fillId="16" borderId="17" xfId="140" applyNumberFormat="1" applyFont="1" applyFill="1" applyBorder="1" applyAlignment="1">
      <alignment horizontal="center"/>
    </xf>
    <xf numFmtId="39" fontId="78" fillId="0" borderId="0" xfId="0" applyNumberFormat="1" applyFont="1" applyAlignment="1">
      <alignment vertical="center"/>
    </xf>
    <xf numFmtId="8" fontId="94" fillId="16" borderId="17" xfId="0" applyNumberFormat="1" applyFont="1" applyFill="1" applyBorder="1" applyAlignment="1">
      <alignment horizontal="center" vertical="center"/>
    </xf>
    <xf numFmtId="39" fontId="78" fillId="0" borderId="0" xfId="0" applyNumberFormat="1" applyFont="1"/>
    <xf numFmtId="8" fontId="85" fillId="16" borderId="0" xfId="0" applyNumberFormat="1" applyFont="1" applyFill="1" applyAlignment="1">
      <alignment horizontal="center" vertical="center"/>
    </xf>
    <xf numFmtId="172" fontId="10" fillId="19" borderId="14" xfId="0" applyNumberFormat="1" applyFont="1" applyFill="1" applyBorder="1" applyAlignment="1" applyProtection="1">
      <alignment horizontal="right"/>
      <protection locked="0"/>
    </xf>
    <xf numFmtId="169" fontId="23" fillId="16" borderId="0" xfId="1" applyNumberFormat="1" applyFont="1" applyFill="1" applyAlignment="1">
      <alignment horizontal="center"/>
    </xf>
    <xf numFmtId="170" fontId="23" fillId="16" borderId="0" xfId="1" applyNumberFormat="1" applyFont="1" applyFill="1" applyAlignment="1">
      <alignment horizontal="center"/>
    </xf>
    <xf numFmtId="175" fontId="23" fillId="16" borderId="0" xfId="140" applyNumberFormat="1" applyFont="1" applyFill="1" applyBorder="1" applyAlignment="1">
      <alignment horizontal="center"/>
    </xf>
    <xf numFmtId="37" fontId="46" fillId="13" borderId="0" xfId="0" applyFont="1" applyFill="1" applyAlignment="1">
      <alignment horizontal="center" vertical="center" wrapText="1"/>
    </xf>
    <xf numFmtId="0" fontId="66" fillId="7" borderId="0" xfId="8" applyNumberFormat="1" applyFont="1" applyFill="1" applyAlignment="1" applyProtection="1">
      <alignment horizontal="center" vertical="center"/>
      <protection locked="0"/>
    </xf>
    <xf numFmtId="0" fontId="54" fillId="7" borderId="0" xfId="1" applyFont="1" applyFill="1" applyAlignment="1">
      <alignment horizontal="center" vertical="center" wrapText="1"/>
    </xf>
    <xf numFmtId="37" fontId="113" fillId="13" borderId="0" xfId="0" applyFont="1" applyFill="1" applyAlignment="1">
      <alignment horizontal="center" vertical="center" wrapText="1"/>
    </xf>
  </cellXfs>
  <cellStyles count="141">
    <cellStyle name="Comma" xfId="14" builtinId="3"/>
    <cellStyle name="Comma 2" xfId="2" xr:uid="{528971D3-2496-427A-A3EC-958F8B91E33F}"/>
    <cellStyle name="Comma 2 2" xfId="10" xr:uid="{9EF1D8D0-1A62-45BA-9C8A-6E2321A6064B}"/>
    <cellStyle name="Comma 2 2 2" xfId="52" xr:uid="{A0CFD092-74C1-45CB-9C28-528B6E1B2DDF}"/>
    <cellStyle name="Comma 2 2 2 2" xfId="83" xr:uid="{9EAE7CA9-6D70-47BF-A4C8-0170C7C87581}"/>
    <cellStyle name="Comma 2 2 2 3" xfId="110" xr:uid="{6C7E332B-702D-4052-A766-BF1072CAA06F}"/>
    <cellStyle name="Comma 2 2 2 4" xfId="137" xr:uid="{A28C0A94-F8B1-40C4-A381-FBCA6B4161BF}"/>
    <cellStyle name="Comma 2 3" xfId="26" xr:uid="{05DCF905-5469-458F-B24D-42AB7D02BF53}"/>
    <cellStyle name="Comma 2 3 2" xfId="69" xr:uid="{0352E387-5D1E-434F-9369-399C96B90AD8}"/>
    <cellStyle name="Comma 2 3 3" xfId="96" xr:uid="{D7FC48DC-9A47-40A4-9DC7-01D13AABC6B3}"/>
    <cellStyle name="Comma 2 3 4" xfId="123" xr:uid="{897F9D9D-1D4D-4C2D-B482-83701511ECE2}"/>
    <cellStyle name="Comma 2 4" xfId="44" xr:uid="{9E3ABED6-21C1-4C33-A19A-517A716E810F}"/>
    <cellStyle name="Comma 2 4 2" xfId="79" xr:uid="{79B537A9-44E8-4556-94AF-DBF9BDAAABCC}"/>
    <cellStyle name="Comma 2 4 3" xfId="106" xr:uid="{A4DAEAA3-697A-4296-BD1D-4C30198603B5}"/>
    <cellStyle name="Comma 2 4 4" xfId="133" xr:uid="{59E49559-59B5-4ED8-A2FE-4E3BD625B4EA}"/>
    <cellStyle name="Comma 2 5" xfId="58" xr:uid="{247B5DFF-BE34-43EA-9D96-D9B32132C66A}"/>
    <cellStyle name="Comma 2 6" xfId="87" xr:uid="{967F4545-3641-487F-9269-514DCA4943D2}"/>
    <cellStyle name="Comma 2 7" xfId="114" xr:uid="{45EBB484-D7FF-4C69-B04A-32195B0EBBEE}"/>
    <cellStyle name="Comma 3" xfId="12" xr:uid="{2B0BBD94-FB0F-4624-B1B5-037ACCCD4147}"/>
    <cellStyle name="Comma 3 2" xfId="16" xr:uid="{A4FC74AD-742A-4E9A-AC3E-1872A5ADCD46}"/>
    <cellStyle name="Comma 3 2 2" xfId="34" xr:uid="{5D12ABFF-FADB-4450-86F4-EEECC7F96D71}"/>
    <cellStyle name="Comma 3 2 2 2" xfId="76" xr:uid="{477FCB8F-8819-4453-8581-CDDF7FF6D4B1}"/>
    <cellStyle name="Comma 3 2 2 3" xfId="103" xr:uid="{DC9995B4-8582-4CD1-A891-20C79E2F92EB}"/>
    <cellStyle name="Comma 3 2 2 4" xfId="130" xr:uid="{01E0DC57-D7C1-41EB-BB37-6326C21AC982}"/>
    <cellStyle name="Comma 3 2 3" xfId="65" xr:uid="{2D750A97-0EED-415B-B04F-593929CF50B6}"/>
    <cellStyle name="Comma 3 2 4" xfId="94" xr:uid="{61352CF3-8190-4F5D-8D36-9FC928896095}"/>
    <cellStyle name="Comma 3 2 5" xfId="121" xr:uid="{2BE03CF3-72EF-47AB-AE76-6B1B06C1011C}"/>
    <cellStyle name="Comma 3 3" xfId="31" xr:uid="{0FA46D1B-B8F6-457D-8655-534E1B714FBA}"/>
    <cellStyle name="Comma 3 3 2" xfId="73" xr:uid="{8F14E12F-92D7-4563-B3A4-515A1FA4F953}"/>
    <cellStyle name="Comma 3 3 3" xfId="100" xr:uid="{82EDA3C7-4465-4759-ADE3-8A8D1D291D2B}"/>
    <cellStyle name="Comma 3 3 4" xfId="127" xr:uid="{79DAFAC4-993F-4E94-ACBC-B5852590F890}"/>
    <cellStyle name="Comma 3 4" xfId="38" xr:uid="{DBFBA898-7F4F-4E39-AEBB-1E1291F6E090}"/>
    <cellStyle name="Comma 3 5" xfId="62" xr:uid="{0EDCA561-7533-465D-9DCD-B61119B79C56}"/>
    <cellStyle name="Comma 3 6" xfId="91" xr:uid="{7B296588-BE2F-42AD-9B09-1B9330439CAE}"/>
    <cellStyle name="Comma 3 7" xfId="118" xr:uid="{A68B23F7-DC4C-4A66-A462-EDF20C80D835}"/>
    <cellStyle name="Comma 4" xfId="18" xr:uid="{D155F1A7-3EE2-4DFE-85B0-6D5FE6317F18}"/>
    <cellStyle name="Comma 4 2" xfId="48" xr:uid="{9F040921-4EEE-47BD-9638-5D101A9C5C4A}"/>
    <cellStyle name="Comma 4 3" xfId="67" xr:uid="{10037CE8-B9CA-4E98-A0A6-543323E3EF19}"/>
    <cellStyle name="Comma 5" xfId="35" xr:uid="{88F561B4-0AAA-48D2-AC4F-118AFAD058E2}"/>
    <cellStyle name="Comma0" xfId="22" xr:uid="{2F504542-ADFC-45B2-B3DF-F80469EF2313}"/>
    <cellStyle name="Currency" xfId="140" builtinId="4"/>
    <cellStyle name="Currency 2" xfId="3" xr:uid="{9CEBC381-C9B0-4505-9DD3-E45420972F06}"/>
    <cellStyle name="Currency 2 2" xfId="27" xr:uid="{B3FC5C6A-434A-49D8-A241-4D6C5F6F974F}"/>
    <cellStyle name="Currency 2 2 2" xfId="70" xr:uid="{8479EB9B-EA8A-44EF-AC8B-192CC5F2DE24}"/>
    <cellStyle name="Currency 2 2 3" xfId="97" xr:uid="{C8977037-5532-4109-A7D9-4C36EB024C5C}"/>
    <cellStyle name="Currency 2 2 4" xfId="124" xr:uid="{DEA18BD8-97D0-4434-AAE3-91840E2ACFE1}"/>
    <cellStyle name="Currency 2 3" xfId="39" xr:uid="{EA45A34D-4677-4559-A037-374214D12D0B}"/>
    <cellStyle name="Currency 2 4" xfId="59" xr:uid="{8741E0D7-AB35-4306-8008-CE0DDC419EE7}"/>
    <cellStyle name="Currency 2 5" xfId="88" xr:uid="{F13CDF95-18D6-4B39-8A9E-41C7AEA7BF80}"/>
    <cellStyle name="Currency 2 6" xfId="115" xr:uid="{87B6C324-4506-4649-BAA5-AC36C3E3D94A}"/>
    <cellStyle name="Currency 3" xfId="46" xr:uid="{2B92C828-1B2D-4FB9-BA79-71F1FE152A47}"/>
    <cellStyle name="Currency 3 2" xfId="80" xr:uid="{BC4E1429-EFF4-460B-88CD-D4435C5F09D0}"/>
    <cellStyle name="Currency 3 3" xfId="107" xr:uid="{9488D50E-1DD6-4FA7-B4AB-1E23EA8BE672}"/>
    <cellStyle name="Currency 3 4" xfId="134" xr:uid="{29EADBD0-C241-4DC0-BC34-2657D3D3BEBC}"/>
    <cellStyle name="Currency 4" xfId="49" xr:uid="{02D161E0-30CA-4A5F-857C-115920758F68}"/>
    <cellStyle name="Currency 4 2" xfId="82" xr:uid="{B8E52532-F003-47E6-9862-30D9D35EC6FE}"/>
    <cellStyle name="Currency 4 3" xfId="109" xr:uid="{6544448F-C634-4801-AF71-25AB5F7F8578}"/>
    <cellStyle name="Currency 4 4" xfId="136" xr:uid="{8AFF7611-C7DE-454D-8A8A-AE250097CF2D}"/>
    <cellStyle name="Currency 5" xfId="36" xr:uid="{EEB44FED-F435-4CCB-A9F4-789944FD5B6B}"/>
    <cellStyle name="Currency 5 2" xfId="77" xr:uid="{9D8D2971-83A1-4DA3-8B77-463486DFF82E}"/>
    <cellStyle name="Currency 5 3" xfId="104" xr:uid="{1494A3C8-1379-47DF-B175-CF77C3E5049E}"/>
    <cellStyle name="Currency 5 4" xfId="131" xr:uid="{14228F2D-E8FB-4098-9C66-99318168EA51}"/>
    <cellStyle name="Hard Coded" xfId="55" xr:uid="{A7460D9A-7026-4F14-B2CB-54F33100B34F}"/>
    <cellStyle name="headerStyle2" xfId="45" xr:uid="{C85D5DE3-BF7D-41E0-A59C-7493EDCA236D}"/>
    <cellStyle name="Hyperlink" xfId="8" builtinId="8"/>
    <cellStyle name="Hyperlink 2" xfId="4" xr:uid="{85AE25D8-BFD7-41B7-91DE-6216D261667A}"/>
    <cellStyle name="Modified" xfId="54" xr:uid="{FFCA29F8-7509-4D34-8A88-A5EDE112A01F}"/>
    <cellStyle name="Modified 2" xfId="85" xr:uid="{788CFCBA-BFEF-4CA0-97E8-4305D32F0CE1}"/>
    <cellStyle name="Modified 3" xfId="112" xr:uid="{AB5056CF-4916-4618-9049-45412F306867}"/>
    <cellStyle name="Modified 4" xfId="139" xr:uid="{DED72408-F1DC-40A3-911F-670ED95E0CCD}"/>
    <cellStyle name="Neutral 2" xfId="51" xr:uid="{F8F013E0-01A9-4807-8D88-B3E7A748974B}"/>
    <cellStyle name="Normal" xfId="0" builtinId="0"/>
    <cellStyle name="Normal 2" xfId="1" xr:uid="{96540DF0-F5ED-431E-8A00-F824D7618D24}"/>
    <cellStyle name="Normal 2 2" xfId="9" xr:uid="{3C9F84BE-2B10-4A71-8BA2-320351F8C806}"/>
    <cellStyle name="Normal 2 3" xfId="25" xr:uid="{AEBA1947-19A6-4066-A3BD-DEE62064C70D}"/>
    <cellStyle name="Normal 2 3 2" xfId="68" xr:uid="{8D629A0C-8893-4EDD-9673-7CE7231E5AED}"/>
    <cellStyle name="Normal 2 3 3" xfId="95" xr:uid="{BB3FA46E-AA16-44B8-8DD6-711008EF4539}"/>
    <cellStyle name="Normal 2 3 4" xfId="122" xr:uid="{5D8B6519-14AF-47BF-97E3-387EA98CB428}"/>
    <cellStyle name="Normal 2 4" xfId="43" xr:uid="{9721643F-4EF2-4147-91C3-2000D3F85AB0}"/>
    <cellStyle name="Normal 2 4 2" xfId="78" xr:uid="{9E0AD664-294D-418B-9F37-045FDDAA76A3}"/>
    <cellStyle name="Normal 2 4 3" xfId="105" xr:uid="{A17E5D4C-BAE3-4F3C-80B6-5FC6CD92B51B}"/>
    <cellStyle name="Normal 2 4 4" xfId="132" xr:uid="{84720045-75CA-4A52-AB67-B556DA0DB7E5}"/>
    <cellStyle name="Normal 2 5" xfId="57" xr:uid="{B454AFB1-5FE0-4923-B789-D1AD48E5A3C9}"/>
    <cellStyle name="Normal 2 6" xfId="86" xr:uid="{7EB28697-D1A3-4BC5-98B7-A794F7D4120A}"/>
    <cellStyle name="Normal 2 7" xfId="113" xr:uid="{F98F6EE3-AC9F-44B9-B02B-625EB0A787E3}"/>
    <cellStyle name="Normal 3" xfId="6" xr:uid="{653D1AB0-26B5-4553-AD46-122BF9A54DD2}"/>
    <cellStyle name="Normal 3 2" xfId="28" xr:uid="{CA407027-D838-4503-BEA2-29479F585966}"/>
    <cellStyle name="Normal 3 2 2" xfId="56" xr:uid="{F1A28F9D-64DB-4CA6-8578-E586B39671E2}"/>
    <cellStyle name="Normal 3 2 3" xfId="71" xr:uid="{E0689822-D2BD-4F43-A168-7D7A16C1E3D1}"/>
    <cellStyle name="Normal 3 2 4" xfId="98" xr:uid="{9E122F11-5641-4E20-BB41-98C1C1BDECFE}"/>
    <cellStyle name="Normal 3 2 5" xfId="125" xr:uid="{CB0D103A-291F-4DD8-92F9-72DA62239345}"/>
    <cellStyle name="Normal 3 3" xfId="37" xr:uid="{7D2D0E7A-C5A5-4547-9B4E-58C8C41887B9}"/>
    <cellStyle name="Normal 3 4" xfId="60" xr:uid="{5C91BBFF-5882-44B8-BA7E-931F05DF6C22}"/>
    <cellStyle name="Normal 3 5" xfId="89" xr:uid="{9EFBA25F-515C-4EEF-B3C0-EAA58C52301F}"/>
    <cellStyle name="Normal 3 6" xfId="116" xr:uid="{4669132E-55D6-470D-B0E6-303DE6BFC4F6}"/>
    <cellStyle name="Normal 4" xfId="7" xr:uid="{0406CAF9-B895-4262-9E36-54A1D3C50246}"/>
    <cellStyle name="Normal 4 2" xfId="29" xr:uid="{45035C82-A393-495F-A20E-3AF18A96D86E}"/>
    <cellStyle name="Normal 5" xfId="11" xr:uid="{00B5F7A6-AF56-47B3-8CD1-8BF9BCC541DD}"/>
    <cellStyle name="Normal 5 2" xfId="15" xr:uid="{CC201B04-7D25-44CD-A17B-D4C2A4666705}"/>
    <cellStyle name="Normal 5 2 2" xfId="23" xr:uid="{021A8F73-2B84-45D1-B9BF-5C42E2C2E8E7}"/>
    <cellStyle name="Normal 5 2 3" xfId="21" xr:uid="{10A8F607-E5F5-403D-BED1-B12B2277F55D}"/>
    <cellStyle name="Normal 5 2 4" xfId="33" xr:uid="{01B8072B-A94B-4AE8-AFDE-3D0D4ED4E6D3}"/>
    <cellStyle name="Normal 5 2 4 2" xfId="75" xr:uid="{FF8FEDB0-9624-46F4-ACC0-8ADBD7F92C5F}"/>
    <cellStyle name="Normal 5 2 4 3" xfId="102" xr:uid="{0B20F90C-D0A4-46A0-BCCF-7B4D4142F197}"/>
    <cellStyle name="Normal 5 2 4 4" xfId="129" xr:uid="{42273428-09F1-460C-9BD9-E2D047ACC00C}"/>
    <cellStyle name="Normal 5 2 5" xfId="64" xr:uid="{8A7FA7E1-632B-4C8C-87B1-826AB45736C1}"/>
    <cellStyle name="Normal 5 2 6" xfId="93" xr:uid="{D07D34C9-DB79-4123-ADA5-6F11F378DE04}"/>
    <cellStyle name="Normal 5 2 7" xfId="120" xr:uid="{76A6880E-B1EF-4725-BB84-B55FEC5EB3D1}"/>
    <cellStyle name="Normal 5 3" xfId="24" xr:uid="{2931E9A1-3FE3-4FDC-9B11-9433061A3453}"/>
    <cellStyle name="Normal 5 3 2" xfId="42" xr:uid="{05330391-6DBF-45B3-8F35-528A7C904BB0}"/>
    <cellStyle name="Normal 5 4" xfId="20" xr:uid="{F5F34E1A-FEE1-451B-A2D2-E4F513B7F720}"/>
    <cellStyle name="Normal 5 5" xfId="30" xr:uid="{DD0A338D-D819-485D-A916-E01DD0102B88}"/>
    <cellStyle name="Normal 5 5 2" xfId="72" xr:uid="{C0A8E8AD-29DF-4B25-8F61-1952FCB14626}"/>
    <cellStyle name="Normal 5 5 3" xfId="99" xr:uid="{70551A4E-3C03-4705-870F-E84DC3E190A9}"/>
    <cellStyle name="Normal 5 5 4" xfId="126" xr:uid="{65E25365-9A42-40E0-A8E0-5FBC4A69DFC3}"/>
    <cellStyle name="Normal 5 6" xfId="61" xr:uid="{90A64A00-AA7A-4068-A80A-A7E84EED4E60}"/>
    <cellStyle name="Normal 5 7" xfId="90" xr:uid="{08E3FC70-4E42-4A84-8F29-320A378AC85E}"/>
    <cellStyle name="Normal 5 8" xfId="117" xr:uid="{A5A67AC9-A4E0-4332-AEF5-A7178E9803C9}"/>
    <cellStyle name="Normal 6" xfId="13" xr:uid="{B662CD9D-218C-4622-88AA-D757F4893CD8}"/>
    <cellStyle name="Normal 6 2" xfId="32" xr:uid="{DE582CCC-FEB5-4BB8-81AB-13F60DEFD521}"/>
    <cellStyle name="Normal 6 2 2" xfId="74" xr:uid="{E1BF7C9A-F0A3-4203-8629-A65C55102E8E}"/>
    <cellStyle name="Normal 6 2 3" xfId="101" xr:uid="{85FA9622-9F5F-4C49-8AA7-758A33D1AC2C}"/>
    <cellStyle name="Normal 6 2 4" xfId="128" xr:uid="{C57A442C-552E-49F3-B650-255A54CCCBA6}"/>
    <cellStyle name="Normal 6 3" xfId="41" xr:uid="{B5C1643F-EF58-46E4-8118-EA1B8A24DF84}"/>
    <cellStyle name="Normal 6 4" xfId="63" xr:uid="{519BA605-D03E-4CCD-8F2D-E94C8642C8A1}"/>
    <cellStyle name="Normal 6 5" xfId="92" xr:uid="{0EDAC967-495F-4745-A017-21DC64E57ECA}"/>
    <cellStyle name="Normal 6 6" xfId="119" xr:uid="{231095F1-5CDE-4E92-9520-DC55E3B70F5B}"/>
    <cellStyle name="Normal 7" xfId="17" xr:uid="{26548ED6-AA93-412B-96CE-D08E3201D0C7}"/>
    <cellStyle name="Normal 7 2" xfId="47" xr:uid="{749573B4-3A0A-436F-9254-9E0689A28BFF}"/>
    <cellStyle name="Normal 7 2 2" xfId="81" xr:uid="{E6DC3888-F434-4DA0-9FDB-99B5D15D351A}"/>
    <cellStyle name="Normal 7 2 3" xfId="108" xr:uid="{F1668DD3-DC9F-40C6-A523-7A93A06814E5}"/>
    <cellStyle name="Normal 7 2 4" xfId="135" xr:uid="{562D460B-5AA3-4458-B1C3-6B0DFDD84610}"/>
    <cellStyle name="Normal 7 3" xfId="66" xr:uid="{EC029B8F-FB29-4CDE-A010-3D2C5C39C5D4}"/>
    <cellStyle name="Normal 9" xfId="40" xr:uid="{35645FC0-BDB4-48FB-8210-DD94CD153DB3}"/>
    <cellStyle name="Percent" xfId="5" builtinId="5"/>
    <cellStyle name="Percent 2" xfId="19" xr:uid="{A01353BF-BEAA-4C15-9BE1-FEED10FEFF11}"/>
    <cellStyle name="Percent 2 2" xfId="53" xr:uid="{C5F33E0B-F320-423E-9C23-8C4C7E693E39}"/>
    <cellStyle name="Percent 2 2 2" xfId="84" xr:uid="{FC877CA1-70B4-45B7-B70B-73F345CA2DDA}"/>
    <cellStyle name="Percent 2 2 3" xfId="111" xr:uid="{F66DB64A-FDA3-47D4-AB4C-1F0BDAE2F6E5}"/>
    <cellStyle name="Percent 2 2 4" xfId="138" xr:uid="{9283AF82-6F3D-4F93-80A3-0B273CE6FC81}"/>
    <cellStyle name="Percent 3" xfId="50" xr:uid="{605B5A43-277A-42F8-9DDD-308889BED202}"/>
  </cellStyles>
  <dxfs count="0"/>
  <tableStyles count="0" defaultTableStyle="TableStyleMedium2" defaultPivotStyle="PivotStyleLight16"/>
  <colors>
    <mruColors>
      <color rgb="FFDBB7FF"/>
      <color rgb="FFCC99FF"/>
      <color rgb="FFCC66FF"/>
      <color rgb="FFFFFFFF"/>
      <color rgb="FF60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2185582</xdr:colOff>
      <xdr:row>74</xdr:row>
      <xdr:rowOff>598081</xdr:rowOff>
    </xdr:from>
    <xdr:to>
      <xdr:col>6</xdr:col>
      <xdr:colOff>22873</xdr:colOff>
      <xdr:row>79</xdr:row>
      <xdr:rowOff>44303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A96F02-9CA4-87CC-9595-D10FC052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8605" y="20238779"/>
          <a:ext cx="2577640" cy="149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my.syncplicity.com/Login.aspx" TargetMode="External"/><Relationship Id="rId2" Type="http://schemas.openxmlformats.org/officeDocument/2006/relationships/hyperlink" Target="https://idm.cde.state.co.us/equal" TargetMode="External"/><Relationship Id="rId1" Type="http://schemas.openxmlformats.org/officeDocument/2006/relationships/hyperlink" Target="https://cdx.cde.state.co.us/equal/secure/MillLevyCer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AE0C-BD78-41E0-B1A1-933AE76A0F37}">
  <dimension ref="A1:J85"/>
  <sheetViews>
    <sheetView tabSelected="1" zoomScaleNormal="100" workbookViewId="0">
      <selection activeCell="C10" sqref="C10"/>
    </sheetView>
  </sheetViews>
  <sheetFormatPr defaultColWidth="15.25" defaultRowHeight="18.75" x14ac:dyDescent="0.3"/>
  <cols>
    <col min="1" max="16384" width="15.25" style="108"/>
  </cols>
  <sheetData>
    <row r="1" spans="1:10" x14ac:dyDescent="0.3">
      <c r="A1" s="108" t="s">
        <v>984</v>
      </c>
      <c r="B1" s="108" t="s">
        <v>986</v>
      </c>
    </row>
    <row r="2" spans="1:10" x14ac:dyDescent="0.3">
      <c r="C2" s="542"/>
      <c r="D2" s="542"/>
      <c r="E2" s="547" t="s">
        <v>893</v>
      </c>
      <c r="F2" s="542"/>
      <c r="G2" s="542"/>
      <c r="H2" s="542"/>
      <c r="I2" s="542"/>
      <c r="J2" s="542"/>
    </row>
    <row r="3" spans="1:10" x14ac:dyDescent="0.3">
      <c r="C3" s="542"/>
      <c r="D3" s="542"/>
      <c r="E3" s="547" t="s">
        <v>894</v>
      </c>
      <c r="F3" s="542"/>
      <c r="G3" s="542"/>
      <c r="H3" s="542"/>
      <c r="I3" s="542"/>
      <c r="J3" s="542"/>
    </row>
    <row r="4" spans="1:10" x14ac:dyDescent="0.3">
      <c r="C4" s="542"/>
      <c r="D4" s="542"/>
      <c r="E4" s="547" t="s">
        <v>895</v>
      </c>
      <c r="F4" s="542"/>
      <c r="G4" s="542"/>
      <c r="H4" s="542"/>
      <c r="I4" s="542"/>
      <c r="J4" s="542"/>
    </row>
    <row r="5" spans="1:10" x14ac:dyDescent="0.3">
      <c r="C5" s="542"/>
      <c r="D5" s="542"/>
      <c r="E5" s="547" t="s">
        <v>896</v>
      </c>
      <c r="F5" s="542"/>
      <c r="G5" s="542"/>
      <c r="H5" s="542"/>
      <c r="I5" s="542"/>
      <c r="J5" s="542"/>
    </row>
    <row r="6" spans="1:10" x14ac:dyDescent="0.3">
      <c r="C6" s="542"/>
      <c r="D6" s="542"/>
      <c r="E6" s="547" t="s">
        <v>897</v>
      </c>
      <c r="F6" s="542"/>
      <c r="G6" s="542"/>
      <c r="H6" s="542"/>
      <c r="I6" s="542"/>
      <c r="J6" s="542"/>
    </row>
    <row r="7" spans="1:10" x14ac:dyDescent="0.3">
      <c r="C7" s="542"/>
      <c r="D7" s="542"/>
      <c r="E7" s="547"/>
      <c r="F7" s="542"/>
      <c r="G7" s="542"/>
      <c r="H7" s="542"/>
      <c r="I7" s="542"/>
      <c r="J7" s="542"/>
    </row>
    <row r="8" spans="1:10" x14ac:dyDescent="0.3">
      <c r="B8" s="542"/>
      <c r="C8" s="542"/>
      <c r="D8" s="542"/>
      <c r="E8" s="546" t="s">
        <v>920</v>
      </c>
      <c r="F8" s="542"/>
      <c r="G8" s="542"/>
      <c r="H8" s="542"/>
      <c r="I8" s="542"/>
      <c r="J8" s="542"/>
    </row>
    <row r="9" spans="1:10" x14ac:dyDescent="0.3">
      <c r="C9" s="543"/>
      <c r="D9" s="543"/>
      <c r="E9" s="546" t="s">
        <v>921</v>
      </c>
      <c r="F9" s="543"/>
      <c r="G9" s="543"/>
      <c r="H9" s="543"/>
      <c r="I9" s="543"/>
      <c r="J9" s="543"/>
    </row>
    <row r="10" spans="1:10" x14ac:dyDescent="0.3">
      <c r="C10" s="543"/>
      <c r="D10" s="543"/>
      <c r="E10" s="546" t="s">
        <v>697</v>
      </c>
      <c r="F10" s="543"/>
      <c r="G10" s="543"/>
      <c r="H10" s="543"/>
      <c r="I10" s="543"/>
      <c r="J10" s="543"/>
    </row>
    <row r="11" spans="1:10" ht="48.6" customHeight="1" x14ac:dyDescent="0.3">
      <c r="A11" s="545"/>
      <c r="B11" s="545"/>
      <c r="C11" s="545"/>
      <c r="D11" s="545"/>
      <c r="E11" s="544" t="s">
        <v>531</v>
      </c>
      <c r="F11" s="545"/>
      <c r="G11" s="545"/>
      <c r="H11" s="545"/>
      <c r="I11" s="545"/>
      <c r="J11" s="545"/>
    </row>
    <row r="13" spans="1:10" x14ac:dyDescent="0.3">
      <c r="B13" s="84" t="s">
        <v>588</v>
      </c>
      <c r="C13" s="84"/>
      <c r="D13" s="84"/>
      <c r="E13" s="84"/>
    </row>
    <row r="14" spans="1:10" x14ac:dyDescent="0.3">
      <c r="B14" s="108" t="s">
        <v>605</v>
      </c>
    </row>
    <row r="15" spans="1:10" x14ac:dyDescent="0.3">
      <c r="B15" s="108" t="s">
        <v>606</v>
      </c>
    </row>
    <row r="16" spans="1:10" x14ac:dyDescent="0.3">
      <c r="B16" s="108" t="s">
        <v>607</v>
      </c>
    </row>
    <row r="17" spans="1:10" x14ac:dyDescent="0.3">
      <c r="B17" s="108" t="s">
        <v>608</v>
      </c>
    </row>
    <row r="18" spans="1:10" x14ac:dyDescent="0.3">
      <c r="B18" s="108" t="s">
        <v>609</v>
      </c>
    </row>
    <row r="19" spans="1:10" x14ac:dyDescent="0.3">
      <c r="B19" s="108" t="s">
        <v>54</v>
      </c>
    </row>
    <row r="20" spans="1:10" x14ac:dyDescent="0.3">
      <c r="B20" s="108" t="s">
        <v>525</v>
      </c>
      <c r="H20" s="136" t="s">
        <v>587</v>
      </c>
      <c r="I20" s="137"/>
      <c r="J20" s="137"/>
    </row>
    <row r="23" spans="1:10" x14ac:dyDescent="0.3">
      <c r="H23" s="137"/>
    </row>
    <row r="24" spans="1:10" x14ac:dyDescent="0.3">
      <c r="B24" s="84" t="s">
        <v>589</v>
      </c>
    </row>
    <row r="25" spans="1:10" x14ac:dyDescent="0.3">
      <c r="A25" s="84" t="s">
        <v>527</v>
      </c>
      <c r="B25" s="108" t="s">
        <v>881</v>
      </c>
    </row>
    <row r="26" spans="1:10" x14ac:dyDescent="0.3">
      <c r="A26" s="138" t="s">
        <v>547</v>
      </c>
      <c r="B26" s="139" t="s">
        <v>882</v>
      </c>
      <c r="C26" s="139"/>
      <c r="D26" s="139"/>
      <c r="E26" s="139"/>
      <c r="F26" s="139"/>
      <c r="G26" s="139"/>
      <c r="H26" s="139"/>
      <c r="I26" s="139"/>
      <c r="J26" s="139"/>
    </row>
    <row r="27" spans="1:10" x14ac:dyDescent="0.3">
      <c r="A27" s="84" t="s">
        <v>883</v>
      </c>
    </row>
    <row r="28" spans="1:10" ht="19.5" x14ac:dyDescent="0.35">
      <c r="A28" s="84"/>
      <c r="B28" s="140" t="s">
        <v>610</v>
      </c>
    </row>
    <row r="29" spans="1:10" x14ac:dyDescent="0.3">
      <c r="A29" s="108">
        <v>1</v>
      </c>
      <c r="B29" s="108" t="s">
        <v>898</v>
      </c>
    </row>
    <row r="30" spans="1:10" x14ac:dyDescent="0.3">
      <c r="A30" s="108">
        <v>2</v>
      </c>
      <c r="B30" s="108" t="s">
        <v>899</v>
      </c>
    </row>
    <row r="31" spans="1:10" x14ac:dyDescent="0.3">
      <c r="A31" s="108">
        <v>3</v>
      </c>
      <c r="B31" s="108" t="s">
        <v>900</v>
      </c>
    </row>
    <row r="32" spans="1:10" x14ac:dyDescent="0.3">
      <c r="A32" s="108">
        <v>4</v>
      </c>
      <c r="B32" s="108" t="s">
        <v>611</v>
      </c>
    </row>
    <row r="33" spans="1:10" x14ac:dyDescent="0.3">
      <c r="A33" s="108">
        <v>5</v>
      </c>
      <c r="B33" s="108" t="s">
        <v>901</v>
      </c>
    </row>
    <row r="34" spans="1:10" x14ac:dyDescent="0.3">
      <c r="B34" s="108" t="s">
        <v>612</v>
      </c>
    </row>
    <row r="35" spans="1:10" x14ac:dyDescent="0.3">
      <c r="A35" s="84" t="s">
        <v>884</v>
      </c>
    </row>
    <row r="36" spans="1:10" x14ac:dyDescent="0.3">
      <c r="A36" s="108">
        <v>1</v>
      </c>
      <c r="B36" s="108" t="s">
        <v>528</v>
      </c>
    </row>
    <row r="37" spans="1:10" x14ac:dyDescent="0.3">
      <c r="A37" s="108">
        <v>2</v>
      </c>
      <c r="B37" s="108" t="s">
        <v>902</v>
      </c>
    </row>
    <row r="38" spans="1:10" x14ac:dyDescent="0.3">
      <c r="A38" s="108">
        <v>3</v>
      </c>
      <c r="B38" s="108" t="s">
        <v>903</v>
      </c>
    </row>
    <row r="39" spans="1:10" x14ac:dyDescent="0.3">
      <c r="A39" s="84" t="s">
        <v>885</v>
      </c>
    </row>
    <row r="40" spans="1:10" x14ac:dyDescent="0.3">
      <c r="A40" s="108">
        <v>1</v>
      </c>
      <c r="B40" s="108" t="s">
        <v>613</v>
      </c>
    </row>
    <row r="41" spans="1:10" x14ac:dyDescent="0.3">
      <c r="B41" s="108" t="s">
        <v>590</v>
      </c>
    </row>
    <row r="42" spans="1:10" ht="19.5" x14ac:dyDescent="0.35">
      <c r="B42" s="84" t="s">
        <v>614</v>
      </c>
      <c r="C42" s="141"/>
      <c r="D42" s="141"/>
      <c r="E42" s="141"/>
      <c r="F42" s="141"/>
      <c r="G42" s="141"/>
      <c r="H42" s="141"/>
      <c r="I42" s="141"/>
      <c r="J42" s="141"/>
    </row>
    <row r="43" spans="1:10" x14ac:dyDescent="0.3">
      <c r="A43" s="108">
        <v>2</v>
      </c>
      <c r="B43" s="108" t="s">
        <v>904</v>
      </c>
    </row>
    <row r="44" spans="1:10" x14ac:dyDescent="0.3">
      <c r="B44" s="108" t="s">
        <v>591</v>
      </c>
    </row>
    <row r="45" spans="1:10" ht="19.5" x14ac:dyDescent="0.35">
      <c r="A45" s="142" t="s">
        <v>529</v>
      </c>
      <c r="B45" s="108" t="s">
        <v>596</v>
      </c>
      <c r="D45" s="141"/>
      <c r="E45" s="141"/>
      <c r="F45" s="141"/>
      <c r="G45" s="141"/>
      <c r="H45" s="141"/>
      <c r="I45" s="141"/>
      <c r="J45" s="141"/>
    </row>
    <row r="46" spans="1:10" ht="19.5" x14ac:dyDescent="0.35">
      <c r="A46" s="142"/>
      <c r="B46" s="108" t="s">
        <v>905</v>
      </c>
      <c r="D46" s="141"/>
      <c r="E46" s="141"/>
      <c r="F46" s="141"/>
      <c r="G46" s="141"/>
      <c r="H46" s="141"/>
      <c r="I46" s="141"/>
      <c r="J46" s="141"/>
    </row>
    <row r="47" spans="1:10" ht="19.5" x14ac:dyDescent="0.35">
      <c r="A47" s="142" t="s">
        <v>530</v>
      </c>
      <c r="B47" s="108" t="s">
        <v>597</v>
      </c>
      <c r="D47" s="141"/>
      <c r="E47" s="141"/>
      <c r="F47" s="141"/>
      <c r="G47" s="141"/>
      <c r="H47" s="141"/>
      <c r="I47" s="141"/>
      <c r="J47" s="141"/>
    </row>
    <row r="48" spans="1:10" ht="19.5" x14ac:dyDescent="0.35">
      <c r="B48" s="108" t="s">
        <v>907</v>
      </c>
      <c r="D48" s="141"/>
      <c r="E48" s="141"/>
      <c r="F48" s="141"/>
      <c r="G48" s="141"/>
      <c r="H48" s="141"/>
      <c r="I48" s="141"/>
      <c r="J48" s="141"/>
    </row>
    <row r="49" spans="1:10" ht="19.5" x14ac:dyDescent="0.35">
      <c r="B49" s="108" t="s">
        <v>908</v>
      </c>
      <c r="D49" s="141"/>
      <c r="E49" s="141"/>
      <c r="F49" s="141"/>
      <c r="G49" s="141"/>
      <c r="H49" s="141"/>
      <c r="I49" s="141"/>
      <c r="J49" s="141"/>
    </row>
    <row r="50" spans="1:10" ht="19.5" x14ac:dyDescent="0.35">
      <c r="B50" s="108" t="s">
        <v>909</v>
      </c>
      <c r="D50" s="141"/>
      <c r="E50" s="141"/>
      <c r="F50" s="141"/>
      <c r="G50" s="141"/>
      <c r="H50" s="141"/>
      <c r="I50" s="141"/>
      <c r="J50" s="141"/>
    </row>
    <row r="51" spans="1:10" ht="19.5" x14ac:dyDescent="0.35">
      <c r="B51" s="141" t="s">
        <v>615</v>
      </c>
      <c r="C51" s="141"/>
      <c r="D51" s="141"/>
      <c r="E51" s="141"/>
      <c r="F51" s="141"/>
      <c r="G51" s="141"/>
      <c r="H51" s="141"/>
      <c r="I51" s="141"/>
      <c r="J51" s="141"/>
    </row>
    <row r="52" spans="1:10" ht="19.5" x14ac:dyDescent="0.35">
      <c r="B52" s="141" t="s">
        <v>598</v>
      </c>
      <c r="C52" s="141"/>
      <c r="D52" s="141"/>
      <c r="E52" s="141"/>
      <c r="F52" s="141"/>
      <c r="G52" s="141"/>
      <c r="H52" s="141"/>
      <c r="I52" s="141"/>
      <c r="J52" s="141"/>
    </row>
    <row r="53" spans="1:10" ht="19.5" x14ac:dyDescent="0.35">
      <c r="A53" s="142">
        <v>3</v>
      </c>
      <c r="B53" s="108" t="s">
        <v>910</v>
      </c>
      <c r="C53" s="141"/>
      <c r="D53" s="141"/>
      <c r="E53" s="141"/>
      <c r="F53" s="141"/>
      <c r="G53" s="141"/>
      <c r="H53" s="141"/>
      <c r="I53" s="141"/>
      <c r="J53" s="141"/>
    </row>
    <row r="54" spans="1:10" ht="19.5" x14ac:dyDescent="0.35">
      <c r="B54" s="108" t="s">
        <v>911</v>
      </c>
      <c r="C54" s="141"/>
      <c r="D54" s="141"/>
      <c r="E54" s="141"/>
      <c r="F54" s="141"/>
      <c r="G54" s="141"/>
      <c r="H54" s="141"/>
      <c r="I54" s="141"/>
      <c r="J54" s="141"/>
    </row>
    <row r="55" spans="1:10" ht="19.5" x14ac:dyDescent="0.35">
      <c r="A55" s="108">
        <v>4</v>
      </c>
      <c r="B55" s="108" t="s">
        <v>912</v>
      </c>
      <c r="C55" s="141"/>
      <c r="D55" s="141"/>
      <c r="E55" s="141"/>
      <c r="F55" s="141"/>
      <c r="G55" s="141"/>
      <c r="H55" s="141"/>
      <c r="I55" s="141"/>
      <c r="J55" s="141"/>
    </row>
    <row r="56" spans="1:10" ht="19.5" x14ac:dyDescent="0.35">
      <c r="A56" s="108">
        <v>5</v>
      </c>
      <c r="B56" s="84" t="s">
        <v>913</v>
      </c>
      <c r="C56" s="141"/>
      <c r="D56" s="141"/>
      <c r="E56" s="141"/>
      <c r="F56" s="141"/>
      <c r="G56" s="141"/>
      <c r="H56" s="141"/>
      <c r="I56" s="141"/>
      <c r="J56" s="141"/>
    </row>
    <row r="57" spans="1:10" ht="19.5" x14ac:dyDescent="0.35">
      <c r="A57" s="84" t="s">
        <v>886</v>
      </c>
      <c r="C57" s="141"/>
      <c r="D57" s="141"/>
      <c r="E57" s="141"/>
      <c r="F57" s="141"/>
      <c r="G57" s="141"/>
      <c r="H57" s="141"/>
      <c r="I57" s="141"/>
      <c r="J57" s="141"/>
    </row>
    <row r="58" spans="1:10" x14ac:dyDescent="0.3">
      <c r="A58" s="108">
        <v>1</v>
      </c>
      <c r="B58" s="108" t="s">
        <v>592</v>
      </c>
    </row>
    <row r="59" spans="1:10" x14ac:dyDescent="0.3">
      <c r="B59" s="108" t="s">
        <v>593</v>
      </c>
    </row>
    <row r="60" spans="1:10" x14ac:dyDescent="0.3">
      <c r="A60" s="108">
        <v>2</v>
      </c>
      <c r="B60" s="108" t="s">
        <v>594</v>
      </c>
    </row>
    <row r="61" spans="1:10" x14ac:dyDescent="0.3">
      <c r="B61" s="84" t="s">
        <v>614</v>
      </c>
    </row>
    <row r="62" spans="1:10" x14ac:dyDescent="0.3">
      <c r="A62" s="84" t="s">
        <v>887</v>
      </c>
    </row>
    <row r="63" spans="1:10" x14ac:dyDescent="0.3">
      <c r="B63" s="108" t="s">
        <v>595</v>
      </c>
    </row>
    <row r="64" spans="1:10" x14ac:dyDescent="0.3">
      <c r="A64" s="84" t="s">
        <v>888</v>
      </c>
    </row>
    <row r="65" spans="1:2" x14ac:dyDescent="0.3">
      <c r="B65" s="108" t="s">
        <v>595</v>
      </c>
    </row>
    <row r="66" spans="1:2" x14ac:dyDescent="0.3">
      <c r="A66" s="84" t="s">
        <v>889</v>
      </c>
    </row>
    <row r="67" spans="1:2" x14ac:dyDescent="0.3">
      <c r="B67" s="108" t="s">
        <v>595</v>
      </c>
    </row>
    <row r="68" spans="1:2" x14ac:dyDescent="0.3">
      <c r="A68" s="84" t="s">
        <v>890</v>
      </c>
    </row>
    <row r="69" spans="1:2" x14ac:dyDescent="0.3">
      <c r="B69" s="108" t="s">
        <v>595</v>
      </c>
    </row>
    <row r="70" spans="1:2" x14ac:dyDescent="0.3">
      <c r="A70" s="84" t="s">
        <v>914</v>
      </c>
    </row>
    <row r="71" spans="1:2" x14ac:dyDescent="0.3">
      <c r="A71" s="84" t="s">
        <v>915</v>
      </c>
    </row>
    <row r="72" spans="1:2" x14ac:dyDescent="0.3">
      <c r="B72" s="108" t="s">
        <v>916</v>
      </c>
    </row>
    <row r="73" spans="1:2" x14ac:dyDescent="0.3">
      <c r="B73" s="108" t="s">
        <v>492</v>
      </c>
    </row>
    <row r="74" spans="1:2" ht="19.5" x14ac:dyDescent="0.35">
      <c r="B74" s="141" t="s">
        <v>599</v>
      </c>
    </row>
    <row r="75" spans="1:2" ht="19.5" x14ac:dyDescent="0.35">
      <c r="B75" s="141" t="s">
        <v>519</v>
      </c>
    </row>
    <row r="76" spans="1:2" ht="19.5" x14ac:dyDescent="0.35">
      <c r="B76" s="141" t="s">
        <v>600</v>
      </c>
    </row>
    <row r="77" spans="1:2" ht="19.5" x14ac:dyDescent="0.35">
      <c r="B77" s="141" t="s">
        <v>601</v>
      </c>
    </row>
    <row r="78" spans="1:2" x14ac:dyDescent="0.3">
      <c r="A78" s="84" t="s">
        <v>891</v>
      </c>
      <c r="B78" s="140"/>
    </row>
    <row r="79" spans="1:2" x14ac:dyDescent="0.3">
      <c r="B79" s="108" t="s">
        <v>917</v>
      </c>
    </row>
    <row r="80" spans="1:2" x14ac:dyDescent="0.3">
      <c r="B80" s="108" t="s">
        <v>602</v>
      </c>
    </row>
    <row r="81" spans="1:2" x14ac:dyDescent="0.3">
      <c r="A81" s="84" t="s">
        <v>892</v>
      </c>
    </row>
    <row r="82" spans="1:2" x14ac:dyDescent="0.3">
      <c r="B82" s="108" t="s">
        <v>919</v>
      </c>
    </row>
    <row r="83" spans="1:2" x14ac:dyDescent="0.3">
      <c r="B83" s="108" t="s">
        <v>603</v>
      </c>
    </row>
    <row r="84" spans="1:2" ht="19.5" x14ac:dyDescent="0.35">
      <c r="B84" s="141" t="s">
        <v>918</v>
      </c>
    </row>
    <row r="85" spans="1:2" ht="19.5" x14ac:dyDescent="0.35">
      <c r="B85" s="141" t="s">
        <v>604</v>
      </c>
    </row>
  </sheetData>
  <sheetProtection algorithmName="SHA-512" hashValue="8J/4WO7Qg2maeG7oh0lDFEyJ8oFujli0g6+nLZ6qbBOkafyNZSZwZnhBBCbjqGowo/CV5QsfI4q7HM3iNj6yTw==" saltValue="0+iUrCqf+cIYmMKwfqW6b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D8FB-ABB5-475B-9FD0-784652B8797C}">
  <sheetPr>
    <pageSetUpPr fitToPage="1"/>
  </sheetPr>
  <dimension ref="B1:L38"/>
  <sheetViews>
    <sheetView zoomScale="102" zoomScaleNormal="100" workbookViewId="0">
      <selection activeCell="F20" sqref="F20"/>
    </sheetView>
  </sheetViews>
  <sheetFormatPr defaultRowHeight="12.75" x14ac:dyDescent="0.2"/>
  <cols>
    <col min="1" max="1" width="1.75" style="5" customWidth="1"/>
    <col min="2" max="12" width="7.75" style="5" customWidth="1"/>
    <col min="13" max="13" width="1.375" style="5" customWidth="1"/>
    <col min="14" max="256" width="8.75" style="5"/>
    <col min="257" max="257" width="1.75" style="5" customWidth="1"/>
    <col min="258" max="258" width="8.75" style="5"/>
    <col min="259" max="259" width="10.25" style="5" bestFit="1" customWidth="1"/>
    <col min="260" max="268" width="8.75" style="5"/>
    <col min="269" max="269" width="1.375" style="5" customWidth="1"/>
    <col min="270" max="512" width="8.75" style="5"/>
    <col min="513" max="513" width="1.75" style="5" customWidth="1"/>
    <col min="514" max="514" width="8.75" style="5"/>
    <col min="515" max="515" width="10.25" style="5" bestFit="1" customWidth="1"/>
    <col min="516" max="524" width="8.75" style="5"/>
    <col min="525" max="525" width="1.375" style="5" customWidth="1"/>
    <col min="526" max="768" width="8.75" style="5"/>
    <col min="769" max="769" width="1.75" style="5" customWidth="1"/>
    <col min="770" max="770" width="8.75" style="5"/>
    <col min="771" max="771" width="10.25" style="5" bestFit="1" customWidth="1"/>
    <col min="772" max="780" width="8.75" style="5"/>
    <col min="781" max="781" width="1.375" style="5" customWidth="1"/>
    <col min="782" max="1024" width="8.75" style="5"/>
    <col min="1025" max="1025" width="1.75" style="5" customWidth="1"/>
    <col min="1026" max="1026" width="8.75" style="5"/>
    <col min="1027" max="1027" width="10.25" style="5" bestFit="1" customWidth="1"/>
    <col min="1028" max="1036" width="8.75" style="5"/>
    <col min="1037" max="1037" width="1.375" style="5" customWidth="1"/>
    <col min="1038" max="1280" width="8.75" style="5"/>
    <col min="1281" max="1281" width="1.75" style="5" customWidth="1"/>
    <col min="1282" max="1282" width="8.75" style="5"/>
    <col min="1283" max="1283" width="10.25" style="5" bestFit="1" customWidth="1"/>
    <col min="1284" max="1292" width="8.75" style="5"/>
    <col min="1293" max="1293" width="1.375" style="5" customWidth="1"/>
    <col min="1294" max="1536" width="8.75" style="5"/>
    <col min="1537" max="1537" width="1.75" style="5" customWidth="1"/>
    <col min="1538" max="1538" width="8.75" style="5"/>
    <col min="1539" max="1539" width="10.25" style="5" bestFit="1" customWidth="1"/>
    <col min="1540" max="1548" width="8.75" style="5"/>
    <col min="1549" max="1549" width="1.375" style="5" customWidth="1"/>
    <col min="1550" max="1792" width="8.75" style="5"/>
    <col min="1793" max="1793" width="1.75" style="5" customWidth="1"/>
    <col min="1794" max="1794" width="8.75" style="5"/>
    <col min="1795" max="1795" width="10.25" style="5" bestFit="1" customWidth="1"/>
    <col min="1796" max="1804" width="8.75" style="5"/>
    <col min="1805" max="1805" width="1.375" style="5" customWidth="1"/>
    <col min="1806" max="2048" width="8.75" style="5"/>
    <col min="2049" max="2049" width="1.75" style="5" customWidth="1"/>
    <col min="2050" max="2050" width="8.75" style="5"/>
    <col min="2051" max="2051" width="10.25" style="5" bestFit="1" customWidth="1"/>
    <col min="2052" max="2060" width="8.75" style="5"/>
    <col min="2061" max="2061" width="1.375" style="5" customWidth="1"/>
    <col min="2062" max="2304" width="8.75" style="5"/>
    <col min="2305" max="2305" width="1.75" style="5" customWidth="1"/>
    <col min="2306" max="2306" width="8.75" style="5"/>
    <col min="2307" max="2307" width="10.25" style="5" bestFit="1" customWidth="1"/>
    <col min="2308" max="2316" width="8.75" style="5"/>
    <col min="2317" max="2317" width="1.375" style="5" customWidth="1"/>
    <col min="2318" max="2560" width="8.75" style="5"/>
    <col min="2561" max="2561" width="1.75" style="5" customWidth="1"/>
    <col min="2562" max="2562" width="8.75" style="5"/>
    <col min="2563" max="2563" width="10.25" style="5" bestFit="1" customWidth="1"/>
    <col min="2564" max="2572" width="8.75" style="5"/>
    <col min="2573" max="2573" width="1.375" style="5" customWidth="1"/>
    <col min="2574" max="2816" width="8.75" style="5"/>
    <col min="2817" max="2817" width="1.75" style="5" customWidth="1"/>
    <col min="2818" max="2818" width="8.75" style="5"/>
    <col min="2819" max="2819" width="10.25" style="5" bestFit="1" customWidth="1"/>
    <col min="2820" max="2828" width="8.75" style="5"/>
    <col min="2829" max="2829" width="1.375" style="5" customWidth="1"/>
    <col min="2830" max="3072" width="8.75" style="5"/>
    <col min="3073" max="3073" width="1.75" style="5" customWidth="1"/>
    <col min="3074" max="3074" width="8.75" style="5"/>
    <col min="3075" max="3075" width="10.25" style="5" bestFit="1" customWidth="1"/>
    <col min="3076" max="3084" width="8.75" style="5"/>
    <col min="3085" max="3085" width="1.375" style="5" customWidth="1"/>
    <col min="3086" max="3328" width="8.75" style="5"/>
    <col min="3329" max="3329" width="1.75" style="5" customWidth="1"/>
    <col min="3330" max="3330" width="8.75" style="5"/>
    <col min="3331" max="3331" width="10.25" style="5" bestFit="1" customWidth="1"/>
    <col min="3332" max="3340" width="8.75" style="5"/>
    <col min="3341" max="3341" width="1.375" style="5" customWidth="1"/>
    <col min="3342" max="3584" width="8.75" style="5"/>
    <col min="3585" max="3585" width="1.75" style="5" customWidth="1"/>
    <col min="3586" max="3586" width="8.75" style="5"/>
    <col min="3587" max="3587" width="10.25" style="5" bestFit="1" customWidth="1"/>
    <col min="3588" max="3596" width="8.75" style="5"/>
    <col min="3597" max="3597" width="1.375" style="5" customWidth="1"/>
    <col min="3598" max="3840" width="8.75" style="5"/>
    <col min="3841" max="3841" width="1.75" style="5" customWidth="1"/>
    <col min="3842" max="3842" width="8.75" style="5"/>
    <col min="3843" max="3843" width="10.25" style="5" bestFit="1" customWidth="1"/>
    <col min="3844" max="3852" width="8.75" style="5"/>
    <col min="3853" max="3853" width="1.375" style="5" customWidth="1"/>
    <col min="3854" max="4096" width="8.75" style="5"/>
    <col min="4097" max="4097" width="1.75" style="5" customWidth="1"/>
    <col min="4098" max="4098" width="8.75" style="5"/>
    <col min="4099" max="4099" width="10.25" style="5" bestFit="1" customWidth="1"/>
    <col min="4100" max="4108" width="8.75" style="5"/>
    <col min="4109" max="4109" width="1.375" style="5" customWidth="1"/>
    <col min="4110" max="4352" width="8.75" style="5"/>
    <col min="4353" max="4353" width="1.75" style="5" customWidth="1"/>
    <col min="4354" max="4354" width="8.75" style="5"/>
    <col min="4355" max="4355" width="10.25" style="5" bestFit="1" customWidth="1"/>
    <col min="4356" max="4364" width="8.75" style="5"/>
    <col min="4365" max="4365" width="1.375" style="5" customWidth="1"/>
    <col min="4366" max="4608" width="8.75" style="5"/>
    <col min="4609" max="4609" width="1.75" style="5" customWidth="1"/>
    <col min="4610" max="4610" width="8.75" style="5"/>
    <col min="4611" max="4611" width="10.25" style="5" bestFit="1" customWidth="1"/>
    <col min="4612" max="4620" width="8.75" style="5"/>
    <col min="4621" max="4621" width="1.375" style="5" customWidth="1"/>
    <col min="4622" max="4864" width="8.75" style="5"/>
    <col min="4865" max="4865" width="1.75" style="5" customWidth="1"/>
    <col min="4866" max="4866" width="8.75" style="5"/>
    <col min="4867" max="4867" width="10.25" style="5" bestFit="1" customWidth="1"/>
    <col min="4868" max="4876" width="8.75" style="5"/>
    <col min="4877" max="4877" width="1.375" style="5" customWidth="1"/>
    <col min="4878" max="5120" width="8.75" style="5"/>
    <col min="5121" max="5121" width="1.75" style="5" customWidth="1"/>
    <col min="5122" max="5122" width="8.75" style="5"/>
    <col min="5123" max="5123" width="10.25" style="5" bestFit="1" customWidth="1"/>
    <col min="5124" max="5132" width="8.75" style="5"/>
    <col min="5133" max="5133" width="1.375" style="5" customWidth="1"/>
    <col min="5134" max="5376" width="8.75" style="5"/>
    <col min="5377" max="5377" width="1.75" style="5" customWidth="1"/>
    <col min="5378" max="5378" width="8.75" style="5"/>
    <col min="5379" max="5379" width="10.25" style="5" bestFit="1" customWidth="1"/>
    <col min="5380" max="5388" width="8.75" style="5"/>
    <col min="5389" max="5389" width="1.375" style="5" customWidth="1"/>
    <col min="5390" max="5632" width="8.75" style="5"/>
    <col min="5633" max="5633" width="1.75" style="5" customWidth="1"/>
    <col min="5634" max="5634" width="8.75" style="5"/>
    <col min="5635" max="5635" width="10.25" style="5" bestFit="1" customWidth="1"/>
    <col min="5636" max="5644" width="8.75" style="5"/>
    <col min="5645" max="5645" width="1.375" style="5" customWidth="1"/>
    <col min="5646" max="5888" width="8.75" style="5"/>
    <col min="5889" max="5889" width="1.75" style="5" customWidth="1"/>
    <col min="5890" max="5890" width="8.75" style="5"/>
    <col min="5891" max="5891" width="10.25" style="5" bestFit="1" customWidth="1"/>
    <col min="5892" max="5900" width="8.75" style="5"/>
    <col min="5901" max="5901" width="1.375" style="5" customWidth="1"/>
    <col min="5902" max="6144" width="8.75" style="5"/>
    <col min="6145" max="6145" width="1.75" style="5" customWidth="1"/>
    <col min="6146" max="6146" width="8.75" style="5"/>
    <col min="6147" max="6147" width="10.25" style="5" bestFit="1" customWidth="1"/>
    <col min="6148" max="6156" width="8.75" style="5"/>
    <col min="6157" max="6157" width="1.375" style="5" customWidth="1"/>
    <col min="6158" max="6400" width="8.75" style="5"/>
    <col min="6401" max="6401" width="1.75" style="5" customWidth="1"/>
    <col min="6402" max="6402" width="8.75" style="5"/>
    <col min="6403" max="6403" width="10.25" style="5" bestFit="1" customWidth="1"/>
    <col min="6404" max="6412" width="8.75" style="5"/>
    <col min="6413" max="6413" width="1.375" style="5" customWidth="1"/>
    <col min="6414" max="6656" width="8.75" style="5"/>
    <col min="6657" max="6657" width="1.75" style="5" customWidth="1"/>
    <col min="6658" max="6658" width="8.75" style="5"/>
    <col min="6659" max="6659" width="10.25" style="5" bestFit="1" customWidth="1"/>
    <col min="6660" max="6668" width="8.75" style="5"/>
    <col min="6669" max="6669" width="1.375" style="5" customWidth="1"/>
    <col min="6670" max="6912" width="8.75" style="5"/>
    <col min="6913" max="6913" width="1.75" style="5" customWidth="1"/>
    <col min="6914" max="6914" width="8.75" style="5"/>
    <col min="6915" max="6915" width="10.25" style="5" bestFit="1" customWidth="1"/>
    <col min="6916" max="6924" width="8.75" style="5"/>
    <col min="6925" max="6925" width="1.375" style="5" customWidth="1"/>
    <col min="6926" max="7168" width="8.75" style="5"/>
    <col min="7169" max="7169" width="1.75" style="5" customWidth="1"/>
    <col min="7170" max="7170" width="8.75" style="5"/>
    <col min="7171" max="7171" width="10.25" style="5" bestFit="1" customWidth="1"/>
    <col min="7172" max="7180" width="8.75" style="5"/>
    <col min="7181" max="7181" width="1.375" style="5" customWidth="1"/>
    <col min="7182" max="7424" width="8.75" style="5"/>
    <col min="7425" max="7425" width="1.75" style="5" customWidth="1"/>
    <col min="7426" max="7426" width="8.75" style="5"/>
    <col min="7427" max="7427" width="10.25" style="5" bestFit="1" customWidth="1"/>
    <col min="7428" max="7436" width="8.75" style="5"/>
    <col min="7437" max="7437" width="1.375" style="5" customWidth="1"/>
    <col min="7438" max="7680" width="8.75" style="5"/>
    <col min="7681" max="7681" width="1.75" style="5" customWidth="1"/>
    <col min="7682" max="7682" width="8.75" style="5"/>
    <col min="7683" max="7683" width="10.25" style="5" bestFit="1" customWidth="1"/>
    <col min="7684" max="7692" width="8.75" style="5"/>
    <col min="7693" max="7693" width="1.375" style="5" customWidth="1"/>
    <col min="7694" max="7936" width="8.75" style="5"/>
    <col min="7937" max="7937" width="1.75" style="5" customWidth="1"/>
    <col min="7938" max="7938" width="8.75" style="5"/>
    <col min="7939" max="7939" width="10.25" style="5" bestFit="1" customWidth="1"/>
    <col min="7940" max="7948" width="8.75" style="5"/>
    <col min="7949" max="7949" width="1.375" style="5" customWidth="1"/>
    <col min="7950" max="8192" width="8.75" style="5"/>
    <col min="8193" max="8193" width="1.75" style="5" customWidth="1"/>
    <col min="8194" max="8194" width="8.75" style="5"/>
    <col min="8195" max="8195" width="10.25" style="5" bestFit="1" customWidth="1"/>
    <col min="8196" max="8204" width="8.75" style="5"/>
    <col min="8205" max="8205" width="1.375" style="5" customWidth="1"/>
    <col min="8206" max="8448" width="8.75" style="5"/>
    <col min="8449" max="8449" width="1.75" style="5" customWidth="1"/>
    <col min="8450" max="8450" width="8.75" style="5"/>
    <col min="8451" max="8451" width="10.25" style="5" bestFit="1" customWidth="1"/>
    <col min="8452" max="8460" width="8.75" style="5"/>
    <col min="8461" max="8461" width="1.375" style="5" customWidth="1"/>
    <col min="8462" max="8704" width="8.75" style="5"/>
    <col min="8705" max="8705" width="1.75" style="5" customWidth="1"/>
    <col min="8706" max="8706" width="8.75" style="5"/>
    <col min="8707" max="8707" width="10.25" style="5" bestFit="1" customWidth="1"/>
    <col min="8708" max="8716" width="8.75" style="5"/>
    <col min="8717" max="8717" width="1.375" style="5" customWidth="1"/>
    <col min="8718" max="8960" width="8.75" style="5"/>
    <col min="8961" max="8961" width="1.75" style="5" customWidth="1"/>
    <col min="8962" max="8962" width="8.75" style="5"/>
    <col min="8963" max="8963" width="10.25" style="5" bestFit="1" customWidth="1"/>
    <col min="8964" max="8972" width="8.75" style="5"/>
    <col min="8973" max="8973" width="1.375" style="5" customWidth="1"/>
    <col min="8974" max="9216" width="8.75" style="5"/>
    <col min="9217" max="9217" width="1.75" style="5" customWidth="1"/>
    <col min="9218" max="9218" width="8.75" style="5"/>
    <col min="9219" max="9219" width="10.25" style="5" bestFit="1" customWidth="1"/>
    <col min="9220" max="9228" width="8.75" style="5"/>
    <col min="9229" max="9229" width="1.375" style="5" customWidth="1"/>
    <col min="9230" max="9472" width="8.75" style="5"/>
    <col min="9473" max="9473" width="1.75" style="5" customWidth="1"/>
    <col min="9474" max="9474" width="8.75" style="5"/>
    <col min="9475" max="9475" width="10.25" style="5" bestFit="1" customWidth="1"/>
    <col min="9476" max="9484" width="8.75" style="5"/>
    <col min="9485" max="9485" width="1.375" style="5" customWidth="1"/>
    <col min="9486" max="9728" width="8.75" style="5"/>
    <col min="9729" max="9729" width="1.75" style="5" customWidth="1"/>
    <col min="9730" max="9730" width="8.75" style="5"/>
    <col min="9731" max="9731" width="10.25" style="5" bestFit="1" customWidth="1"/>
    <col min="9732" max="9740" width="8.75" style="5"/>
    <col min="9741" max="9741" width="1.375" style="5" customWidth="1"/>
    <col min="9742" max="9984" width="8.75" style="5"/>
    <col min="9985" max="9985" width="1.75" style="5" customWidth="1"/>
    <col min="9986" max="9986" width="8.75" style="5"/>
    <col min="9987" max="9987" width="10.25" style="5" bestFit="1" customWidth="1"/>
    <col min="9988" max="9996" width="8.75" style="5"/>
    <col min="9997" max="9997" width="1.375" style="5" customWidth="1"/>
    <col min="9998" max="10240" width="8.75" style="5"/>
    <col min="10241" max="10241" width="1.75" style="5" customWidth="1"/>
    <col min="10242" max="10242" width="8.75" style="5"/>
    <col min="10243" max="10243" width="10.25" style="5" bestFit="1" customWidth="1"/>
    <col min="10244" max="10252" width="8.75" style="5"/>
    <col min="10253" max="10253" width="1.375" style="5" customWidth="1"/>
    <col min="10254" max="10496" width="8.75" style="5"/>
    <col min="10497" max="10497" width="1.75" style="5" customWidth="1"/>
    <col min="10498" max="10498" width="8.75" style="5"/>
    <col min="10499" max="10499" width="10.25" style="5" bestFit="1" customWidth="1"/>
    <col min="10500" max="10508" width="8.75" style="5"/>
    <col min="10509" max="10509" width="1.375" style="5" customWidth="1"/>
    <col min="10510" max="10752" width="8.75" style="5"/>
    <col min="10753" max="10753" width="1.75" style="5" customWidth="1"/>
    <col min="10754" max="10754" width="8.75" style="5"/>
    <col min="10755" max="10755" width="10.25" style="5" bestFit="1" customWidth="1"/>
    <col min="10756" max="10764" width="8.75" style="5"/>
    <col min="10765" max="10765" width="1.375" style="5" customWidth="1"/>
    <col min="10766" max="11008" width="8.75" style="5"/>
    <col min="11009" max="11009" width="1.75" style="5" customWidth="1"/>
    <col min="11010" max="11010" width="8.75" style="5"/>
    <col min="11011" max="11011" width="10.25" style="5" bestFit="1" customWidth="1"/>
    <col min="11012" max="11020" width="8.75" style="5"/>
    <col min="11021" max="11021" width="1.375" style="5" customWidth="1"/>
    <col min="11022" max="11264" width="8.75" style="5"/>
    <col min="11265" max="11265" width="1.75" style="5" customWidth="1"/>
    <col min="11266" max="11266" width="8.75" style="5"/>
    <col min="11267" max="11267" width="10.25" style="5" bestFit="1" customWidth="1"/>
    <col min="11268" max="11276" width="8.75" style="5"/>
    <col min="11277" max="11277" width="1.375" style="5" customWidth="1"/>
    <col min="11278" max="11520" width="8.75" style="5"/>
    <col min="11521" max="11521" width="1.75" style="5" customWidth="1"/>
    <col min="11522" max="11522" width="8.75" style="5"/>
    <col min="11523" max="11523" width="10.25" style="5" bestFit="1" customWidth="1"/>
    <col min="11524" max="11532" width="8.75" style="5"/>
    <col min="11533" max="11533" width="1.375" style="5" customWidth="1"/>
    <col min="11534" max="11776" width="8.75" style="5"/>
    <col min="11777" max="11777" width="1.75" style="5" customWidth="1"/>
    <col min="11778" max="11778" width="8.75" style="5"/>
    <col min="11779" max="11779" width="10.25" style="5" bestFit="1" customWidth="1"/>
    <col min="11780" max="11788" width="8.75" style="5"/>
    <col min="11789" max="11789" width="1.375" style="5" customWidth="1"/>
    <col min="11790" max="12032" width="8.75" style="5"/>
    <col min="12033" max="12033" width="1.75" style="5" customWidth="1"/>
    <col min="12034" max="12034" width="8.75" style="5"/>
    <col min="12035" max="12035" width="10.25" style="5" bestFit="1" customWidth="1"/>
    <col min="12036" max="12044" width="8.75" style="5"/>
    <col min="12045" max="12045" width="1.375" style="5" customWidth="1"/>
    <col min="12046" max="12288" width="8.75" style="5"/>
    <col min="12289" max="12289" width="1.75" style="5" customWidth="1"/>
    <col min="12290" max="12290" width="8.75" style="5"/>
    <col min="12291" max="12291" width="10.25" style="5" bestFit="1" customWidth="1"/>
    <col min="12292" max="12300" width="8.75" style="5"/>
    <col min="12301" max="12301" width="1.375" style="5" customWidth="1"/>
    <col min="12302" max="12544" width="8.75" style="5"/>
    <col min="12545" max="12545" width="1.75" style="5" customWidth="1"/>
    <col min="12546" max="12546" width="8.75" style="5"/>
    <col min="12547" max="12547" width="10.25" style="5" bestFit="1" customWidth="1"/>
    <col min="12548" max="12556" width="8.75" style="5"/>
    <col min="12557" max="12557" width="1.375" style="5" customWidth="1"/>
    <col min="12558" max="12800" width="8.75" style="5"/>
    <col min="12801" max="12801" width="1.75" style="5" customWidth="1"/>
    <col min="12802" max="12802" width="8.75" style="5"/>
    <col min="12803" max="12803" width="10.25" style="5" bestFit="1" customWidth="1"/>
    <col min="12804" max="12812" width="8.75" style="5"/>
    <col min="12813" max="12813" width="1.375" style="5" customWidth="1"/>
    <col min="12814" max="13056" width="8.75" style="5"/>
    <col min="13057" max="13057" width="1.75" style="5" customWidth="1"/>
    <col min="13058" max="13058" width="8.75" style="5"/>
    <col min="13059" max="13059" width="10.25" style="5" bestFit="1" customWidth="1"/>
    <col min="13060" max="13068" width="8.75" style="5"/>
    <col min="13069" max="13069" width="1.375" style="5" customWidth="1"/>
    <col min="13070" max="13312" width="8.75" style="5"/>
    <col min="13313" max="13313" width="1.75" style="5" customWidth="1"/>
    <col min="13314" max="13314" width="8.75" style="5"/>
    <col min="13315" max="13315" width="10.25" style="5" bestFit="1" customWidth="1"/>
    <col min="13316" max="13324" width="8.75" style="5"/>
    <col min="13325" max="13325" width="1.375" style="5" customWidth="1"/>
    <col min="13326" max="13568" width="8.75" style="5"/>
    <col min="13569" max="13569" width="1.75" style="5" customWidth="1"/>
    <col min="13570" max="13570" width="8.75" style="5"/>
    <col min="13571" max="13571" width="10.25" style="5" bestFit="1" customWidth="1"/>
    <col min="13572" max="13580" width="8.75" style="5"/>
    <col min="13581" max="13581" width="1.375" style="5" customWidth="1"/>
    <col min="13582" max="13824" width="8.75" style="5"/>
    <col min="13825" max="13825" width="1.75" style="5" customWidth="1"/>
    <col min="13826" max="13826" width="8.75" style="5"/>
    <col min="13827" max="13827" width="10.25" style="5" bestFit="1" customWidth="1"/>
    <col min="13828" max="13836" width="8.75" style="5"/>
    <col min="13837" max="13837" width="1.375" style="5" customWidth="1"/>
    <col min="13838" max="14080" width="8.75" style="5"/>
    <col min="14081" max="14081" width="1.75" style="5" customWidth="1"/>
    <col min="14082" max="14082" width="8.75" style="5"/>
    <col min="14083" max="14083" width="10.25" style="5" bestFit="1" customWidth="1"/>
    <col min="14084" max="14092" width="8.75" style="5"/>
    <col min="14093" max="14093" width="1.375" style="5" customWidth="1"/>
    <col min="14094" max="14336" width="8.75" style="5"/>
    <col min="14337" max="14337" width="1.75" style="5" customWidth="1"/>
    <col min="14338" max="14338" width="8.75" style="5"/>
    <col min="14339" max="14339" width="10.25" style="5" bestFit="1" customWidth="1"/>
    <col min="14340" max="14348" width="8.75" style="5"/>
    <col min="14349" max="14349" width="1.375" style="5" customWidth="1"/>
    <col min="14350" max="14592" width="8.75" style="5"/>
    <col min="14593" max="14593" width="1.75" style="5" customWidth="1"/>
    <col min="14594" max="14594" width="8.75" style="5"/>
    <col min="14595" max="14595" width="10.25" style="5" bestFit="1" customWidth="1"/>
    <col min="14596" max="14604" width="8.75" style="5"/>
    <col min="14605" max="14605" width="1.375" style="5" customWidth="1"/>
    <col min="14606" max="14848" width="8.75" style="5"/>
    <col min="14849" max="14849" width="1.75" style="5" customWidth="1"/>
    <col min="14850" max="14850" width="8.75" style="5"/>
    <col min="14851" max="14851" width="10.25" style="5" bestFit="1" customWidth="1"/>
    <col min="14852" max="14860" width="8.75" style="5"/>
    <col min="14861" max="14861" width="1.375" style="5" customWidth="1"/>
    <col min="14862" max="15104" width="8.75" style="5"/>
    <col min="15105" max="15105" width="1.75" style="5" customWidth="1"/>
    <col min="15106" max="15106" width="8.75" style="5"/>
    <col min="15107" max="15107" width="10.25" style="5" bestFit="1" customWidth="1"/>
    <col min="15108" max="15116" width="8.75" style="5"/>
    <col min="15117" max="15117" width="1.375" style="5" customWidth="1"/>
    <col min="15118" max="15360" width="8.75" style="5"/>
    <col min="15361" max="15361" width="1.75" style="5" customWidth="1"/>
    <col min="15362" max="15362" width="8.75" style="5"/>
    <col min="15363" max="15363" width="10.25" style="5" bestFit="1" customWidth="1"/>
    <col min="15364" max="15372" width="8.75" style="5"/>
    <col min="15373" max="15373" width="1.375" style="5" customWidth="1"/>
    <col min="15374" max="15616" width="8.75" style="5"/>
    <col min="15617" max="15617" width="1.75" style="5" customWidth="1"/>
    <col min="15618" max="15618" width="8.75" style="5"/>
    <col min="15619" max="15619" width="10.25" style="5" bestFit="1" customWidth="1"/>
    <col min="15620" max="15628" width="8.75" style="5"/>
    <col min="15629" max="15629" width="1.375" style="5" customWidth="1"/>
    <col min="15630" max="15872" width="8.75" style="5"/>
    <col min="15873" max="15873" width="1.75" style="5" customWidth="1"/>
    <col min="15874" max="15874" width="8.75" style="5"/>
    <col min="15875" max="15875" width="10.25" style="5" bestFit="1" customWidth="1"/>
    <col min="15876" max="15884" width="8.75" style="5"/>
    <col min="15885" max="15885" width="1.375" style="5" customWidth="1"/>
    <col min="15886" max="16128" width="8.75" style="5"/>
    <col min="16129" max="16129" width="1.75" style="5" customWidth="1"/>
    <col min="16130" max="16130" width="8.75" style="5"/>
    <col min="16131" max="16131" width="10.25" style="5" bestFit="1" customWidth="1"/>
    <col min="16132" max="16140" width="8.75" style="5"/>
    <col min="16141" max="16141" width="1.375" style="5" customWidth="1"/>
    <col min="16142" max="16384" width="8.75" style="5"/>
  </cols>
  <sheetData>
    <row r="1" spans="2:12" ht="45" customHeight="1" x14ac:dyDescent="0.2">
      <c r="B1" s="606" t="s">
        <v>586</v>
      </c>
      <c r="C1" s="606"/>
      <c r="D1" s="606"/>
      <c r="E1" s="606"/>
      <c r="F1" s="606"/>
      <c r="G1" s="606"/>
      <c r="H1" s="606"/>
      <c r="I1" s="606"/>
      <c r="J1" s="606"/>
      <c r="K1" s="606"/>
      <c r="L1" s="88"/>
    </row>
    <row r="14" spans="2:12" ht="27" x14ac:dyDescent="0.35">
      <c r="D14" s="537"/>
      <c r="E14" s="537"/>
      <c r="F14" s="274" t="s">
        <v>479</v>
      </c>
      <c r="G14" s="537"/>
      <c r="H14" s="537"/>
      <c r="I14" s="537"/>
      <c r="J14" s="537"/>
    </row>
    <row r="15" spans="2:12" x14ac:dyDescent="0.2">
      <c r="F15" s="538"/>
    </row>
    <row r="16" spans="2:12" ht="30" x14ac:dyDescent="0.4">
      <c r="D16" s="10"/>
      <c r="E16" s="10"/>
      <c r="F16" s="273" t="s">
        <v>523</v>
      </c>
      <c r="G16" s="10"/>
      <c r="H16" s="10"/>
      <c r="I16" s="10"/>
      <c r="J16" s="10"/>
      <c r="K16" s="10"/>
    </row>
    <row r="17" spans="3:10" x14ac:dyDescent="0.2">
      <c r="D17" s="7"/>
      <c r="E17" s="7"/>
      <c r="F17" s="539"/>
      <c r="G17" s="7"/>
      <c r="H17" s="7"/>
      <c r="I17" s="7"/>
      <c r="J17" s="7"/>
    </row>
    <row r="18" spans="3:10" x14ac:dyDescent="0.2">
      <c r="D18" s="7"/>
      <c r="E18" s="7"/>
      <c r="F18" s="539"/>
      <c r="G18" s="7"/>
      <c r="H18" s="7"/>
      <c r="I18" s="7"/>
      <c r="J18" s="7"/>
    </row>
    <row r="19" spans="3:10" ht="29.25" customHeight="1" x14ac:dyDescent="0.2">
      <c r="D19" s="535"/>
      <c r="E19" s="535"/>
      <c r="F19" s="271" t="s">
        <v>880</v>
      </c>
      <c r="G19" s="535"/>
      <c r="H19" s="535"/>
      <c r="I19" s="535"/>
      <c r="J19" s="535"/>
    </row>
    <row r="20" spans="3:10" x14ac:dyDescent="0.2">
      <c r="D20" s="7"/>
      <c r="E20" s="7"/>
      <c r="F20" s="539"/>
      <c r="G20" s="7"/>
      <c r="H20" s="7"/>
      <c r="I20" s="7"/>
      <c r="J20" s="7"/>
    </row>
    <row r="21" spans="3:10" ht="20.25" x14ac:dyDescent="0.3">
      <c r="D21" s="536"/>
      <c r="E21" s="536"/>
      <c r="F21" s="272" t="s">
        <v>524</v>
      </c>
      <c r="G21" s="536"/>
      <c r="H21" s="536"/>
      <c r="I21" s="536"/>
      <c r="J21" s="536"/>
    </row>
    <row r="22" spans="3:10" x14ac:dyDescent="0.2">
      <c r="C22" s="7"/>
      <c r="D22" s="7"/>
      <c r="E22" s="7"/>
      <c r="F22" s="7"/>
      <c r="G22" s="7"/>
      <c r="H22" s="7"/>
      <c r="I22" s="7"/>
      <c r="J22" s="7"/>
    </row>
    <row r="23" spans="3:10" x14ac:dyDescent="0.2">
      <c r="C23" s="7"/>
      <c r="D23" s="7"/>
      <c r="E23" s="7"/>
      <c r="F23" s="7"/>
      <c r="G23" s="7"/>
      <c r="H23" s="7"/>
      <c r="I23" s="7"/>
      <c r="J23" s="7"/>
    </row>
    <row r="24" spans="3:10" x14ac:dyDescent="0.2">
      <c r="C24" s="7"/>
      <c r="D24" s="7"/>
      <c r="E24" s="7"/>
      <c r="F24" s="7"/>
      <c r="G24" s="7"/>
      <c r="H24" s="7"/>
      <c r="I24" s="7"/>
      <c r="J24" s="7"/>
    </row>
    <row r="25" spans="3:10" x14ac:dyDescent="0.2">
      <c r="C25" s="7"/>
      <c r="D25" s="7"/>
      <c r="E25" s="7"/>
      <c r="F25" s="7"/>
      <c r="G25" s="7"/>
      <c r="H25" s="7"/>
      <c r="I25" s="7"/>
      <c r="J25" s="7"/>
    </row>
    <row r="26" spans="3:10" x14ac:dyDescent="0.2">
      <c r="C26" s="7"/>
      <c r="D26" s="7"/>
      <c r="E26" s="7"/>
      <c r="F26" s="7"/>
      <c r="G26" s="7"/>
      <c r="H26" s="7"/>
      <c r="I26" s="7"/>
      <c r="J26" s="7"/>
    </row>
    <row r="27" spans="3:10" x14ac:dyDescent="0.2">
      <c r="C27" s="7"/>
      <c r="D27" s="7"/>
      <c r="E27" s="7"/>
      <c r="F27" s="7"/>
      <c r="G27" s="7"/>
      <c r="H27" s="7"/>
      <c r="I27" s="7"/>
      <c r="J27" s="7"/>
    </row>
    <row r="28" spans="3:10" x14ac:dyDescent="0.2">
      <c r="C28" s="7"/>
      <c r="D28" s="7"/>
      <c r="E28" s="7"/>
      <c r="F28" s="7"/>
      <c r="G28" s="7"/>
      <c r="H28" s="7"/>
      <c r="I28" s="7"/>
      <c r="J28" s="7"/>
    </row>
    <row r="29" spans="3:10" x14ac:dyDescent="0.2">
      <c r="C29" s="7"/>
      <c r="D29" s="7"/>
      <c r="E29" s="7"/>
      <c r="F29" s="7"/>
      <c r="G29" s="7"/>
      <c r="H29" s="7"/>
      <c r="I29" s="7"/>
      <c r="J29" s="7"/>
    </row>
    <row r="30" spans="3:10" ht="15" x14ac:dyDescent="0.25">
      <c r="C30" s="12" t="s">
        <v>479</v>
      </c>
      <c r="D30" s="13"/>
      <c r="E30" s="13"/>
      <c r="F30" s="13"/>
      <c r="G30" s="13"/>
      <c r="H30" s="14"/>
      <c r="I30" s="7"/>
      <c r="J30" s="7"/>
    </row>
    <row r="31" spans="3:10" ht="15" x14ac:dyDescent="0.25">
      <c r="C31" s="12" t="s">
        <v>495</v>
      </c>
      <c r="D31" s="13"/>
      <c r="E31" s="13"/>
      <c r="F31" s="13"/>
      <c r="G31" s="13"/>
      <c r="H31" s="14"/>
      <c r="I31" s="7"/>
      <c r="J31" s="7"/>
    </row>
    <row r="32" spans="3:10" ht="15" x14ac:dyDescent="0.25">
      <c r="C32" s="12" t="s">
        <v>496</v>
      </c>
      <c r="D32" s="13"/>
      <c r="E32" s="13"/>
      <c r="F32" s="13"/>
      <c r="G32" s="13"/>
      <c r="H32" s="14"/>
      <c r="I32" s="7"/>
      <c r="J32" s="7"/>
    </row>
    <row r="33" spans="3:10" ht="15" x14ac:dyDescent="0.25">
      <c r="C33" s="15"/>
      <c r="D33" s="15"/>
      <c r="E33" s="15"/>
      <c r="F33" s="15"/>
      <c r="G33" s="15"/>
      <c r="H33" s="7"/>
      <c r="I33" s="7"/>
      <c r="J33" s="7"/>
    </row>
    <row r="34" spans="3:10" ht="15" x14ac:dyDescent="0.25">
      <c r="C34" s="16" t="s">
        <v>497</v>
      </c>
      <c r="D34" s="15"/>
      <c r="E34" s="15"/>
      <c r="F34" s="16"/>
      <c r="G34" s="16" t="s">
        <v>497</v>
      </c>
      <c r="H34" s="7"/>
      <c r="I34" s="7"/>
      <c r="J34" s="7"/>
    </row>
    <row r="35" spans="3:10" ht="15" x14ac:dyDescent="0.25">
      <c r="C35" s="16" t="s">
        <v>498</v>
      </c>
      <c r="D35" s="15"/>
      <c r="E35" s="15"/>
      <c r="G35" s="16" t="s">
        <v>499</v>
      </c>
      <c r="H35" s="7"/>
      <c r="I35" s="7"/>
      <c r="J35" s="7"/>
    </row>
    <row r="36" spans="3:10" ht="15" x14ac:dyDescent="0.25">
      <c r="C36" s="8"/>
      <c r="D36" s="8"/>
      <c r="E36" s="8"/>
      <c r="F36" s="8"/>
      <c r="G36" s="8"/>
      <c r="H36" s="7"/>
      <c r="I36" s="7"/>
      <c r="J36" s="7"/>
    </row>
    <row r="37" spans="3:10" ht="15" x14ac:dyDescent="0.25">
      <c r="C37" s="8"/>
      <c r="D37" s="8"/>
      <c r="E37" s="8"/>
      <c r="F37" s="8"/>
      <c r="G37" s="8"/>
      <c r="H37" s="7"/>
      <c r="I37" s="7"/>
      <c r="J37" s="7"/>
    </row>
    <row r="38" spans="3:10" ht="15" x14ac:dyDescent="0.25">
      <c r="C38" s="9"/>
      <c r="D38" s="8"/>
      <c r="E38" s="8"/>
      <c r="F38" s="8"/>
      <c r="G38" s="8"/>
      <c r="H38" s="7"/>
      <c r="I38" s="7"/>
      <c r="J38" s="7"/>
    </row>
  </sheetData>
  <mergeCells count="1">
    <mergeCell ref="B1:K1"/>
  </mergeCells>
  <pageMargins left="1" right="1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7052-9DF5-40DE-8991-00839DA6086D}">
  <sheetPr>
    <pageSetUpPr fitToPage="1"/>
  </sheetPr>
  <dimension ref="A2:U52"/>
  <sheetViews>
    <sheetView topLeftCell="A18" zoomScale="96" zoomScaleNormal="100" workbookViewId="0">
      <selection activeCell="F26" sqref="F26"/>
    </sheetView>
  </sheetViews>
  <sheetFormatPr defaultColWidth="8.75" defaultRowHeight="15" x14ac:dyDescent="0.2"/>
  <cols>
    <col min="1" max="1" width="47.75" style="100" customWidth="1"/>
    <col min="2" max="2" width="23.625" style="100" customWidth="1"/>
    <col min="3" max="3" width="19.375" style="100" customWidth="1"/>
    <col min="4" max="5" width="8.75" style="100"/>
    <col min="6" max="6" width="28.875" style="100" customWidth="1"/>
    <col min="7" max="16384" width="8.75" style="100"/>
  </cols>
  <sheetData>
    <row r="2" spans="1:21" ht="20.25" x14ac:dyDescent="0.3">
      <c r="A2" s="98" t="s">
        <v>506</v>
      </c>
      <c r="B2" s="99" t="s">
        <v>571</v>
      </c>
    </row>
    <row r="3" spans="1:21" ht="18.75" x14ac:dyDescent="0.3">
      <c r="B3" s="101" t="s">
        <v>560</v>
      </c>
    </row>
    <row r="4" spans="1:21" ht="19.5" thickBot="1" x14ac:dyDescent="0.35">
      <c r="B4" s="102"/>
    </row>
    <row r="5" spans="1:21" ht="18.75" x14ac:dyDescent="0.3">
      <c r="A5" s="103" t="s">
        <v>569</v>
      </c>
      <c r="B5" s="96"/>
    </row>
    <row r="6" spans="1:21" ht="19.5" thickBot="1" x14ac:dyDescent="0.35">
      <c r="A6" s="103" t="s">
        <v>570</v>
      </c>
      <c r="B6" s="97"/>
    </row>
    <row r="7" spans="1:21" ht="20.25" x14ac:dyDescent="0.3">
      <c r="B7" s="104"/>
    </row>
    <row r="8" spans="1:21" ht="51" customHeight="1" x14ac:dyDescent="0.35">
      <c r="B8" s="529" t="s">
        <v>522</v>
      </c>
      <c r="C8" s="4"/>
    </row>
    <row r="9" spans="1:21" s="105" customFormat="1" ht="20.25" x14ac:dyDescent="0.25">
      <c r="A9" s="540"/>
      <c r="B9" s="275" t="s">
        <v>573</v>
      </c>
      <c r="C9" s="528"/>
      <c r="D9" s="540"/>
      <c r="E9" s="540"/>
    </row>
    <row r="10" spans="1:21" s="105" customFormat="1" ht="20.25" x14ac:dyDescent="0.25">
      <c r="A10" s="540"/>
      <c r="B10" s="275" t="s">
        <v>572</v>
      </c>
      <c r="C10" s="528"/>
      <c r="D10" s="540"/>
      <c r="E10" s="540"/>
    </row>
    <row r="11" spans="1:21" s="105" customFormat="1" ht="20.25" x14ac:dyDescent="0.25">
      <c r="A11" s="540"/>
      <c r="B11" s="275" t="s">
        <v>576</v>
      </c>
      <c r="C11" s="528"/>
      <c r="D11" s="540"/>
      <c r="E11" s="540"/>
    </row>
    <row r="12" spans="1:21" ht="23.1" customHeight="1" x14ac:dyDescent="0.2">
      <c r="A12" s="530"/>
      <c r="B12" s="531" t="s">
        <v>574</v>
      </c>
      <c r="C12" s="532"/>
      <c r="D12" s="533"/>
      <c r="E12" s="533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1:21" ht="28.7" customHeight="1" x14ac:dyDescent="0.2">
      <c r="B13" s="276">
        <f>B5</f>
        <v>0</v>
      </c>
      <c r="C13" s="541"/>
    </row>
    <row r="14" spans="1:21" ht="20.25" x14ac:dyDescent="0.2">
      <c r="B14" s="277" t="s">
        <v>481</v>
      </c>
      <c r="C14" s="534"/>
    </row>
    <row r="15" spans="1:21" ht="18.75" x14ac:dyDescent="0.2">
      <c r="A15" s="107"/>
    </row>
    <row r="16" spans="1:21" ht="24.95" customHeight="1" x14ac:dyDescent="0.3">
      <c r="A16" s="108" t="s">
        <v>482</v>
      </c>
    </row>
    <row r="17" spans="1:3" ht="24.95" customHeight="1" x14ac:dyDescent="0.3">
      <c r="A17" s="108" t="str">
        <f>B5&amp;" Board of Education met in a business session on"</f>
        <v xml:space="preserve"> Board of Education met in a business session on</v>
      </c>
    </row>
    <row r="18" spans="1:3" ht="24.95" customHeight="1" x14ac:dyDescent="0.3">
      <c r="A18" s="108" t="str">
        <f>"December "&amp;B6&amp;", 2025, and took action, recorded on the official minutes thereof,"</f>
        <v>December , 2025, and took action, recorded on the official minutes thereof,</v>
      </c>
    </row>
    <row r="19" spans="1:3" ht="24.95" customHeight="1" x14ac:dyDescent="0.3">
      <c r="A19" s="108" t="str">
        <f>"to establish the total "&amp;B5&amp;" mill levy for property"</f>
        <v>to establish the total  mill levy for property</v>
      </c>
    </row>
    <row r="20" spans="1:3" ht="24.95" customHeight="1" x14ac:dyDescent="0.3">
      <c r="A20" s="108" t="s">
        <v>877</v>
      </c>
      <c r="C20" s="109" t="e">
        <f>+C39</f>
        <v>#N/A</v>
      </c>
    </row>
    <row r="21" spans="1:3" ht="24.95" customHeight="1" x14ac:dyDescent="0.3">
      <c r="A21" s="108" t="s">
        <v>518</v>
      </c>
      <c r="C21" s="110">
        <f>+'Calculation Worksheet'!D31</f>
        <v>0</v>
      </c>
    </row>
    <row r="22" spans="1:3" ht="24.95" customHeight="1" x14ac:dyDescent="0.3">
      <c r="A22" s="108" t="s">
        <v>483</v>
      </c>
    </row>
    <row r="23" spans="1:3" ht="18.75" x14ac:dyDescent="0.2">
      <c r="A23" s="111"/>
    </row>
    <row r="24" spans="1:3" ht="18.75" x14ac:dyDescent="0.2">
      <c r="A24" s="112" t="s">
        <v>484</v>
      </c>
      <c r="B24" s="113" t="s">
        <v>18</v>
      </c>
      <c r="C24" s="113" t="s">
        <v>485</v>
      </c>
    </row>
    <row r="25" spans="1:3" ht="18.75" x14ac:dyDescent="0.2">
      <c r="A25" s="114" t="s">
        <v>3</v>
      </c>
    </row>
    <row r="26" spans="1:3" ht="18.75" x14ac:dyDescent="0.2">
      <c r="A26" s="115" t="s">
        <v>486</v>
      </c>
      <c r="B26" s="116" t="e">
        <f>+'Calculation Worksheet'!E45</f>
        <v>#N/A</v>
      </c>
      <c r="C26" s="117" t="e">
        <f>+'Calculation Worksheet'!F45</f>
        <v>#N/A</v>
      </c>
    </row>
    <row r="27" spans="1:3" ht="18.75" x14ac:dyDescent="0.2">
      <c r="A27" s="115" t="s">
        <v>487</v>
      </c>
      <c r="B27" s="116" t="e">
        <f>+'Calculation Worksheet'!D77+'Calculation Worksheet'!D78</f>
        <v>#N/A</v>
      </c>
      <c r="C27" s="117" t="e">
        <f>+'Calculation Worksheet'!E77+'Calculation Worksheet'!E78</f>
        <v>#N/A</v>
      </c>
    </row>
    <row r="28" spans="1:3" ht="18.75" x14ac:dyDescent="0.2">
      <c r="A28" s="118" t="s">
        <v>491</v>
      </c>
      <c r="B28" s="116">
        <f>+'Calculation Worksheet'!D80+'Calculation Worksheet'!D81+'Calculation Worksheet'!D82+'Calculation Worksheet'!D83+'Calculation Worksheet'!D84</f>
        <v>0</v>
      </c>
      <c r="C28" s="117">
        <f>+'Calculation Worksheet'!E80+'Calculation Worksheet'!E81+'Calculation Worksheet'!E82+'Calculation Worksheet'!E83+'Calculation Worksheet'!E84</f>
        <v>0</v>
      </c>
    </row>
    <row r="29" spans="1:3" ht="18.75" x14ac:dyDescent="0.2">
      <c r="A29" s="115" t="s">
        <v>488</v>
      </c>
      <c r="B29" s="116" t="e">
        <f>+'Calculation Worksheet'!D88</f>
        <v>#DIV/0!</v>
      </c>
      <c r="C29" s="117" t="e">
        <f>+'Calculation Worksheet'!E88</f>
        <v>#DIV/0!</v>
      </c>
    </row>
    <row r="30" spans="1:3" ht="18.75" x14ac:dyDescent="0.2">
      <c r="A30" s="119" t="s">
        <v>19</v>
      </c>
      <c r="B30" s="120" t="e">
        <f>SUM(B26:B29)</f>
        <v>#N/A</v>
      </c>
      <c r="C30" s="121" t="e">
        <f>SUM(C26:C29)</f>
        <v>#N/A</v>
      </c>
    </row>
    <row r="31" spans="1:3" ht="18.75" x14ac:dyDescent="0.2">
      <c r="A31" s="122"/>
      <c r="B31" s="123"/>
      <c r="C31" s="124"/>
    </row>
    <row r="32" spans="1:3" ht="18.75" x14ac:dyDescent="0.2">
      <c r="A32" s="112" t="s">
        <v>20</v>
      </c>
      <c r="B32" s="116">
        <f>+'Calculation Worksheet'!D105</f>
        <v>0</v>
      </c>
      <c r="C32" s="117">
        <f>+'Calculation Worksheet'!E105</f>
        <v>0</v>
      </c>
    </row>
    <row r="33" spans="1:3" ht="18.75" x14ac:dyDescent="0.2">
      <c r="A33" s="112" t="s">
        <v>471</v>
      </c>
      <c r="B33" s="116">
        <f>+'Calculation Worksheet'!D119</f>
        <v>0</v>
      </c>
      <c r="C33" s="117">
        <f>+'Calculation Worksheet'!E119</f>
        <v>0</v>
      </c>
    </row>
    <row r="34" spans="1:3" ht="18.75" x14ac:dyDescent="0.2">
      <c r="A34" s="112" t="s">
        <v>489</v>
      </c>
      <c r="B34" s="116">
        <f>+'Calculation Worksheet'!D133</f>
        <v>0</v>
      </c>
      <c r="C34" s="117">
        <f>+'Calculation Worksheet'!E133</f>
        <v>0</v>
      </c>
    </row>
    <row r="35" spans="1:3" ht="37.5" x14ac:dyDescent="0.2">
      <c r="A35" s="553" t="s">
        <v>945</v>
      </c>
      <c r="B35" s="116">
        <f>+'Calculation Worksheet'!D147</f>
        <v>0</v>
      </c>
      <c r="C35" s="117">
        <f>+'Calculation Worksheet'!E146</f>
        <v>0</v>
      </c>
    </row>
    <row r="36" spans="1:3" ht="18.75" x14ac:dyDescent="0.2">
      <c r="A36" s="112" t="s">
        <v>77</v>
      </c>
      <c r="B36" s="116">
        <f>+'Calculation Worksheet'!D161</f>
        <v>0</v>
      </c>
      <c r="C36" s="117">
        <f>+'Calculation Worksheet'!E161</f>
        <v>0</v>
      </c>
    </row>
    <row r="37" spans="1:3" ht="18.75" x14ac:dyDescent="0.2">
      <c r="A37" s="119" t="s">
        <v>490</v>
      </c>
      <c r="B37" s="120">
        <f>SUM(B32:B35)</f>
        <v>0</v>
      </c>
      <c r="C37" s="121">
        <f>SUM(C32:C35)</f>
        <v>0</v>
      </c>
    </row>
    <row r="38" spans="1:3" ht="18.75" x14ac:dyDescent="0.2">
      <c r="A38" s="122"/>
      <c r="B38" s="125"/>
      <c r="C38" s="125"/>
    </row>
    <row r="39" spans="1:3" ht="18.75" x14ac:dyDescent="0.2">
      <c r="A39" s="119" t="str">
        <f>B5&amp;" TOTAL"</f>
        <v xml:space="preserve"> TOTAL</v>
      </c>
      <c r="B39" s="120" t="e">
        <f>+B37+B30</f>
        <v>#N/A</v>
      </c>
      <c r="C39" s="121" t="e">
        <f>+C37+C30</f>
        <v>#N/A</v>
      </c>
    </row>
    <row r="40" spans="1:3" ht="18.75" x14ac:dyDescent="0.2">
      <c r="A40" s="119" t="s">
        <v>503</v>
      </c>
      <c r="B40" s="116" t="e">
        <f>+B26-'Calculation Worksheet'!E45</f>
        <v>#N/A</v>
      </c>
      <c r="C40" s="116" t="e">
        <f>+C39-'Calculation Worksheet'!E172</f>
        <v>#N/A</v>
      </c>
    </row>
    <row r="41" spans="1:3" ht="31.35" customHeight="1" x14ac:dyDescent="0.2">
      <c r="A41" s="119"/>
      <c r="B41" s="113"/>
      <c r="C41" s="126"/>
    </row>
    <row r="42" spans="1:3" ht="33.6" customHeight="1" x14ac:dyDescent="0.3">
      <c r="A42" s="127" t="s">
        <v>575</v>
      </c>
      <c r="B42" s="128"/>
      <c r="C42" s="128"/>
    </row>
    <row r="43" spans="1:3" ht="21" customHeight="1" thickBot="1" x14ac:dyDescent="0.25"/>
    <row r="44" spans="1:3" ht="18.75" x14ac:dyDescent="0.2">
      <c r="B44" s="129" t="s">
        <v>577</v>
      </c>
      <c r="C44" s="130" t="e">
        <f>+'CDE Mill Levy Certify Form'!E71</f>
        <v>#N/A</v>
      </c>
    </row>
    <row r="45" spans="1:3" ht="19.5" thickBot="1" x14ac:dyDescent="0.25">
      <c r="A45" s="122"/>
      <c r="B45" s="129" t="s">
        <v>578</v>
      </c>
      <c r="C45" s="131" t="e">
        <f>+'CDE Mill Levy Certify Form'!E73</f>
        <v>#N/A</v>
      </c>
    </row>
    <row r="46" spans="1:3" ht="18.75" x14ac:dyDescent="0.2">
      <c r="A46" s="122"/>
    </row>
    <row r="47" spans="1:3" ht="18.75" x14ac:dyDescent="0.2">
      <c r="A47" s="122"/>
    </row>
    <row r="48" spans="1:3" ht="18.75" x14ac:dyDescent="0.2">
      <c r="A48" s="122"/>
    </row>
    <row r="49" spans="1:1" ht="18.75" x14ac:dyDescent="0.2">
      <c r="A49" s="122"/>
    </row>
    <row r="50" spans="1:1" ht="18.75" x14ac:dyDescent="0.2">
      <c r="A50" s="122"/>
    </row>
    <row r="51" spans="1:1" ht="18.75" x14ac:dyDescent="0.2">
      <c r="A51" s="122"/>
    </row>
    <row r="52" spans="1:1" ht="18.75" x14ac:dyDescent="0.2">
      <c r="A52" s="122"/>
    </row>
  </sheetData>
  <sheetProtection algorithmName="SHA-512" hashValue="eGpwWW7hcTR2Rlm+fzQZXd6gtfyj98xZeLftaXAmUxHZgzy9+Og9d3SdyGY3KGoVZ01TbZybbQn3cpRgHBZSIw==" saltValue="hCsvzlKy1hZrZMfAIhIIUQ==" spinCount="100000" sheet="1" objects="1" scenarios="1"/>
  <protectedRanges>
    <protectedRange sqref="B5:B6" name="Range1"/>
  </protectedRanges>
  <pageMargins left="0.5" right="0.3" top="0.75" bottom="0.75" header="0.3" footer="0.3"/>
  <pageSetup orientation="portrait" horizontalDpi="1200" verticalDpi="1200" r:id="rId1"/>
  <headerFooter>
    <oddFooter xml:space="preserve">&amp;R
</oddFooter>
  </headerFooter>
  <ignoredErrors>
    <ignoredError sqref="C4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BA29-BCAB-4247-B0CC-A15CD414D064}">
  <sheetPr>
    <tabColor rgb="FFFFFF00"/>
    <pageSetUpPr fitToPage="1"/>
  </sheetPr>
  <dimension ref="A1:U212"/>
  <sheetViews>
    <sheetView topLeftCell="A158" zoomScale="80" zoomScaleNormal="80" workbookViewId="0">
      <selection activeCell="G184" sqref="G184"/>
    </sheetView>
  </sheetViews>
  <sheetFormatPr defaultColWidth="12.625" defaultRowHeight="18" customHeight="1" x14ac:dyDescent="0.2"/>
  <cols>
    <col min="1" max="1" width="38.625" style="246" bestFit="1" customWidth="1"/>
    <col min="2" max="2" width="37.375" style="146" customWidth="1"/>
    <col min="3" max="3" width="24.375" style="146" customWidth="1"/>
    <col min="4" max="4" width="28" style="146" customWidth="1"/>
    <col min="5" max="5" width="42.75" style="146" customWidth="1"/>
    <col min="6" max="6" width="20.25" style="146" customWidth="1"/>
    <col min="7" max="7" width="37.5" style="146" customWidth="1"/>
    <col min="8" max="8" width="28.25" style="146" customWidth="1"/>
    <col min="9" max="9" width="16.625" style="146" customWidth="1"/>
    <col min="10" max="10" width="16.125" style="146" customWidth="1"/>
    <col min="11" max="11" width="18.75" style="146" customWidth="1"/>
    <col min="12" max="12" width="13.625" style="146" customWidth="1"/>
    <col min="13" max="13" width="31.375" style="146" customWidth="1"/>
    <col min="14" max="14" width="17.75" style="146" customWidth="1"/>
    <col min="15" max="15" width="19.75" style="146" customWidth="1"/>
    <col min="16" max="17" width="13.625" style="146" customWidth="1"/>
    <col min="18" max="18" width="19.75" style="146" customWidth="1"/>
    <col min="19" max="22" width="13.625" style="146" customWidth="1"/>
    <col min="23" max="16384" width="12.625" style="146"/>
  </cols>
  <sheetData>
    <row r="1" spans="1:6" ht="18" customHeight="1" thickBot="1" x14ac:dyDescent="0.4">
      <c r="A1" s="143" t="s">
        <v>649</v>
      </c>
      <c r="B1" s="284" t="s">
        <v>636</v>
      </c>
      <c r="C1" s="288"/>
      <c r="D1" s="144" t="s">
        <v>662</v>
      </c>
      <c r="E1" s="144"/>
      <c r="F1" s="145"/>
    </row>
    <row r="2" spans="1:6" ht="18" customHeight="1" thickBot="1" x14ac:dyDescent="0.35">
      <c r="A2" s="285"/>
      <c r="B2" s="286" t="s">
        <v>637</v>
      </c>
    </row>
    <row r="3" spans="1:6" ht="26.25" x14ac:dyDescent="0.4">
      <c r="A3" s="147"/>
      <c r="B3" s="148"/>
      <c r="C3" s="149"/>
      <c r="D3" s="150" t="e">
        <f>+'CDE Mill Levy Certify Form'!A17</f>
        <v>#N/A</v>
      </c>
      <c r="E3" s="149"/>
      <c r="F3" s="149"/>
    </row>
    <row r="4" spans="1:6" ht="18" customHeight="1" x14ac:dyDescent="0.4">
      <c r="A4" s="147"/>
      <c r="B4" s="254"/>
      <c r="D4" s="255"/>
    </row>
    <row r="5" spans="1:6" ht="18" customHeight="1" x14ac:dyDescent="0.35">
      <c r="A5" s="291" t="s">
        <v>628</v>
      </c>
      <c r="B5" s="292" t="s">
        <v>634</v>
      </c>
      <c r="C5" s="292"/>
      <c r="D5" s="292"/>
      <c r="E5" s="292"/>
      <c r="F5" s="292"/>
    </row>
    <row r="6" spans="1:6" ht="18" customHeight="1" x14ac:dyDescent="0.3">
      <c r="A6" s="265"/>
      <c r="C6" s="419"/>
      <c r="D6" s="278" t="s">
        <v>635</v>
      </c>
      <c r="E6" s="419"/>
      <c r="F6" s="419"/>
    </row>
    <row r="7" spans="1:6" ht="18" customHeight="1" x14ac:dyDescent="0.3">
      <c r="A7" s="147"/>
      <c r="D7" s="154"/>
    </row>
    <row r="8" spans="1:6" ht="18" customHeight="1" x14ac:dyDescent="0.3">
      <c r="A8" s="147"/>
      <c r="B8" s="144" t="s">
        <v>622</v>
      </c>
      <c r="C8" s="527" t="s">
        <v>648</v>
      </c>
      <c r="D8" s="154"/>
    </row>
    <row r="9" spans="1:6" ht="15.75" x14ac:dyDescent="0.25">
      <c r="A9" s="151" t="s">
        <v>639</v>
      </c>
      <c r="B9" s="156" t="s">
        <v>633</v>
      </c>
      <c r="C9" s="287" t="s">
        <v>538</v>
      </c>
      <c r="D9" s="287" t="s">
        <v>539</v>
      </c>
      <c r="E9" s="287" t="s">
        <v>540</v>
      </c>
      <c r="F9" s="287" t="s">
        <v>541</v>
      </c>
    </row>
    <row r="10" spans="1:6" ht="18" customHeight="1" x14ac:dyDescent="0.25">
      <c r="A10" s="177" t="s">
        <v>623</v>
      </c>
      <c r="B10" s="158">
        <f>SUM(C10:F10)</f>
        <v>0</v>
      </c>
      <c r="C10" s="159"/>
      <c r="D10" s="159"/>
      <c r="E10" s="159"/>
      <c r="F10" s="159"/>
    </row>
    <row r="11" spans="1:6" ht="18" customHeight="1" x14ac:dyDescent="0.25">
      <c r="A11" s="177" t="s">
        <v>624</v>
      </c>
      <c r="B11" s="158">
        <f>SUM(C11:F11)</f>
        <v>0</v>
      </c>
      <c r="C11" s="159"/>
      <c r="D11" s="159"/>
      <c r="E11" s="159"/>
      <c r="F11" s="159"/>
    </row>
    <row r="12" spans="1:6" ht="18" customHeight="1" x14ac:dyDescent="0.25">
      <c r="A12" s="177" t="s">
        <v>625</v>
      </c>
      <c r="B12" s="160">
        <f>+B10-B11</f>
        <v>0</v>
      </c>
      <c r="C12" s="160">
        <f>+C10-C11</f>
        <v>0</v>
      </c>
      <c r="D12" s="160">
        <f t="shared" ref="D12:F12" si="0">+D10-D11</f>
        <v>0</v>
      </c>
      <c r="E12" s="160">
        <f t="shared" si="0"/>
        <v>0</v>
      </c>
      <c r="F12" s="160">
        <f t="shared" si="0"/>
        <v>0</v>
      </c>
    </row>
    <row r="13" spans="1:6" ht="18" customHeight="1" x14ac:dyDescent="0.25">
      <c r="A13" s="157"/>
      <c r="B13" s="161"/>
      <c r="C13" s="161"/>
      <c r="D13" s="161"/>
      <c r="E13" s="161"/>
      <c r="F13" s="161"/>
    </row>
    <row r="14" spans="1:6" ht="18" customHeight="1" x14ac:dyDescent="0.25">
      <c r="A14" s="151" t="s">
        <v>638</v>
      </c>
      <c r="C14" s="256" t="s">
        <v>616</v>
      </c>
      <c r="D14" s="161"/>
      <c r="E14" s="161"/>
      <c r="F14" s="161"/>
    </row>
    <row r="15" spans="1:6" ht="31.5" x14ac:dyDescent="0.25">
      <c r="A15" s="259" t="s">
        <v>626</v>
      </c>
      <c r="B15" s="156" t="s">
        <v>632</v>
      </c>
      <c r="C15" s="162" t="str">
        <f>"Abatements"&amp;CHAR(10)&amp;C9</f>
        <v>Abatements
County #1</v>
      </c>
      <c r="D15" s="162" t="str">
        <f t="shared" ref="D15:F15" si="1">"Abatements"&amp;CHAR(10)&amp;D9</f>
        <v>Abatements
County #2</v>
      </c>
      <c r="E15" s="162" t="str">
        <f t="shared" si="1"/>
        <v>Abatements
County #3</v>
      </c>
      <c r="F15" s="162" t="str">
        <f t="shared" si="1"/>
        <v>Abatements
County #4</v>
      </c>
    </row>
    <row r="16" spans="1:6" ht="18" customHeight="1" x14ac:dyDescent="0.25">
      <c r="A16" s="163" t="s">
        <v>3</v>
      </c>
      <c r="B16" s="164">
        <f>SUM(C16:F16)</f>
        <v>0</v>
      </c>
      <c r="C16" s="165"/>
      <c r="D16" s="165"/>
      <c r="E16" s="165"/>
      <c r="F16" s="165"/>
    </row>
    <row r="17" spans="1:10" ht="18" customHeight="1" x14ac:dyDescent="0.25">
      <c r="A17" s="163" t="s">
        <v>631</v>
      </c>
      <c r="B17" s="164">
        <f t="shared" ref="B17:B21" si="2">SUM(C17:F17)</f>
        <v>0</v>
      </c>
      <c r="C17" s="165"/>
      <c r="D17" s="165"/>
      <c r="E17" s="165"/>
      <c r="F17" s="165"/>
    </row>
    <row r="18" spans="1:10" ht="18" customHeight="1" x14ac:dyDescent="0.25">
      <c r="A18" s="163" t="s">
        <v>566</v>
      </c>
      <c r="B18" s="164">
        <f t="shared" si="2"/>
        <v>0</v>
      </c>
      <c r="C18" s="165"/>
      <c r="D18" s="165"/>
      <c r="E18" s="165"/>
      <c r="F18" s="165"/>
      <c r="G18" s="153"/>
      <c r="H18" s="153"/>
      <c r="I18" s="153"/>
    </row>
    <row r="19" spans="1:10" ht="18" customHeight="1" x14ac:dyDescent="0.25">
      <c r="A19" s="163" t="s">
        <v>567</v>
      </c>
      <c r="B19" s="164">
        <f t="shared" si="2"/>
        <v>0</v>
      </c>
      <c r="C19" s="165"/>
      <c r="D19" s="165"/>
      <c r="E19" s="165"/>
      <c r="F19" s="165"/>
      <c r="G19" s="153"/>
      <c r="H19" s="153"/>
      <c r="I19" s="153"/>
    </row>
    <row r="20" spans="1:10" ht="18" customHeight="1" x14ac:dyDescent="0.25">
      <c r="A20" s="163" t="s">
        <v>472</v>
      </c>
      <c r="B20" s="164">
        <f t="shared" si="2"/>
        <v>0</v>
      </c>
      <c r="C20" s="165"/>
      <c r="D20" s="165"/>
      <c r="E20" s="165"/>
      <c r="F20" s="165"/>
      <c r="G20" s="153"/>
      <c r="H20" s="153"/>
      <c r="I20" s="166"/>
    </row>
    <row r="21" spans="1:10" ht="18" customHeight="1" x14ac:dyDescent="0.25">
      <c r="A21" s="163" t="s">
        <v>568</v>
      </c>
      <c r="B21" s="164">
        <f t="shared" si="2"/>
        <v>0</v>
      </c>
      <c r="C21" s="165"/>
      <c r="D21" s="165"/>
      <c r="E21" s="165"/>
      <c r="F21" s="165"/>
      <c r="G21" s="153"/>
      <c r="H21" s="153"/>
      <c r="I21" s="166"/>
    </row>
    <row r="22" spans="1:10" ht="18" customHeight="1" x14ac:dyDescent="0.25">
      <c r="A22" s="163" t="s">
        <v>77</v>
      </c>
      <c r="B22" s="164">
        <f t="shared" ref="B22" si="3">SUM(C22:F22)</f>
        <v>0</v>
      </c>
      <c r="C22" s="165"/>
      <c r="D22" s="165"/>
      <c r="E22" s="165"/>
      <c r="F22" s="165"/>
      <c r="G22" s="153"/>
      <c r="H22" s="153"/>
      <c r="I22" s="153"/>
    </row>
    <row r="23" spans="1:10" ht="18" customHeight="1" x14ac:dyDescent="0.25">
      <c r="A23" s="167" t="s">
        <v>480</v>
      </c>
      <c r="B23" s="168">
        <f>SUM(C23:F23)</f>
        <v>0</v>
      </c>
      <c r="C23" s="169">
        <f>SUM(C16:C22)</f>
        <v>0</v>
      </c>
      <c r="D23" s="169">
        <f>SUM(D16:D22)</f>
        <v>0</v>
      </c>
      <c r="E23" s="169">
        <f t="shared" ref="E23:F23" si="4">SUM(E16:E22)</f>
        <v>0</v>
      </c>
      <c r="F23" s="169">
        <f t="shared" si="4"/>
        <v>0</v>
      </c>
      <c r="G23" s="153"/>
      <c r="H23" s="153"/>
      <c r="I23" s="153"/>
    </row>
    <row r="24" spans="1:10" ht="18" customHeight="1" x14ac:dyDescent="0.25">
      <c r="A24" s="157"/>
      <c r="B24" s="161"/>
      <c r="C24" s="161"/>
      <c r="D24" s="161"/>
      <c r="E24" s="161"/>
      <c r="F24" s="161"/>
      <c r="G24" s="153"/>
      <c r="H24" s="153"/>
      <c r="I24" s="153"/>
      <c r="J24" s="153"/>
    </row>
    <row r="25" spans="1:10" ht="18" customHeight="1" thickBot="1" x14ac:dyDescent="0.35">
      <c r="A25" s="147"/>
      <c r="B25" s="144" t="s">
        <v>617</v>
      </c>
      <c r="D25" s="154"/>
      <c r="G25" s="153"/>
      <c r="H25" s="153"/>
      <c r="I25" s="153"/>
      <c r="J25" s="153"/>
    </row>
    <row r="26" spans="1:10" ht="18" customHeight="1" x14ac:dyDescent="0.25">
      <c r="A26" s="170"/>
      <c r="B26" s="422"/>
      <c r="C26" s="420"/>
      <c r="D26" s="279" t="s">
        <v>21</v>
      </c>
      <c r="E26" s="420"/>
      <c r="F26" s="421"/>
      <c r="G26" s="153"/>
      <c r="H26" s="153"/>
      <c r="I26" s="153"/>
    </row>
    <row r="27" spans="1:10" ht="18" customHeight="1" x14ac:dyDescent="0.25">
      <c r="A27" s="170"/>
      <c r="B27" s="260"/>
      <c r="C27" s="269" t="s">
        <v>641</v>
      </c>
      <c r="D27" s="269" t="s">
        <v>642</v>
      </c>
      <c r="F27" s="261"/>
      <c r="G27" s="153"/>
      <c r="H27" s="153"/>
      <c r="I27" s="153"/>
    </row>
    <row r="28" spans="1:10" ht="18" customHeight="1" x14ac:dyDescent="0.25">
      <c r="A28" s="147"/>
      <c r="B28" s="257"/>
      <c r="C28" s="172" t="s">
        <v>581</v>
      </c>
      <c r="D28" s="172" t="s">
        <v>627</v>
      </c>
      <c r="E28" s="173"/>
      <c r="F28" s="174"/>
      <c r="G28" s="153"/>
      <c r="H28" s="153"/>
      <c r="I28" s="153"/>
    </row>
    <row r="29" spans="1:10" ht="18" customHeight="1" x14ac:dyDescent="0.3">
      <c r="A29" s="176"/>
      <c r="B29" s="258" t="s">
        <v>643</v>
      </c>
      <c r="C29" s="178" t="e">
        <f>+'CDE Mill Levy Certify Form'!C22</f>
        <v>#N/A</v>
      </c>
      <c r="D29" s="178">
        <f>+B10</f>
        <v>0</v>
      </c>
      <c r="E29" s="179"/>
      <c r="F29" s="174"/>
      <c r="G29" s="153"/>
      <c r="H29" s="153"/>
      <c r="I29" s="153"/>
    </row>
    <row r="30" spans="1:10" ht="18" customHeight="1" x14ac:dyDescent="0.3">
      <c r="A30" s="176"/>
      <c r="B30" s="258" t="s">
        <v>644</v>
      </c>
      <c r="C30" s="178" t="e">
        <f>+'CDE Mill Levy Certify Form'!C24</f>
        <v>#N/A</v>
      </c>
      <c r="D30" s="178">
        <f>+B11</f>
        <v>0</v>
      </c>
      <c r="E30" s="179"/>
      <c r="F30" s="174"/>
      <c r="G30" s="153"/>
      <c r="H30" s="153"/>
      <c r="I30" s="153"/>
    </row>
    <row r="31" spans="1:10" ht="18" customHeight="1" x14ac:dyDescent="0.3">
      <c r="A31" s="176"/>
      <c r="B31" s="270" t="s">
        <v>645</v>
      </c>
      <c r="C31" s="181" t="e">
        <f>+C29-C30</f>
        <v>#N/A</v>
      </c>
      <c r="D31" s="181">
        <f>D29-D30</f>
        <v>0</v>
      </c>
      <c r="E31" s="179"/>
      <c r="F31" s="174"/>
      <c r="G31" s="153"/>
      <c r="H31" s="153"/>
      <c r="I31" s="153"/>
    </row>
    <row r="32" spans="1:10" ht="18" customHeight="1" x14ac:dyDescent="0.3">
      <c r="A32" s="176"/>
      <c r="B32" s="258"/>
      <c r="C32" s="182"/>
      <c r="D32" s="182"/>
      <c r="E32" s="183"/>
      <c r="F32" s="174"/>
      <c r="G32" s="153"/>
      <c r="H32" s="153"/>
      <c r="I32" s="153"/>
    </row>
    <row r="33" spans="1:8" ht="18" customHeight="1" x14ac:dyDescent="0.3">
      <c r="A33" s="176"/>
      <c r="B33" s="258" t="s">
        <v>646</v>
      </c>
      <c r="C33" s="178" t="e">
        <f>+D31-C31</f>
        <v>#N/A</v>
      </c>
      <c r="D33" s="405" t="e">
        <f>+D31/C31-1</f>
        <v>#N/A</v>
      </c>
      <c r="E33" s="179" t="s">
        <v>640</v>
      </c>
      <c r="F33" s="174"/>
    </row>
    <row r="34" spans="1:8" ht="18" customHeight="1" x14ac:dyDescent="0.3">
      <c r="A34" s="176"/>
      <c r="B34" s="258"/>
      <c r="C34" s="187"/>
      <c r="D34" s="187"/>
      <c r="E34" s="183"/>
      <c r="F34" s="174"/>
    </row>
    <row r="35" spans="1:8" ht="18" customHeight="1" thickBot="1" x14ac:dyDescent="0.35">
      <c r="A35" s="176"/>
      <c r="B35" s="404" t="s">
        <v>680</v>
      </c>
      <c r="C35" s="263" t="e">
        <f>+'CDE Mill Levy Certify Form'!C28</f>
        <v>#N/A</v>
      </c>
      <c r="D35" s="263">
        <f>+B23</f>
        <v>0</v>
      </c>
      <c r="E35" s="264"/>
      <c r="F35" s="193"/>
    </row>
    <row r="36" spans="1:8" ht="18" customHeight="1" x14ac:dyDescent="0.3">
      <c r="A36" s="176"/>
      <c r="B36" s="177"/>
      <c r="C36" s="266"/>
      <c r="D36" s="266"/>
      <c r="E36" s="179"/>
      <c r="F36" s="153"/>
    </row>
    <row r="37" spans="1:8" ht="18" customHeight="1" x14ac:dyDescent="0.3">
      <c r="A37" s="176"/>
      <c r="B37" s="153"/>
      <c r="C37" s="153"/>
      <c r="D37" s="153"/>
      <c r="E37" s="153"/>
      <c r="F37" s="153"/>
    </row>
    <row r="38" spans="1:8" ht="18" customHeight="1" x14ac:dyDescent="0.35">
      <c r="A38" s="291" t="s">
        <v>629</v>
      </c>
      <c r="B38" s="292" t="s">
        <v>630</v>
      </c>
      <c r="C38" s="292"/>
      <c r="D38" s="292"/>
      <c r="E38" s="292"/>
      <c r="F38" s="292"/>
    </row>
    <row r="39" spans="1:8" ht="18" customHeight="1" x14ac:dyDescent="0.3">
      <c r="A39" s="176"/>
      <c r="B39" s="154"/>
      <c r="C39" s="154"/>
      <c r="D39" s="154"/>
      <c r="E39" s="154"/>
      <c r="F39" s="154"/>
    </row>
    <row r="40" spans="1:8" ht="18" customHeight="1" x14ac:dyDescent="0.3">
      <c r="A40" s="176"/>
      <c r="B40" s="212" t="s">
        <v>647</v>
      </c>
      <c r="C40" s="171" t="str">
        <f>+C28</f>
        <v>12/15/2024 Total</v>
      </c>
      <c r="D40" s="171" t="str">
        <f>+C40</f>
        <v>12/15/2024 Total</v>
      </c>
      <c r="E40" s="171" t="str">
        <f>+D28</f>
        <v>12/15/2025 Total</v>
      </c>
      <c r="F40" s="171" t="str">
        <f>+E40</f>
        <v>12/15/2025 Total</v>
      </c>
    </row>
    <row r="41" spans="1:8" ht="18" customHeight="1" x14ac:dyDescent="0.3">
      <c r="A41" s="176"/>
      <c r="C41" s="172" t="s">
        <v>582</v>
      </c>
      <c r="D41" s="172" t="s">
        <v>583</v>
      </c>
      <c r="E41" s="172" t="s">
        <v>950</v>
      </c>
      <c r="F41" s="172" t="s">
        <v>951</v>
      </c>
    </row>
    <row r="42" spans="1:8" s="192" customFormat="1" ht="18" customHeight="1" x14ac:dyDescent="0.3">
      <c r="A42" s="176"/>
      <c r="B42" s="147"/>
      <c r="C42" s="195"/>
      <c r="D42" s="196"/>
      <c r="E42" s="197"/>
      <c r="F42" s="197"/>
    </row>
    <row r="43" spans="1:8" s="192" customFormat="1" ht="18" customHeight="1" x14ac:dyDescent="0.25">
      <c r="A43" s="147"/>
      <c r="B43" s="267" t="s">
        <v>23</v>
      </c>
      <c r="C43" s="198" t="e">
        <f>$C$31*D43/1000</f>
        <v>#N/A</v>
      </c>
      <c r="D43" s="199" t="e">
        <f>+'CDE Mill Levy Certify Form'!C31</f>
        <v>#N/A</v>
      </c>
      <c r="E43" s="198" t="e">
        <f>ROUND($D$31*F43/1000,2)</f>
        <v>#N/A</v>
      </c>
      <c r="F43" s="189" t="e">
        <f>+'CDE Mill Levy Certify Form'!E31</f>
        <v>#N/A</v>
      </c>
      <c r="H43" s="554"/>
    </row>
    <row r="44" spans="1:8" s="192" customFormat="1" ht="18" customHeight="1" x14ac:dyDescent="0.25">
      <c r="A44" s="147"/>
      <c r="B44" s="267" t="s">
        <v>24</v>
      </c>
      <c r="C44" s="200" t="e">
        <f>$C$31*D44/1000</f>
        <v>#N/A</v>
      </c>
      <c r="D44" s="199" t="e">
        <f>'CDE Mill Levy Certify Form'!C33</f>
        <v>#N/A</v>
      </c>
      <c r="E44" s="200" t="e">
        <f>ROUND($D$31*F44/1000,2)</f>
        <v>#N/A</v>
      </c>
      <c r="F44" s="189" t="e">
        <f>'CDE Mill Levy Certify Form'!E33</f>
        <v>#N/A</v>
      </c>
    </row>
    <row r="45" spans="1:8" s="192" customFormat="1" ht="18" customHeight="1" x14ac:dyDescent="0.25">
      <c r="A45" s="147"/>
      <c r="B45" s="268" t="s">
        <v>509</v>
      </c>
      <c r="C45" s="201" t="e">
        <f>$C$31*D45/1000</f>
        <v>#N/A</v>
      </c>
      <c r="D45" s="202" t="e">
        <f>+'CDE Mill Levy Certify Form'!C35</f>
        <v>#N/A</v>
      </c>
      <c r="E45" s="201" t="e">
        <f>ROUND($D$31*F45/1000,2)</f>
        <v>#N/A</v>
      </c>
      <c r="F45" s="184" t="e">
        <f>F43-F44</f>
        <v>#N/A</v>
      </c>
    </row>
    <row r="46" spans="1:8" s="192" customFormat="1" ht="18" customHeight="1" x14ac:dyDescent="0.25">
      <c r="A46" s="147"/>
      <c r="B46" s="267" t="s">
        <v>534</v>
      </c>
      <c r="C46" s="198" t="e">
        <f>$C$31*D46/1000</f>
        <v>#N/A</v>
      </c>
      <c r="D46" s="199" t="e">
        <f>+'CDE Mill Levy Certify Form'!C38</f>
        <v>#N/A</v>
      </c>
      <c r="E46" s="198">
        <f>ROUND($D$31*F46/1000,2)</f>
        <v>0</v>
      </c>
      <c r="F46" s="584"/>
    </row>
    <row r="47" spans="1:8" s="192" customFormat="1" ht="18" customHeight="1" x14ac:dyDescent="0.25">
      <c r="A47" s="170"/>
      <c r="B47" s="267" t="s">
        <v>681</v>
      </c>
      <c r="C47" s="198" t="e">
        <f>$C$31*D47/1000</f>
        <v>#N/A</v>
      </c>
      <c r="D47" s="199" t="e">
        <f>+'CDE Mill Levy Certify Form'!C40</f>
        <v>#N/A</v>
      </c>
      <c r="E47" s="198">
        <f>ROUND($D$31*F47/1000,2)</f>
        <v>0</v>
      </c>
      <c r="F47" s="584"/>
    </row>
    <row r="48" spans="1:8" s="192" customFormat="1" ht="18" customHeight="1" x14ac:dyDescent="0.15">
      <c r="B48" s="268" t="s">
        <v>510</v>
      </c>
      <c r="C48" s="198" t="e">
        <f>C45-(C46+C47)</f>
        <v>#N/A</v>
      </c>
      <c r="D48" s="184" t="e">
        <f t="shared" ref="D48:F48" si="5">D45-(D46+D47)</f>
        <v>#N/A</v>
      </c>
      <c r="E48" s="198" t="e">
        <f>ROUND(E45-(E46+E47),2)</f>
        <v>#N/A</v>
      </c>
      <c r="F48" s="184" t="e">
        <f t="shared" si="5"/>
        <v>#N/A</v>
      </c>
    </row>
    <row r="49" spans="1:8" s="192" customFormat="1" ht="15.75" x14ac:dyDescent="0.25">
      <c r="A49" s="147"/>
      <c r="B49" s="146"/>
      <c r="C49" s="146"/>
      <c r="D49" s="146"/>
      <c r="E49" s="146"/>
      <c r="F49" s="146"/>
    </row>
    <row r="50" spans="1:8" s="192" customFormat="1" ht="21" x14ac:dyDescent="0.3">
      <c r="A50" s="176"/>
      <c r="B50" s="423"/>
      <c r="C50" s="423"/>
      <c r="D50" s="424" t="s">
        <v>689</v>
      </c>
      <c r="E50" s="423"/>
      <c r="F50" s="423"/>
    </row>
    <row r="51" spans="1:8" s="192" customFormat="1" ht="21" x14ac:dyDescent="0.25">
      <c r="A51" s="147"/>
      <c r="B51" s="425"/>
      <c r="C51" s="425"/>
      <c r="D51" s="424" t="s">
        <v>690</v>
      </c>
      <c r="E51" s="425"/>
      <c r="F51" s="425"/>
    </row>
    <row r="52" spans="1:8" s="192" customFormat="1" ht="15.75" x14ac:dyDescent="0.25">
      <c r="A52" s="147"/>
      <c r="B52" s="146"/>
      <c r="C52" s="146"/>
      <c r="D52" s="146"/>
      <c r="E52" s="146"/>
      <c r="F52" s="146"/>
    </row>
    <row r="53" spans="1:8" s="192" customFormat="1" ht="21" x14ac:dyDescent="0.35">
      <c r="A53" s="291" t="s">
        <v>652</v>
      </c>
      <c r="B53" s="292" t="s">
        <v>663</v>
      </c>
      <c r="C53" s="293"/>
      <c r="D53" s="293"/>
      <c r="E53" s="293"/>
      <c r="F53" s="293"/>
    </row>
    <row r="54" spans="1:8" s="192" customFormat="1" ht="21" x14ac:dyDescent="0.35">
      <c r="A54" s="294"/>
      <c r="B54" s="295"/>
      <c r="C54" s="146"/>
      <c r="D54" s="146"/>
      <c r="E54" s="146"/>
      <c r="F54" s="146"/>
    </row>
    <row r="55" spans="1:8" s="192" customFormat="1" ht="23.25" x14ac:dyDescent="0.35">
      <c r="A55" s="294"/>
      <c r="B55" s="144" t="s">
        <v>622</v>
      </c>
      <c r="C55" s="313" t="s">
        <v>664</v>
      </c>
      <c r="D55" s="313" t="s">
        <v>665</v>
      </c>
      <c r="E55"/>
      <c r="F55"/>
    </row>
    <row r="56" spans="1:8" s="192" customFormat="1" ht="47.25" x14ac:dyDescent="0.25">
      <c r="A56" s="283" t="s">
        <v>675</v>
      </c>
      <c r="B56" s="314" t="s">
        <v>666</v>
      </c>
      <c r="C56" s="320" t="s">
        <v>667</v>
      </c>
      <c r="D56" s="348" t="s">
        <v>906</v>
      </c>
      <c r="E56" s="317" t="s">
        <v>666</v>
      </c>
      <c r="F56"/>
    </row>
    <row r="57" spans="1:8" s="192" customFormat="1" ht="33" x14ac:dyDescent="0.35">
      <c r="A57" s="294"/>
      <c r="B57" s="318" t="s">
        <v>668</v>
      </c>
      <c r="C57" s="319" t="s">
        <v>669</v>
      </c>
      <c r="D57" s="319" t="s">
        <v>670</v>
      </c>
      <c r="E57" s="318" t="s">
        <v>687</v>
      </c>
      <c r="F57"/>
    </row>
    <row r="58" spans="1:8" s="192" customFormat="1" ht="47.25" x14ac:dyDescent="0.15">
      <c r="A58" s="209" t="s">
        <v>958</v>
      </c>
      <c r="B58" s="322" t="e">
        <f>+C58/$D$31*1000</f>
        <v>#N/A</v>
      </c>
      <c r="C58" s="346" t="e">
        <f>VLOOKUP(C1,'Hold Harmless'!A6:F183,5,FALSE)</f>
        <v>#N/A</v>
      </c>
      <c r="D58" s="347" t="e">
        <f>ROUND(B58,3)</f>
        <v>#N/A</v>
      </c>
      <c r="E58" s="329" t="e">
        <f>ROUND(+D58*$B$12/1000,2)</f>
        <v>#N/A</v>
      </c>
      <c r="F58" s="310" t="s">
        <v>682</v>
      </c>
      <c r="H58" s="598"/>
    </row>
    <row r="59" spans="1:8" s="192" customFormat="1" ht="47.25" x14ac:dyDescent="0.15">
      <c r="A59" s="209" t="s">
        <v>959</v>
      </c>
      <c r="B59" s="322" t="e">
        <f>+C59/$D$31*1000</f>
        <v>#N/A</v>
      </c>
      <c r="C59" s="346" t="e">
        <f>VLOOKUP(C1,'Hold Harmless'!A6:F183,6,FALSE)</f>
        <v>#N/A</v>
      </c>
      <c r="D59" s="347" t="e">
        <f>ROUND(B59,3)</f>
        <v>#N/A</v>
      </c>
      <c r="E59" s="329" t="e">
        <f>ROUND(+D59*$B$12/1000,2)</f>
        <v>#N/A</v>
      </c>
      <c r="F59" s="310" t="s">
        <v>682</v>
      </c>
    </row>
    <row r="60" spans="1:8" s="192" customFormat="1" ht="21" x14ac:dyDescent="0.35">
      <c r="A60" s="294"/>
      <c r="B60" s="334"/>
      <c r="C60" s="336"/>
      <c r="D60" s="337"/>
      <c r="E60" s="335"/>
      <c r="F60" s="312"/>
    </row>
    <row r="61" spans="1:8" s="192" customFormat="1" ht="31.5" x14ac:dyDescent="0.15">
      <c r="A61" s="213" t="s">
        <v>618</v>
      </c>
      <c r="B61" s="322" t="e">
        <f>+C61/$D$31*1000</f>
        <v>#DIV/0!</v>
      </c>
      <c r="C61" s="333"/>
      <c r="D61" s="409"/>
      <c r="E61" s="329">
        <f>ROUND(+D61*$D$31/1000,2)</f>
        <v>0</v>
      </c>
      <c r="F61" s="312"/>
    </row>
    <row r="62" spans="1:8" s="192" customFormat="1" ht="31.5" x14ac:dyDescent="0.15">
      <c r="A62" s="213" t="s">
        <v>619</v>
      </c>
      <c r="B62" s="322" t="e">
        <f>+C62/$D$31*1000</f>
        <v>#DIV/0!</v>
      </c>
      <c r="C62" s="333"/>
      <c r="D62" s="409"/>
      <c r="E62" s="329">
        <f>ROUND(+D62*$D$31/1000,2)</f>
        <v>0</v>
      </c>
      <c r="F62" s="312"/>
    </row>
    <row r="63" spans="1:8" s="192" customFormat="1" ht="31.5" x14ac:dyDescent="0.15">
      <c r="A63" s="213" t="s">
        <v>618</v>
      </c>
      <c r="B63" s="322" t="e">
        <f>+C63/$D$31*1000</f>
        <v>#DIV/0!</v>
      </c>
      <c r="C63" s="333"/>
      <c r="D63" s="409"/>
      <c r="E63" s="329">
        <f>ROUND(+D63*$D$31/1000,2)</f>
        <v>0</v>
      </c>
      <c r="F63" s="312"/>
    </row>
    <row r="64" spans="1:8" s="192" customFormat="1" ht="31.5" x14ac:dyDescent="0.15">
      <c r="A64" s="213" t="s">
        <v>620</v>
      </c>
      <c r="B64" s="322" t="e">
        <f>+C64/$D$31*1000</f>
        <v>#DIV/0!</v>
      </c>
      <c r="C64" s="333"/>
      <c r="D64" s="409"/>
      <c r="E64" s="329">
        <f>ROUND(+D64*$D$31/1000,2)</f>
        <v>0</v>
      </c>
      <c r="F64" s="312"/>
    </row>
    <row r="65" spans="1:6" s="192" customFormat="1" ht="31.5" x14ac:dyDescent="0.15">
      <c r="A65" s="213" t="s">
        <v>620</v>
      </c>
      <c r="B65" s="322" t="e">
        <f>+C65/$D$31*1000</f>
        <v>#DIV/0!</v>
      </c>
      <c r="C65" s="338"/>
      <c r="D65" s="410"/>
      <c r="E65" s="329">
        <f>ROUND(+D65*$D$31/1000,2)</f>
        <v>0</v>
      </c>
      <c r="F65" s="312"/>
    </row>
    <row r="66" spans="1:6" s="192" customFormat="1" ht="21" x14ac:dyDescent="0.35">
      <c r="A66" s="294"/>
      <c r="B66" s="323"/>
      <c r="C66" s="341"/>
      <c r="D66" s="342"/>
      <c r="E66" s="330"/>
      <c r="F66" s="312"/>
    </row>
    <row r="67" spans="1:6" s="192" customFormat="1" ht="21" x14ac:dyDescent="0.35">
      <c r="A67" s="294"/>
      <c r="B67" s="334"/>
      <c r="C67" s="339"/>
      <c r="D67" s="337"/>
      <c r="E67" s="335"/>
      <c r="F67" s="311"/>
    </row>
    <row r="68" spans="1:6" s="192" customFormat="1" ht="21" x14ac:dyDescent="0.35">
      <c r="A68" s="294"/>
      <c r="B68" s="334"/>
      <c r="C68" s="339"/>
      <c r="D68" s="337"/>
      <c r="E68" s="335"/>
      <c r="F68" s="311"/>
    </row>
    <row r="69" spans="1:6" s="192" customFormat="1" ht="15.75" x14ac:dyDescent="0.15">
      <c r="A69" s="209" t="s">
        <v>1</v>
      </c>
      <c r="B69" s="322" t="e">
        <f>+C69/$D$31*1000</f>
        <v>#DIV/0!</v>
      </c>
      <c r="C69" s="325">
        <f>D35</f>
        <v>0</v>
      </c>
      <c r="D69" s="411" t="e">
        <f>ROUND(B69,3)</f>
        <v>#DIV/0!</v>
      </c>
      <c r="E69" s="329" t="e">
        <f>ROUND(+D69*$D$31/1000,2)</f>
        <v>#DIV/0!</v>
      </c>
      <c r="F69" s="311"/>
    </row>
    <row r="70" spans="1:6" s="192" customFormat="1" ht="21" x14ac:dyDescent="0.35">
      <c r="A70" s="294"/>
      <c r="B70" s="323"/>
      <c r="C70" s="340"/>
      <c r="D70" s="343"/>
      <c r="E70" s="330"/>
      <c r="F70" s="306"/>
    </row>
    <row r="71" spans="1:6" s="192" customFormat="1" ht="21.75" thickBot="1" x14ac:dyDescent="0.4">
      <c r="A71" s="294"/>
      <c r="B71" s="324" t="e">
        <f>SUM(B58:B69)</f>
        <v>#N/A</v>
      </c>
      <c r="C71" s="326" t="e">
        <f>SUM(C58:C69)</f>
        <v>#N/A</v>
      </c>
      <c r="D71" s="327" t="e">
        <f>SUM(D58:D69)</f>
        <v>#N/A</v>
      </c>
      <c r="E71" s="328" t="e">
        <f>ROUND(SUM(E58:E69),2)</f>
        <v>#N/A</v>
      </c>
      <c r="F71"/>
    </row>
    <row r="72" spans="1:6" s="192" customFormat="1" ht="21.75" thickTop="1" x14ac:dyDescent="0.35">
      <c r="A72" s="294"/>
      <c r="B72" s="308"/>
      <c r="C72" s="307" t="s">
        <v>683</v>
      </c>
      <c r="D72" s="321" t="e">
        <f>+D71-D86-D88-D77</f>
        <v>#N/A</v>
      </c>
      <c r="E72" s="321" t="e">
        <f>ROUND(+E71-E86-E88-E77,2)</f>
        <v>#N/A</v>
      </c>
      <c r="F72" s="304" t="s">
        <v>684</v>
      </c>
    </row>
    <row r="73" spans="1:6" s="192" customFormat="1" ht="21" x14ac:dyDescent="0.35">
      <c r="A73" s="294"/>
      <c r="B73" s="308"/>
      <c r="C73" s="307"/>
      <c r="D73" s="406"/>
      <c r="E73" s="407"/>
      <c r="F73" s="304"/>
    </row>
    <row r="74" spans="1:6" s="192" customFormat="1" ht="21" x14ac:dyDescent="0.35">
      <c r="A74" s="294"/>
      <c r="B74" s="144" t="s">
        <v>617</v>
      </c>
      <c r="C74" s="146"/>
      <c r="D74" s="146"/>
      <c r="E74" s="146"/>
      <c r="F74" s="146"/>
    </row>
    <row r="75" spans="1:6" s="192" customFormat="1" ht="18" customHeight="1" x14ac:dyDescent="0.25">
      <c r="A75" s="283" t="s">
        <v>675</v>
      </c>
      <c r="B75" s="171" t="str">
        <f>+$C$28</f>
        <v>12/15/2024 Total</v>
      </c>
      <c r="C75" s="171" t="str">
        <f>+$B$75</f>
        <v>12/15/2024 Total</v>
      </c>
      <c r="D75" s="171" t="str">
        <f>+$D$28</f>
        <v>12/15/2025 Total</v>
      </c>
      <c r="E75" s="171" t="str">
        <f>+$D$75</f>
        <v>12/15/2025 Total</v>
      </c>
    </row>
    <row r="76" spans="1:6" ht="18" customHeight="1" x14ac:dyDescent="0.25">
      <c r="A76" s="146"/>
      <c r="B76" s="188" t="str">
        <f>+$C$41</f>
        <v>FY25 Actual $</v>
      </c>
      <c r="C76" s="188" t="str">
        <f>+$D$41</f>
        <v>FY25 Actual Mills</v>
      </c>
      <c r="D76" s="188" t="str">
        <f>+$E$41</f>
        <v>FY26 Actual $</v>
      </c>
      <c r="E76" s="188" t="str">
        <f>+$F$41</f>
        <v>FY26 Actual Mills</v>
      </c>
    </row>
    <row r="77" spans="1:6" ht="31.5" x14ac:dyDescent="0.2">
      <c r="A77" s="209" t="s">
        <v>515</v>
      </c>
      <c r="B77" s="210" t="e">
        <f>$D$31*C77/1000</f>
        <v>#N/A</v>
      </c>
      <c r="C77" s="189" t="e">
        <f>+'CDE Mill Levy Certify Form'!C46</f>
        <v>#N/A</v>
      </c>
      <c r="D77" s="211" t="e">
        <f>ROUND(E58,2)</f>
        <v>#N/A</v>
      </c>
      <c r="E77" s="189" t="e">
        <f>ROUND(D58,3)</f>
        <v>#N/A</v>
      </c>
    </row>
    <row r="78" spans="1:6" ht="18" customHeight="1" x14ac:dyDescent="0.2">
      <c r="A78" s="209" t="s">
        <v>511</v>
      </c>
      <c r="B78" s="210" t="e">
        <f>$D$31*C78/1000</f>
        <v>#N/A</v>
      </c>
      <c r="C78" s="189" t="e">
        <f>+'CDE Mill Levy Certify Form'!C48</f>
        <v>#N/A</v>
      </c>
      <c r="D78" s="211" t="e">
        <f>ROUND(E59,2)</f>
        <v>#N/A</v>
      </c>
      <c r="E78" s="189" t="e">
        <f>ROUND(D59,3)</f>
        <v>#N/A</v>
      </c>
    </row>
    <row r="79" spans="1:6" ht="18" customHeight="1" x14ac:dyDescent="0.2">
      <c r="A79" s="212" t="s">
        <v>650</v>
      </c>
      <c r="B79" s="212"/>
      <c r="C79" s="194"/>
      <c r="D79" s="212"/>
      <c r="E79" s="194"/>
    </row>
    <row r="80" spans="1:6" ht="31.5" x14ac:dyDescent="0.2">
      <c r="A80" s="213" t="s">
        <v>618</v>
      </c>
      <c r="B80" s="214"/>
      <c r="C80" s="215"/>
      <c r="D80" s="601">
        <f>ROUND(E61,2)</f>
        <v>0</v>
      </c>
      <c r="E80" s="189">
        <f>ROUND(D61,3)</f>
        <v>0</v>
      </c>
    </row>
    <row r="81" spans="1:21" ht="31.5" x14ac:dyDescent="0.2">
      <c r="A81" s="213" t="s">
        <v>619</v>
      </c>
      <c r="B81" s="216"/>
      <c r="C81" s="217"/>
      <c r="D81" s="601">
        <f>ROUND(E62,2)</f>
        <v>0</v>
      </c>
      <c r="E81" s="189">
        <f>ROUND(D62,3)</f>
        <v>0</v>
      </c>
    </row>
    <row r="82" spans="1:21" ht="30.95" customHeight="1" x14ac:dyDescent="0.2">
      <c r="A82" s="213" t="s">
        <v>618</v>
      </c>
      <c r="B82" s="216"/>
      <c r="C82" s="217"/>
      <c r="D82" s="211">
        <f t="shared" ref="D82:D84" si="6">E63</f>
        <v>0</v>
      </c>
      <c r="E82" s="189">
        <f>ROUND(D63,3)</f>
        <v>0</v>
      </c>
      <c r="G82" s="600"/>
    </row>
    <row r="83" spans="1:21" ht="31.5" x14ac:dyDescent="0.2">
      <c r="A83" s="213" t="s">
        <v>620</v>
      </c>
      <c r="B83" s="216"/>
      <c r="C83" s="217"/>
      <c r="D83" s="211">
        <f t="shared" si="6"/>
        <v>0</v>
      </c>
      <c r="E83" s="189">
        <f t="shared" ref="E83:E84" si="7">D64</f>
        <v>0</v>
      </c>
      <c r="G83" s="464"/>
    </row>
    <row r="84" spans="1:21" ht="31.5" x14ac:dyDescent="0.2">
      <c r="A84" s="213" t="s">
        <v>620</v>
      </c>
      <c r="B84" s="216"/>
      <c r="C84" s="217"/>
      <c r="D84" s="211">
        <f t="shared" si="6"/>
        <v>0</v>
      </c>
      <c r="E84" s="189">
        <f t="shared" si="7"/>
        <v>0</v>
      </c>
    </row>
    <row r="85" spans="1:21" ht="18" customHeight="1" x14ac:dyDescent="0.2">
      <c r="A85" s="209"/>
      <c r="B85" s="218"/>
      <c r="C85" s="219"/>
      <c r="D85" s="211"/>
      <c r="E85" s="189"/>
    </row>
    <row r="86" spans="1:21" ht="18" customHeight="1" x14ac:dyDescent="0.2">
      <c r="A86" s="206" t="s">
        <v>512</v>
      </c>
      <c r="B86" s="207" t="e">
        <f>$C$31*C86/1000</f>
        <v>#N/A</v>
      </c>
      <c r="C86" s="185" t="e">
        <f>+'CDE Mill Levy Certify Form'!C51</f>
        <v>#N/A</v>
      </c>
      <c r="D86" s="599">
        <f>E86*D31/1000</f>
        <v>0</v>
      </c>
      <c r="E86" s="185">
        <f>ROUND(SUM(E80:E85),3)</f>
        <v>0</v>
      </c>
    </row>
    <row r="87" spans="1:21" ht="18" customHeight="1" x14ac:dyDescent="0.2">
      <c r="A87" s="209"/>
      <c r="B87" s="218"/>
      <c r="C87" s="204"/>
      <c r="D87" s="211"/>
      <c r="E87" s="220"/>
    </row>
    <row r="88" spans="1:21" ht="18" customHeight="1" x14ac:dyDescent="0.2">
      <c r="A88" s="209" t="s">
        <v>4</v>
      </c>
      <c r="B88" s="210" t="e">
        <f>$C$31*C88/1000</f>
        <v>#N/A</v>
      </c>
      <c r="C88" s="203" t="e">
        <f>+'CDE Mill Levy Certify Form'!C53</f>
        <v>#N/A</v>
      </c>
      <c r="D88" s="211" t="e">
        <f>ROUND(E69,2)</f>
        <v>#DIV/0!</v>
      </c>
      <c r="E88" s="203" t="e">
        <f>D69</f>
        <v>#DIV/0!</v>
      </c>
    </row>
    <row r="89" spans="1:21" ht="18" customHeight="1" x14ac:dyDescent="0.2">
      <c r="A89" s="209"/>
      <c r="B89" s="218"/>
      <c r="C89" s="204"/>
      <c r="D89" s="211"/>
      <c r="E89" s="211"/>
    </row>
    <row r="90" spans="1:21" ht="18" customHeight="1" thickBot="1" x14ac:dyDescent="0.3">
      <c r="A90" s="206" t="s">
        <v>513</v>
      </c>
      <c r="B90" s="585" t="e">
        <f t="shared" ref="B90:C90" si="8">SUM(B88,B86,B78,B77,C45)</f>
        <v>#N/A</v>
      </c>
      <c r="C90" s="203" t="e">
        <f t="shared" si="8"/>
        <v>#N/A</v>
      </c>
      <c r="D90" s="585" t="e">
        <f>ROUND(SUM(D88,D86,D78,D77,E45),2)</f>
        <v>#DIV/0!</v>
      </c>
      <c r="E90" s="203" t="e">
        <f>SUM(E88,E86,E78,E77,F45)</f>
        <v>#DIV/0!</v>
      </c>
      <c r="F90" s="153"/>
      <c r="G90" s="180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</row>
    <row r="91" spans="1:21" ht="18" customHeight="1" thickTop="1" x14ac:dyDescent="0.25">
      <c r="A91" s="206"/>
      <c r="B91" s="300"/>
      <c r="C91" s="302"/>
      <c r="D91" s="296"/>
      <c r="E91" s="301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</row>
    <row r="92" spans="1:21" ht="18" customHeight="1" x14ac:dyDescent="0.25">
      <c r="A92" s="208"/>
      <c r="B92" s="223"/>
      <c r="C92" s="224"/>
      <c r="D92" s="221"/>
      <c r="E92" s="152"/>
      <c r="F92" s="225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</row>
    <row r="93" spans="1:21" ht="18" customHeight="1" x14ac:dyDescent="0.35">
      <c r="A93" s="291" t="s">
        <v>653</v>
      </c>
      <c r="B93" s="292" t="s">
        <v>672</v>
      </c>
      <c r="C93" s="292"/>
      <c r="D93" s="292"/>
      <c r="E93" s="292"/>
      <c r="F93" s="292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</row>
    <row r="94" spans="1:21" ht="18" customHeight="1" x14ac:dyDescent="0.35">
      <c r="A94" s="294"/>
      <c r="B94" s="295"/>
      <c r="C94" s="295"/>
      <c r="D94" s="295"/>
      <c r="E94" s="295"/>
      <c r="F94" s="295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</row>
    <row r="95" spans="1:21" ht="18" customHeight="1" x14ac:dyDescent="0.35">
      <c r="A95" s="294"/>
      <c r="B95" s="144" t="s">
        <v>622</v>
      </c>
      <c r="C95" s="237"/>
      <c r="D95" s="237"/>
      <c r="E95" s="237"/>
      <c r="F95" s="237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</row>
    <row r="96" spans="1:21" ht="47.25" x14ac:dyDescent="0.35">
      <c r="A96" s="294"/>
      <c r="B96" s="314" t="s">
        <v>668</v>
      </c>
      <c r="C96" s="315" t="s">
        <v>671</v>
      </c>
      <c r="D96" s="316" t="s">
        <v>685</v>
      </c>
      <c r="E96" s="317" t="s">
        <v>666</v>
      </c>
      <c r="F96" s="237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</row>
    <row r="97" spans="1:21" ht="18" customHeight="1" x14ac:dyDescent="0.35">
      <c r="A97" s="294"/>
      <c r="B97" s="318" t="s">
        <v>668</v>
      </c>
      <c r="C97" s="319" t="s">
        <v>669</v>
      </c>
      <c r="D97" s="319" t="s">
        <v>670</v>
      </c>
      <c r="E97" s="416" t="s">
        <v>687</v>
      </c>
      <c r="F97" s="237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</row>
    <row r="98" spans="1:21" ht="18" customHeight="1" x14ac:dyDescent="0.35">
      <c r="A98" s="294"/>
      <c r="B98" s="331" t="e">
        <f>+C98/$D$31*1000</f>
        <v>#DIV/0!</v>
      </c>
      <c r="C98" s="344"/>
      <c r="D98" s="602"/>
      <c r="E98" s="332">
        <f>+D98*$D$31/1000</f>
        <v>0</v>
      </c>
      <c r="F98" s="237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</row>
    <row r="99" spans="1:21" ht="18" customHeight="1" x14ac:dyDescent="0.35">
      <c r="A99" s="294"/>
      <c r="B99" s="412"/>
      <c r="C99" s="413"/>
      <c r="D99" s="414"/>
      <c r="E99" s="415"/>
      <c r="F99" s="237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</row>
    <row r="100" spans="1:21" ht="18" customHeight="1" x14ac:dyDescent="0.35">
      <c r="A100" s="294"/>
      <c r="B100" s="144" t="s">
        <v>617</v>
      </c>
      <c r="C100" s="305"/>
      <c r="D100" s="309"/>
      <c r="E100" s="305"/>
      <c r="F100" s="237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</row>
    <row r="101" spans="1:21" ht="18" customHeight="1" x14ac:dyDescent="0.35">
      <c r="A101" s="294"/>
      <c r="B101" s="297" t="s">
        <v>562</v>
      </c>
      <c r="C101" s="237"/>
      <c r="D101" s="237"/>
      <c r="E101" s="237"/>
      <c r="F101" s="237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</row>
    <row r="102" spans="1:21" ht="18" customHeight="1" x14ac:dyDescent="0.25">
      <c r="A102" s="146"/>
      <c r="B102" s="171" t="str">
        <f>+$C$28</f>
        <v>12/15/2024 Total</v>
      </c>
      <c r="C102" s="171" t="str">
        <f>+$B$75</f>
        <v>12/15/2024 Total</v>
      </c>
      <c r="D102" s="171" t="str">
        <f>+$D$28</f>
        <v>12/15/2025 Total</v>
      </c>
      <c r="E102" s="171" t="str">
        <f>+$D$75</f>
        <v>12/15/2025 Total</v>
      </c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</row>
    <row r="103" spans="1:21" s="192" customFormat="1" ht="18" customHeight="1" x14ac:dyDescent="0.3">
      <c r="A103" s="227"/>
      <c r="B103" s="188" t="str">
        <f>+$C$41</f>
        <v>FY25 Actual $</v>
      </c>
      <c r="C103" s="188" t="str">
        <f>+$D$41</f>
        <v>FY25 Actual Mills</v>
      </c>
      <c r="D103" s="188" t="str">
        <f>+$E$41</f>
        <v>FY26 Actual $</v>
      </c>
      <c r="E103" s="188" t="str">
        <f>+$F$41</f>
        <v>FY26 Actual Mills</v>
      </c>
      <c r="F103" s="153"/>
      <c r="G103" s="153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</row>
    <row r="104" spans="1:21" ht="18.75" x14ac:dyDescent="0.25">
      <c r="A104" s="146"/>
      <c r="B104" s="230"/>
      <c r="C104" s="231"/>
      <c r="D104" s="210">
        <f>E98</f>
        <v>0</v>
      </c>
      <c r="E104" s="189">
        <f>D98</f>
        <v>0</v>
      </c>
      <c r="F104" s="221"/>
      <c r="G104" s="221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</row>
    <row r="105" spans="1:21" ht="18" customHeight="1" thickBot="1" x14ac:dyDescent="0.35">
      <c r="A105" s="232" t="s">
        <v>5</v>
      </c>
      <c r="B105" s="222" t="e">
        <f>+C105*$C$31/1000</f>
        <v>#N/A</v>
      </c>
      <c r="C105" s="205" t="e">
        <f>+'CDE Mill Levy Certify Form'!C58</f>
        <v>#N/A</v>
      </c>
      <c r="D105" s="222">
        <f>+D104</f>
        <v>0</v>
      </c>
      <c r="E105" s="205">
        <f>+E104</f>
        <v>0</v>
      </c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</row>
    <row r="106" spans="1:21" ht="18" customHeight="1" thickTop="1" x14ac:dyDescent="0.3">
      <c r="A106" s="176"/>
      <c r="B106" s="153"/>
      <c r="D106" s="153"/>
      <c r="E106" s="153"/>
      <c r="F106" s="23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</row>
    <row r="107" spans="1:21" ht="18" customHeight="1" x14ac:dyDescent="0.3">
      <c r="A107" s="176"/>
      <c r="B107" s="186"/>
      <c r="C107" s="186"/>
      <c r="D107" s="186"/>
      <c r="E107" s="186"/>
      <c r="F107" s="186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</row>
    <row r="108" spans="1:21" ht="18" customHeight="1" x14ac:dyDescent="0.35">
      <c r="A108" s="291" t="s">
        <v>654</v>
      </c>
      <c r="B108" s="292" t="s">
        <v>471</v>
      </c>
      <c r="C108" s="292"/>
      <c r="D108" s="292"/>
      <c r="E108" s="292"/>
      <c r="F108" s="292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</row>
    <row r="109" spans="1:21" ht="18" customHeight="1" x14ac:dyDescent="0.35">
      <c r="A109" s="294"/>
      <c r="B109" s="295"/>
      <c r="C109" s="295"/>
      <c r="D109" s="295"/>
      <c r="E109" s="295"/>
      <c r="F109" s="295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</row>
    <row r="110" spans="1:21" ht="18" customHeight="1" x14ac:dyDescent="0.35">
      <c r="A110" s="294"/>
      <c r="B110" s="144" t="s">
        <v>622</v>
      </c>
      <c r="C110" s="237"/>
      <c r="D110" s="237"/>
      <c r="E110" s="237"/>
      <c r="F110" s="237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</row>
    <row r="111" spans="1:21" ht="47.25" x14ac:dyDescent="0.35">
      <c r="A111" s="146"/>
      <c r="B111" s="314" t="s">
        <v>668</v>
      </c>
      <c r="C111" s="315" t="s">
        <v>673</v>
      </c>
      <c r="D111" s="316" t="s">
        <v>685</v>
      </c>
      <c r="E111" s="317" t="s">
        <v>666</v>
      </c>
      <c r="F111" s="237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</row>
    <row r="112" spans="1:21" ht="33" x14ac:dyDescent="0.35">
      <c r="A112" s="294"/>
      <c r="B112" s="318" t="s">
        <v>668</v>
      </c>
      <c r="C112" s="319" t="s">
        <v>669</v>
      </c>
      <c r="D112" s="319" t="s">
        <v>674</v>
      </c>
      <c r="E112" s="318" t="s">
        <v>687</v>
      </c>
      <c r="F112" s="237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</row>
    <row r="113" spans="1:21" ht="18" customHeight="1" x14ac:dyDescent="0.35">
      <c r="A113" s="294"/>
      <c r="B113" s="331" t="e">
        <f>+C113/$D$31*1000</f>
        <v>#DIV/0!</v>
      </c>
      <c r="C113" s="344"/>
      <c r="D113" s="349"/>
      <c r="E113" s="332">
        <f>+D113*$B$12/1000</f>
        <v>0</v>
      </c>
      <c r="F113" s="237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</row>
    <row r="114" spans="1:21" ht="18" customHeight="1" x14ac:dyDescent="0.35">
      <c r="A114" s="294"/>
      <c r="B114" s="412"/>
      <c r="C114" s="413"/>
      <c r="D114" s="414"/>
      <c r="E114" s="415"/>
      <c r="F114" s="237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</row>
    <row r="115" spans="1:21" ht="18" customHeight="1" x14ac:dyDescent="0.35">
      <c r="A115" s="290"/>
      <c r="B115" s="144" t="s">
        <v>617</v>
      </c>
      <c r="C115" s="237"/>
      <c r="D115" s="237"/>
      <c r="E115" s="237"/>
      <c r="F115" s="237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</row>
    <row r="116" spans="1:21" ht="18" customHeight="1" x14ac:dyDescent="0.25">
      <c r="A116" s="283" t="s">
        <v>675</v>
      </c>
      <c r="B116" s="171" t="str">
        <f>+$C$28</f>
        <v>12/15/2024 Total</v>
      </c>
      <c r="C116" s="171" t="str">
        <f>+$B$75</f>
        <v>12/15/2024 Total</v>
      </c>
      <c r="D116" s="171" t="str">
        <f>+$D$28</f>
        <v>12/15/2025 Total</v>
      </c>
      <c r="E116" s="171" t="str">
        <f>+$D$75</f>
        <v>12/15/2025 Total</v>
      </c>
      <c r="F116" s="153"/>
      <c r="G116" s="153"/>
      <c r="H116" s="191"/>
      <c r="I116" s="191"/>
      <c r="J116" s="191"/>
      <c r="K116" s="153"/>
      <c r="L116" s="153"/>
      <c r="M116" s="153"/>
      <c r="N116" s="228" t="e">
        <f>+#REF!</f>
        <v>#REF!</v>
      </c>
      <c r="O116" s="153" t="s">
        <v>15</v>
      </c>
      <c r="P116" s="153"/>
      <c r="Q116" s="191" t="e">
        <f>+N116*#REF!/1000</f>
        <v>#REF!</v>
      </c>
      <c r="R116" s="191" t="e">
        <f>+Q116</f>
        <v>#REF!</v>
      </c>
      <c r="S116" s="191" t="e">
        <f>+#REF!*N116/1000</f>
        <v>#REF!</v>
      </c>
      <c r="T116" s="229" t="e">
        <f>+S116</f>
        <v>#REF!</v>
      </c>
    </row>
    <row r="117" spans="1:21" ht="15.75" x14ac:dyDescent="0.25">
      <c r="A117" s="146"/>
      <c r="B117" s="188" t="str">
        <f>+$C$41</f>
        <v>FY25 Actual $</v>
      </c>
      <c r="C117" s="188" t="str">
        <f>+$D$41</f>
        <v>FY25 Actual Mills</v>
      </c>
      <c r="D117" s="188" t="str">
        <f>+$E$41</f>
        <v>FY26 Actual $</v>
      </c>
      <c r="E117" s="188" t="str">
        <f>+$F$41</f>
        <v>FY26 Actual Mills</v>
      </c>
      <c r="F117" s="153"/>
      <c r="G117" s="191"/>
      <c r="H117" s="191"/>
      <c r="I117" s="191"/>
      <c r="J117" s="191"/>
      <c r="K117" s="153"/>
      <c r="L117" s="153"/>
      <c r="M117" s="153"/>
      <c r="N117" s="228">
        <v>1</v>
      </c>
      <c r="O117" s="153" t="s">
        <v>16</v>
      </c>
      <c r="P117" s="153"/>
      <c r="Q117" s="191" t="e">
        <f>+N117*#REF!/1000</f>
        <v>#REF!</v>
      </c>
      <c r="R117" s="191" t="e">
        <f>+Q117+R$116</f>
        <v>#REF!</v>
      </c>
      <c r="S117" s="191" t="e">
        <f>+#REF!*N117/1000</f>
        <v>#REF!</v>
      </c>
      <c r="T117" s="229" t="e">
        <f>+S117+T$116</f>
        <v>#REF!</v>
      </c>
    </row>
    <row r="118" spans="1:21" ht="31.5" x14ac:dyDescent="0.25">
      <c r="A118" s="213" t="s">
        <v>620</v>
      </c>
      <c r="B118" s="230" t="e">
        <f>+C118*$C$31/1000</f>
        <v>#N/A</v>
      </c>
      <c r="C118" s="231" t="e">
        <f>+'CDE Mill Levy Certify Form'!C60</f>
        <v>#N/A</v>
      </c>
      <c r="D118" s="210">
        <f>E113</f>
        <v>0</v>
      </c>
      <c r="E118" s="204">
        <f>D113</f>
        <v>0</v>
      </c>
      <c r="F118" s="153"/>
      <c r="G118" s="191"/>
      <c r="H118" s="191"/>
      <c r="I118" s="191"/>
      <c r="J118" s="191"/>
      <c r="K118" s="153"/>
      <c r="L118" s="153"/>
      <c r="M118" s="153"/>
      <c r="N118" s="228" t="e">
        <f>+#REF!</f>
        <v>#REF!</v>
      </c>
      <c r="O118" s="153">
        <v>5000000</v>
      </c>
      <c r="P118" s="153" t="s">
        <v>14</v>
      </c>
      <c r="Q118" s="191" t="e">
        <f>+N118*#REF!/1000</f>
        <v>#REF!</v>
      </c>
      <c r="R118" s="191" t="e">
        <f>+Q118+R116</f>
        <v>#REF!</v>
      </c>
      <c r="S118" s="191" t="e">
        <f>+#REF!*N118/1000</f>
        <v>#REF!</v>
      </c>
      <c r="T118" s="229" t="e">
        <f>+S118+T116</f>
        <v>#REF!</v>
      </c>
    </row>
    <row r="119" spans="1:21" ht="18" customHeight="1" thickBot="1" x14ac:dyDescent="0.35">
      <c r="A119" s="234" t="s">
        <v>5</v>
      </c>
      <c r="B119" s="222" t="e">
        <f>+B118</f>
        <v>#N/A</v>
      </c>
      <c r="C119" s="205" t="e">
        <f>+C118</f>
        <v>#N/A</v>
      </c>
      <c r="D119" s="222">
        <f>SUM(D118:D118)</f>
        <v>0</v>
      </c>
      <c r="E119" s="205">
        <f>SUM(E118:E118)</f>
        <v>0</v>
      </c>
      <c r="F119" s="153"/>
      <c r="G119" s="191"/>
      <c r="H119" s="191"/>
      <c r="I119" s="191"/>
      <c r="J119" s="191"/>
      <c r="K119" s="153"/>
      <c r="L119" s="153"/>
      <c r="M119" s="153"/>
      <c r="N119" s="180"/>
      <c r="O119" s="153"/>
      <c r="P119" s="153"/>
      <c r="Q119" s="191"/>
      <c r="R119" s="191"/>
      <c r="S119" s="191"/>
      <c r="T119" s="191"/>
    </row>
    <row r="120" spans="1:21" ht="18" customHeight="1" thickTop="1" x14ac:dyDescent="0.25">
      <c r="A120" s="147"/>
      <c r="B120" s="153"/>
      <c r="C120" s="153"/>
      <c r="D120" s="235"/>
      <c r="E120" s="233"/>
      <c r="F120" s="153"/>
      <c r="G120" s="191"/>
      <c r="H120" s="191"/>
      <c r="I120" s="191"/>
      <c r="J120" s="191"/>
      <c r="K120" s="153"/>
      <c r="L120" s="153"/>
      <c r="M120" s="153"/>
      <c r="N120" s="180"/>
      <c r="O120" s="153"/>
      <c r="P120" s="153"/>
      <c r="Q120" s="191"/>
      <c r="R120" s="191"/>
      <c r="S120" s="191"/>
      <c r="T120" s="191"/>
    </row>
    <row r="121" spans="1:21" ht="18" customHeight="1" x14ac:dyDescent="0.3">
      <c r="A121" s="176"/>
      <c r="B121" s="147"/>
      <c r="C121" s="153"/>
      <c r="D121" s="153"/>
      <c r="E121" s="235"/>
      <c r="F121" s="233"/>
      <c r="G121" s="153"/>
      <c r="H121" s="191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</row>
    <row r="122" spans="1:21" ht="18" customHeight="1" x14ac:dyDescent="0.35">
      <c r="A122" s="291" t="s">
        <v>655</v>
      </c>
      <c r="B122" s="292" t="s">
        <v>676</v>
      </c>
      <c r="C122" s="292"/>
      <c r="D122" s="292"/>
      <c r="E122" s="292"/>
      <c r="F122" s="292"/>
      <c r="G122" s="153"/>
      <c r="H122" s="153"/>
      <c r="I122" s="191"/>
      <c r="J122" s="191"/>
      <c r="K122" s="191"/>
      <c r="L122" s="153"/>
      <c r="M122" s="153"/>
      <c r="N122" s="153"/>
      <c r="O122" s="228" t="e">
        <f>+#REF!</f>
        <v>#REF!</v>
      </c>
      <c r="P122" s="153" t="s">
        <v>15</v>
      </c>
      <c r="Q122" s="153"/>
      <c r="R122" s="191" t="e">
        <f>+O122*#REF!/1000</f>
        <v>#REF!</v>
      </c>
      <c r="S122" s="191" t="e">
        <f>+R122</f>
        <v>#REF!</v>
      </c>
      <c r="T122" s="191" t="e">
        <f>+#REF!*O122/1000</f>
        <v>#REF!</v>
      </c>
      <c r="U122" s="229" t="e">
        <f>+T122</f>
        <v>#REF!</v>
      </c>
    </row>
    <row r="123" spans="1:21" ht="18" customHeight="1" x14ac:dyDescent="0.35">
      <c r="A123" s="294"/>
      <c r="B123" s="295"/>
      <c r="C123" s="295"/>
      <c r="D123" s="295"/>
      <c r="E123" s="295"/>
      <c r="F123" s="295"/>
      <c r="G123" s="153"/>
      <c r="H123" s="153"/>
      <c r="I123" s="191"/>
      <c r="J123" s="191"/>
      <c r="K123" s="191"/>
      <c r="L123" s="153"/>
      <c r="M123" s="153"/>
      <c r="N123" s="153"/>
      <c r="O123" s="180"/>
      <c r="P123" s="153"/>
      <c r="Q123" s="153"/>
      <c r="R123" s="191"/>
      <c r="S123" s="191"/>
      <c r="T123" s="191"/>
      <c r="U123" s="191"/>
    </row>
    <row r="124" spans="1:21" ht="18" customHeight="1" x14ac:dyDescent="0.35">
      <c r="A124" s="294"/>
      <c r="B124" s="144" t="s">
        <v>622</v>
      </c>
      <c r="C124" s="295"/>
      <c r="D124" s="295"/>
      <c r="E124" s="295"/>
      <c r="F124" s="295"/>
      <c r="G124" s="153"/>
      <c r="H124" s="153"/>
      <c r="I124" s="191"/>
      <c r="J124" s="191"/>
      <c r="K124" s="191"/>
      <c r="L124" s="153"/>
      <c r="M124" s="153"/>
      <c r="N124" s="153"/>
      <c r="O124" s="180"/>
      <c r="P124" s="153"/>
      <c r="Q124" s="153"/>
      <c r="R124" s="191"/>
      <c r="S124" s="191"/>
      <c r="T124" s="191"/>
      <c r="U124" s="191"/>
    </row>
    <row r="125" spans="1:21" ht="47.25" x14ac:dyDescent="0.35">
      <c r="A125" s="282" t="s">
        <v>686</v>
      </c>
      <c r="B125" s="314" t="s">
        <v>668</v>
      </c>
      <c r="C125" s="315" t="s">
        <v>673</v>
      </c>
      <c r="D125" s="316" t="s">
        <v>688</v>
      </c>
      <c r="E125" s="317" t="s">
        <v>666</v>
      </c>
      <c r="F125" s="295"/>
      <c r="G125" s="153"/>
      <c r="H125" s="153"/>
      <c r="I125" s="191"/>
      <c r="J125" s="191"/>
      <c r="K125" s="191"/>
      <c r="L125" s="153"/>
      <c r="M125" s="153"/>
      <c r="N125" s="153"/>
      <c r="O125" s="180"/>
      <c r="P125" s="153"/>
      <c r="Q125" s="153"/>
      <c r="R125" s="191"/>
      <c r="S125" s="191"/>
      <c r="T125" s="191"/>
      <c r="U125" s="191"/>
    </row>
    <row r="126" spans="1:21" ht="18" customHeight="1" x14ac:dyDescent="0.35">
      <c r="A126" s="294"/>
      <c r="B126" s="318" t="s">
        <v>668</v>
      </c>
      <c r="C126" s="319" t="s">
        <v>669</v>
      </c>
      <c r="D126" s="319" t="s">
        <v>674</v>
      </c>
      <c r="E126" s="318" t="s">
        <v>687</v>
      </c>
      <c r="F126" s="295"/>
      <c r="G126" s="153"/>
      <c r="H126" s="153"/>
      <c r="I126" s="191"/>
      <c r="J126" s="191"/>
      <c r="K126" s="191"/>
      <c r="L126" s="153"/>
      <c r="M126" s="153"/>
      <c r="N126" s="153"/>
      <c r="O126" s="180"/>
      <c r="P126" s="153"/>
      <c r="Q126" s="153"/>
      <c r="R126" s="191"/>
      <c r="S126" s="191"/>
      <c r="T126" s="191"/>
      <c r="U126" s="191"/>
    </row>
    <row r="127" spans="1:21" ht="18" customHeight="1" x14ac:dyDescent="0.35">
      <c r="A127" s="294"/>
      <c r="B127" s="331" t="e">
        <f>+C127/$B$12*1000</f>
        <v>#DIV/0!</v>
      </c>
      <c r="C127" s="344"/>
      <c r="D127" s="349"/>
      <c r="E127" s="332">
        <f>+D127*$B$12/1000</f>
        <v>0</v>
      </c>
      <c r="F127" s="295"/>
      <c r="G127" s="153"/>
      <c r="H127" s="153"/>
      <c r="I127" s="191"/>
      <c r="J127" s="191"/>
      <c r="K127" s="191"/>
      <c r="L127" s="153"/>
      <c r="M127" s="153"/>
      <c r="N127" s="153"/>
      <c r="O127" s="180"/>
      <c r="P127" s="153"/>
      <c r="Q127" s="153"/>
      <c r="R127" s="191"/>
      <c r="S127" s="191"/>
      <c r="T127" s="191"/>
      <c r="U127" s="191"/>
    </row>
    <row r="128" spans="1:21" ht="18" customHeight="1" x14ac:dyDescent="0.35">
      <c r="A128" s="294"/>
      <c r="B128" s="412"/>
      <c r="C128" s="413"/>
      <c r="D128" s="414"/>
      <c r="E128" s="415"/>
      <c r="F128" s="295"/>
      <c r="G128" s="153"/>
      <c r="H128" s="153"/>
      <c r="I128" s="191"/>
      <c r="J128" s="191"/>
      <c r="K128" s="191"/>
      <c r="L128" s="153"/>
      <c r="M128" s="153"/>
      <c r="N128" s="153"/>
      <c r="O128" s="180"/>
      <c r="P128" s="153"/>
      <c r="Q128" s="153"/>
      <c r="R128" s="191"/>
      <c r="S128" s="191"/>
      <c r="T128" s="191"/>
      <c r="U128" s="191"/>
    </row>
    <row r="129" spans="1:21" ht="18" customHeight="1" x14ac:dyDescent="0.35">
      <c r="A129" s="294"/>
      <c r="B129" s="144" t="s">
        <v>617</v>
      </c>
      <c r="C129" s="305"/>
      <c r="D129" s="309"/>
      <c r="E129" s="305"/>
      <c r="F129" s="295"/>
      <c r="G129" s="153"/>
      <c r="H129" s="153"/>
      <c r="I129" s="191"/>
      <c r="J129" s="191"/>
      <c r="K129" s="191"/>
      <c r="L129" s="153"/>
      <c r="M129" s="153"/>
      <c r="N129" s="153"/>
      <c r="O129" s="180"/>
      <c r="P129" s="153"/>
      <c r="Q129" s="153"/>
      <c r="R129" s="191"/>
      <c r="S129" s="191"/>
      <c r="T129" s="191"/>
      <c r="U129" s="191"/>
    </row>
    <row r="130" spans="1:21" ht="18" customHeight="1" x14ac:dyDescent="0.25">
      <c r="A130" s="283" t="s">
        <v>675</v>
      </c>
      <c r="B130" s="171" t="str">
        <f>+$C$28</f>
        <v>12/15/2024 Total</v>
      </c>
      <c r="C130" s="171" t="str">
        <f>+$B$75</f>
        <v>12/15/2024 Total</v>
      </c>
      <c r="D130" s="171" t="str">
        <f>+$D$28</f>
        <v>12/15/2025 Total</v>
      </c>
      <c r="E130" s="171" t="str">
        <f>+$D$75</f>
        <v>12/15/2025 Total</v>
      </c>
      <c r="F130" s="191"/>
      <c r="G130" s="191"/>
      <c r="H130" s="191"/>
      <c r="I130" s="191"/>
      <c r="J130" s="153"/>
      <c r="K130" s="153"/>
      <c r="L130" s="153"/>
      <c r="M130" s="180"/>
      <c r="N130" s="153"/>
      <c r="O130" s="153"/>
      <c r="P130" s="191"/>
      <c r="Q130" s="191"/>
      <c r="R130" s="191"/>
      <c r="S130" s="191"/>
      <c r="T130" s="153"/>
    </row>
    <row r="131" spans="1:21" ht="30.95" customHeight="1" x14ac:dyDescent="0.25">
      <c r="A131" s="146"/>
      <c r="B131" s="188" t="str">
        <f>+$C$41</f>
        <v>FY25 Actual $</v>
      </c>
      <c r="C131" s="188" t="str">
        <f>+$D$41</f>
        <v>FY25 Actual Mills</v>
      </c>
      <c r="D131" s="188" t="str">
        <f>+$E$41</f>
        <v>FY26 Actual $</v>
      </c>
      <c r="E131" s="188" t="str">
        <f>+$F$41</f>
        <v>FY26 Actual Mills</v>
      </c>
      <c r="F131" s="191"/>
      <c r="G131" s="191"/>
      <c r="H131" s="191"/>
      <c r="I131" s="191"/>
      <c r="J131" s="153"/>
      <c r="K131" s="153"/>
      <c r="L131" s="153"/>
      <c r="M131" s="180"/>
      <c r="N131" s="153"/>
      <c r="O131" s="153"/>
      <c r="P131" s="191"/>
      <c r="Q131" s="191"/>
      <c r="R131" s="191"/>
      <c r="S131" s="191"/>
      <c r="T131" s="153"/>
    </row>
    <row r="132" spans="1:21" ht="31.5" x14ac:dyDescent="0.25">
      <c r="A132" s="213" t="s">
        <v>621</v>
      </c>
      <c r="B132" s="230" t="e">
        <f>+C132*$C$31/1000</f>
        <v>#N/A</v>
      </c>
      <c r="C132" s="231" t="e">
        <f>+'CDE Mill Levy Certify Form'!C62</f>
        <v>#N/A</v>
      </c>
      <c r="D132" s="210">
        <f>E127</f>
        <v>0</v>
      </c>
      <c r="E132" s="204">
        <f>D127</f>
        <v>0</v>
      </c>
      <c r="F132" s="191"/>
      <c r="G132" s="191"/>
      <c r="H132" s="191"/>
      <c r="I132" s="191"/>
      <c r="J132" s="153"/>
      <c r="K132" s="153"/>
      <c r="L132" s="153"/>
      <c r="M132" s="180"/>
      <c r="N132" s="153"/>
      <c r="O132" s="153"/>
      <c r="P132" s="191"/>
      <c r="Q132" s="191"/>
      <c r="R132" s="191"/>
      <c r="S132" s="191"/>
      <c r="T132" s="153"/>
    </row>
    <row r="133" spans="1:21" ht="18" customHeight="1" thickBot="1" x14ac:dyDescent="0.3">
      <c r="A133" s="303"/>
      <c r="B133" s="222" t="e">
        <f>SUM(B132)</f>
        <v>#N/A</v>
      </c>
      <c r="C133" s="205" t="e">
        <f>SUM(C132)</f>
        <v>#N/A</v>
      </c>
      <c r="D133" s="222">
        <f>SUM(D132)</f>
        <v>0</v>
      </c>
      <c r="E133" s="205">
        <f>SUM(E132)</f>
        <v>0</v>
      </c>
      <c r="F133" s="191"/>
      <c r="G133" s="191"/>
      <c r="H133" s="191"/>
      <c r="I133" s="191"/>
      <c r="J133" s="153"/>
      <c r="K133" s="153"/>
      <c r="L133" s="153"/>
      <c r="M133" s="180"/>
      <c r="N133" s="153"/>
      <c r="O133" s="153"/>
      <c r="P133" s="191"/>
      <c r="Q133" s="191"/>
      <c r="R133" s="191"/>
      <c r="S133" s="191"/>
      <c r="T133" s="153"/>
    </row>
    <row r="134" spans="1:21" ht="18" customHeight="1" thickTop="1" x14ac:dyDescent="0.3">
      <c r="A134" s="282"/>
      <c r="B134" s="226"/>
      <c r="C134" s="153"/>
      <c r="D134" s="153"/>
      <c r="E134" s="155"/>
      <c r="F134" s="233"/>
      <c r="G134" s="191"/>
      <c r="H134" s="191"/>
      <c r="I134" s="191"/>
      <c r="J134" s="191"/>
      <c r="K134" s="153"/>
      <c r="L134" s="153"/>
      <c r="M134" s="153"/>
      <c r="N134" s="180"/>
      <c r="O134" s="153"/>
      <c r="P134" s="153"/>
      <c r="Q134" s="191"/>
      <c r="R134" s="191"/>
      <c r="S134" s="191"/>
      <c r="T134" s="191"/>
      <c r="U134" s="153"/>
    </row>
    <row r="135" spans="1:21" ht="18" customHeight="1" x14ac:dyDescent="0.3">
      <c r="A135" s="282"/>
      <c r="B135" s="226"/>
      <c r="C135" s="153"/>
      <c r="D135" s="153"/>
      <c r="E135" s="155"/>
      <c r="F135" s="233"/>
      <c r="G135" s="191"/>
      <c r="H135" s="191"/>
      <c r="I135" s="191"/>
      <c r="J135" s="191"/>
      <c r="K135" s="153"/>
      <c r="L135" s="153"/>
      <c r="M135" s="153"/>
      <c r="N135" s="180"/>
      <c r="O135" s="153"/>
      <c r="P135" s="153"/>
      <c r="Q135" s="191"/>
      <c r="R135" s="191"/>
      <c r="S135" s="191"/>
      <c r="T135" s="191"/>
      <c r="U135" s="153"/>
    </row>
    <row r="136" spans="1:21" ht="18" customHeight="1" x14ac:dyDescent="0.35">
      <c r="A136" s="291" t="s">
        <v>656</v>
      </c>
      <c r="B136" s="292" t="s">
        <v>651</v>
      </c>
      <c r="C136" s="292"/>
      <c r="D136" s="292"/>
      <c r="E136" s="292"/>
      <c r="F136" s="292"/>
      <c r="G136" s="191"/>
      <c r="H136" s="191"/>
      <c r="I136" s="191"/>
      <c r="J136" s="191"/>
      <c r="K136" s="153"/>
      <c r="L136" s="153"/>
      <c r="M136" s="153"/>
      <c r="N136" s="180"/>
      <c r="O136" s="153"/>
      <c r="P136" s="153"/>
      <c r="Q136" s="191"/>
      <c r="R136" s="191"/>
      <c r="S136" s="191"/>
      <c r="T136" s="191"/>
      <c r="U136" s="153"/>
    </row>
    <row r="137" spans="1:21" ht="18" customHeight="1" x14ac:dyDescent="0.35">
      <c r="A137" s="294"/>
      <c r="B137" s="295"/>
      <c r="C137" s="295"/>
      <c r="D137" s="295"/>
      <c r="E137" s="295"/>
      <c r="F137" s="295"/>
      <c r="G137" s="191"/>
      <c r="H137" s="191"/>
      <c r="I137" s="191"/>
      <c r="J137" s="191"/>
      <c r="K137" s="153"/>
      <c r="L137" s="153"/>
      <c r="M137" s="153"/>
      <c r="N137" s="180"/>
      <c r="O137" s="153"/>
      <c r="P137" s="153"/>
      <c r="Q137" s="191"/>
      <c r="R137" s="191"/>
      <c r="S137" s="191"/>
      <c r="T137" s="191"/>
      <c r="U137" s="153"/>
    </row>
    <row r="138" spans="1:21" ht="18" customHeight="1" x14ac:dyDescent="0.35">
      <c r="A138" s="176"/>
      <c r="B138" s="144" t="s">
        <v>622</v>
      </c>
      <c r="C138" s="237"/>
      <c r="D138" s="237"/>
      <c r="E138" s="237"/>
      <c r="F138" s="237"/>
      <c r="G138" s="191"/>
      <c r="H138" s="191"/>
      <c r="I138" s="191"/>
      <c r="J138" s="191"/>
      <c r="K138" s="153"/>
      <c r="L138" s="153"/>
      <c r="M138" s="153"/>
      <c r="N138" s="180"/>
      <c r="O138" s="153"/>
      <c r="P138" s="153"/>
      <c r="Q138" s="191"/>
      <c r="R138" s="191"/>
      <c r="S138" s="191"/>
      <c r="T138" s="191"/>
      <c r="U138" s="153"/>
    </row>
    <row r="139" spans="1:21" ht="47.25" x14ac:dyDescent="0.35">
      <c r="A139" s="176"/>
      <c r="B139" s="314" t="s">
        <v>668</v>
      </c>
      <c r="C139" s="315" t="s">
        <v>673</v>
      </c>
      <c r="D139" s="316" t="s">
        <v>685</v>
      </c>
      <c r="E139" s="317" t="s">
        <v>666</v>
      </c>
      <c r="F139" s="237"/>
      <c r="G139" s="191"/>
      <c r="H139" s="191"/>
      <c r="I139" s="191"/>
      <c r="J139" s="191"/>
      <c r="K139" s="153"/>
      <c r="L139" s="153"/>
      <c r="M139" s="153"/>
      <c r="N139" s="180"/>
      <c r="O139" s="153"/>
      <c r="P139" s="153"/>
      <c r="Q139" s="191"/>
      <c r="R139" s="191"/>
      <c r="S139" s="191"/>
      <c r="T139" s="191"/>
      <c r="U139" s="153"/>
    </row>
    <row r="140" spans="1:21" ht="33" x14ac:dyDescent="0.35">
      <c r="A140" s="176"/>
      <c r="B140" s="318" t="s">
        <v>668</v>
      </c>
      <c r="C140" s="319" t="s">
        <v>669</v>
      </c>
      <c r="D140" s="319" t="s">
        <v>674</v>
      </c>
      <c r="E140" s="318" t="s">
        <v>677</v>
      </c>
      <c r="F140" s="237"/>
      <c r="G140" s="191"/>
      <c r="H140" s="191"/>
      <c r="I140" s="191"/>
      <c r="J140" s="191"/>
      <c r="K140" s="153"/>
      <c r="L140" s="153"/>
      <c r="M140" s="153"/>
      <c r="N140" s="180"/>
      <c r="O140" s="153"/>
      <c r="P140" s="153"/>
      <c r="Q140" s="191"/>
      <c r="R140" s="191"/>
      <c r="S140" s="191"/>
      <c r="T140" s="191"/>
      <c r="U140" s="153"/>
    </row>
    <row r="141" spans="1:21" ht="18" customHeight="1" x14ac:dyDescent="0.35">
      <c r="A141" s="176"/>
      <c r="B141" s="331" t="e">
        <f>+C141/$B$12*1000</f>
        <v>#DIV/0!</v>
      </c>
      <c r="C141" s="344"/>
      <c r="D141" s="345"/>
      <c r="E141" s="332">
        <f>+D141*$B$12/1000</f>
        <v>0</v>
      </c>
      <c r="F141" s="237"/>
      <c r="G141" s="191"/>
      <c r="H141" s="191"/>
      <c r="I141" s="191"/>
      <c r="J141" s="191"/>
      <c r="K141" s="153"/>
      <c r="L141" s="153"/>
      <c r="M141" s="153"/>
      <c r="N141" s="180"/>
      <c r="O141" s="153"/>
      <c r="P141" s="153"/>
      <c r="Q141" s="191"/>
      <c r="R141" s="191"/>
      <c r="S141" s="191"/>
      <c r="T141" s="191"/>
      <c r="U141" s="153"/>
    </row>
    <row r="142" spans="1:21" ht="18" customHeight="1" x14ac:dyDescent="0.35">
      <c r="A142" s="417"/>
      <c r="B142" s="412"/>
      <c r="C142" s="413"/>
      <c r="D142" s="418"/>
      <c r="E142" s="415"/>
      <c r="F142" s="237"/>
      <c r="G142" s="191"/>
      <c r="H142" s="191"/>
      <c r="I142" s="191"/>
      <c r="J142" s="191"/>
      <c r="K142" s="153"/>
      <c r="L142" s="153"/>
      <c r="M142" s="153"/>
      <c r="N142" s="180"/>
      <c r="O142" s="153"/>
      <c r="P142" s="153"/>
      <c r="Q142" s="191"/>
      <c r="R142" s="191"/>
      <c r="S142" s="191"/>
      <c r="T142" s="191"/>
      <c r="U142" s="153"/>
    </row>
    <row r="143" spans="1:21" ht="18" customHeight="1" x14ac:dyDescent="0.35">
      <c r="A143" s="176"/>
      <c r="B143" s="144" t="s">
        <v>617</v>
      </c>
      <c r="C143" s="305"/>
      <c r="D143" s="309"/>
      <c r="E143" s="305"/>
      <c r="F143" s="237"/>
      <c r="G143" s="191"/>
      <c r="H143" s="191"/>
      <c r="I143" s="191"/>
      <c r="J143" s="191"/>
      <c r="K143" s="153"/>
      <c r="L143" s="153"/>
      <c r="M143" s="153"/>
      <c r="N143" s="180"/>
      <c r="O143" s="153"/>
      <c r="P143" s="153"/>
      <c r="Q143" s="191"/>
      <c r="R143" s="191"/>
      <c r="S143" s="191"/>
      <c r="T143" s="191"/>
      <c r="U143" s="153"/>
    </row>
    <row r="144" spans="1:21" ht="18.75" x14ac:dyDescent="0.25">
      <c r="A144" s="283" t="s">
        <v>675</v>
      </c>
      <c r="B144" s="171" t="str">
        <f>+$C$28</f>
        <v>12/15/2024 Total</v>
      </c>
      <c r="C144" s="171" t="str">
        <f>+$B$75</f>
        <v>12/15/2024 Total</v>
      </c>
      <c r="D144" s="171" t="str">
        <f>+$D$28</f>
        <v>12/15/2025 Total</v>
      </c>
      <c r="E144" s="171" t="str">
        <f>+$D$75</f>
        <v>12/15/2025 Total</v>
      </c>
      <c r="F144" s="191"/>
      <c r="G144" s="191"/>
      <c r="H144" s="191"/>
      <c r="I144" s="191"/>
      <c r="J144" s="153"/>
      <c r="K144" s="153"/>
      <c r="L144" s="153"/>
      <c r="M144" s="180"/>
      <c r="N144" s="153"/>
      <c r="O144" s="153"/>
      <c r="P144" s="153"/>
      <c r="Q144" s="153"/>
      <c r="R144" s="153"/>
      <c r="S144" s="153"/>
      <c r="T144" s="153"/>
    </row>
    <row r="145" spans="1:20" ht="15.75" x14ac:dyDescent="0.25">
      <c r="A145" s="289"/>
      <c r="B145" s="188" t="str">
        <f>+$C$41</f>
        <v>FY25 Actual $</v>
      </c>
      <c r="C145" s="188" t="str">
        <f>+$D$41</f>
        <v>FY25 Actual Mills</v>
      </c>
      <c r="D145" s="188" t="str">
        <f>+$E$41</f>
        <v>FY26 Actual $</v>
      </c>
      <c r="E145" s="188" t="str">
        <f>+$F$41</f>
        <v>FY26 Actual Mills</v>
      </c>
      <c r="F145" s="191"/>
      <c r="G145" s="191"/>
      <c r="H145" s="191"/>
      <c r="I145" s="191"/>
      <c r="J145" s="153"/>
      <c r="K145" s="153"/>
      <c r="L145" s="153"/>
      <c r="M145" s="180"/>
      <c r="N145" s="153"/>
      <c r="O145" s="153"/>
      <c r="P145" s="153"/>
      <c r="Q145" s="153"/>
      <c r="R145" s="153"/>
      <c r="S145" s="153"/>
      <c r="T145" s="153"/>
    </row>
    <row r="146" spans="1:20" ht="31.5" x14ac:dyDescent="0.25">
      <c r="A146" s="213" t="s">
        <v>620</v>
      </c>
      <c r="B146" s="230" t="e">
        <f>+C146*$C$31/1000</f>
        <v>#N/A</v>
      </c>
      <c r="C146" s="231" t="e">
        <f>+'CDE Mill Levy Certify Form'!C64</f>
        <v>#N/A</v>
      </c>
      <c r="D146" s="210">
        <f>E141</f>
        <v>0</v>
      </c>
      <c r="E146" s="204">
        <f>D141</f>
        <v>0</v>
      </c>
      <c r="F146" s="191"/>
      <c r="G146" s="191"/>
      <c r="H146" s="191"/>
      <c r="I146" s="191"/>
      <c r="J146" s="153"/>
      <c r="K146" s="153"/>
      <c r="L146" s="153"/>
      <c r="M146" s="180"/>
      <c r="N146" s="153"/>
      <c r="O146" s="153"/>
      <c r="P146" s="153"/>
      <c r="Q146" s="153"/>
      <c r="R146" s="153"/>
      <c r="S146" s="153"/>
      <c r="T146" s="153"/>
    </row>
    <row r="147" spans="1:20" ht="18" customHeight="1" thickBot="1" x14ac:dyDescent="0.3">
      <c r="A147" s="209"/>
      <c r="B147" s="222" t="e">
        <f>SUM(B146)</f>
        <v>#N/A</v>
      </c>
      <c r="C147" s="205" t="e">
        <f>SUM(C146)</f>
        <v>#N/A</v>
      </c>
      <c r="D147" s="222">
        <f>SUM(D146)</f>
        <v>0</v>
      </c>
      <c r="E147" s="205">
        <f>SUM(E146)</f>
        <v>0</v>
      </c>
      <c r="F147" s="191"/>
      <c r="G147" s="191"/>
      <c r="H147" s="191"/>
      <c r="I147" s="191"/>
      <c r="J147" s="153"/>
      <c r="K147" s="153"/>
      <c r="L147" s="153"/>
      <c r="M147" s="180"/>
      <c r="N147" s="153"/>
      <c r="O147" s="153"/>
      <c r="P147" s="153"/>
      <c r="Q147" s="153"/>
      <c r="R147" s="153"/>
      <c r="S147" s="153"/>
      <c r="T147" s="153"/>
    </row>
    <row r="148" spans="1:20" ht="18" customHeight="1" thickTop="1" x14ac:dyDescent="0.25">
      <c r="A148" s="209"/>
      <c r="B148" s="300"/>
      <c r="C148" s="302"/>
      <c r="D148" s="300"/>
      <c r="E148" s="302"/>
      <c r="F148" s="191"/>
      <c r="G148" s="191"/>
      <c r="H148" s="191"/>
      <c r="I148" s="191"/>
      <c r="J148" s="153"/>
      <c r="K148" s="153"/>
      <c r="L148" s="153"/>
      <c r="M148" s="180"/>
      <c r="N148" s="153"/>
      <c r="O148" s="153"/>
      <c r="P148" s="153"/>
      <c r="Q148" s="153"/>
      <c r="R148" s="153"/>
      <c r="S148" s="153"/>
      <c r="T148" s="153"/>
    </row>
    <row r="149" spans="1:20" ht="18" customHeight="1" x14ac:dyDescent="0.25">
      <c r="A149" s="236"/>
      <c r="F149" s="191"/>
      <c r="G149" s="191"/>
      <c r="H149" s="191"/>
      <c r="I149" s="191"/>
      <c r="J149" s="153"/>
      <c r="K149" s="153"/>
      <c r="L149" s="153"/>
      <c r="M149" s="180"/>
      <c r="N149" s="153"/>
      <c r="O149" s="153"/>
      <c r="P149" s="153"/>
      <c r="Q149" s="153"/>
      <c r="R149" s="153"/>
      <c r="S149" s="153"/>
      <c r="T149" s="153"/>
    </row>
    <row r="150" spans="1:20" ht="18" customHeight="1" x14ac:dyDescent="0.35">
      <c r="A150" s="291" t="s">
        <v>657</v>
      </c>
      <c r="B150" s="292" t="s">
        <v>678</v>
      </c>
      <c r="C150" s="292"/>
      <c r="D150" s="292"/>
      <c r="E150" s="292"/>
      <c r="F150" s="292"/>
    </row>
    <row r="151" spans="1:20" ht="18" customHeight="1" x14ac:dyDescent="0.35">
      <c r="A151" s="294"/>
      <c r="B151" s="295"/>
      <c r="C151" s="295"/>
      <c r="D151" s="295"/>
      <c r="E151" s="295"/>
      <c r="F151" s="295"/>
    </row>
    <row r="152" spans="1:20" ht="18" customHeight="1" x14ac:dyDescent="0.35">
      <c r="A152" s="294"/>
      <c r="B152" s="144" t="s">
        <v>622</v>
      </c>
      <c r="C152" s="295"/>
      <c r="D152" s="295"/>
      <c r="E152" s="295"/>
      <c r="F152" s="295"/>
    </row>
    <row r="153" spans="1:20" ht="47.25" x14ac:dyDescent="0.35">
      <c r="A153" s="294"/>
      <c r="B153" s="314" t="s">
        <v>668</v>
      </c>
      <c r="C153" s="315" t="s">
        <v>673</v>
      </c>
      <c r="D153" s="316" t="s">
        <v>685</v>
      </c>
      <c r="E153" s="317" t="s">
        <v>666</v>
      </c>
      <c r="F153" s="295"/>
    </row>
    <row r="154" spans="1:20" ht="33" x14ac:dyDescent="0.35">
      <c r="A154" s="294"/>
      <c r="B154" s="318" t="s">
        <v>668</v>
      </c>
      <c r="C154" s="319" t="s">
        <v>669</v>
      </c>
      <c r="D154" s="319" t="s">
        <v>674</v>
      </c>
      <c r="E154" s="318" t="s">
        <v>679</v>
      </c>
      <c r="F154" s="295"/>
    </row>
    <row r="155" spans="1:20" ht="18" customHeight="1" x14ac:dyDescent="0.35">
      <c r="A155" s="294"/>
      <c r="B155" s="331" t="e">
        <f>+C155/$B$12*1000</f>
        <v>#DIV/0!</v>
      </c>
      <c r="C155" s="344"/>
      <c r="D155" s="345"/>
      <c r="E155" s="332">
        <f>+D155*$B$12/1000</f>
        <v>0</v>
      </c>
      <c r="F155" s="295"/>
    </row>
    <row r="156" spans="1:20" ht="18" customHeight="1" x14ac:dyDescent="0.35">
      <c r="A156" s="294"/>
      <c r="B156" s="412"/>
      <c r="C156" s="413"/>
      <c r="D156" s="418"/>
      <c r="E156" s="415"/>
      <c r="F156" s="295"/>
    </row>
    <row r="157" spans="1:20" ht="18" customHeight="1" x14ac:dyDescent="0.35">
      <c r="A157" s="294"/>
      <c r="B157" s="144" t="s">
        <v>617</v>
      </c>
      <c r="C157" s="295"/>
      <c r="D157" s="295"/>
      <c r="E157" s="295"/>
      <c r="F157" s="295"/>
    </row>
    <row r="158" spans="1:20" ht="18" customHeight="1" x14ac:dyDescent="0.25">
      <c r="A158" s="146"/>
      <c r="B158" s="171" t="str">
        <f>+$C$28</f>
        <v>12/15/2024 Total</v>
      </c>
      <c r="C158" s="171" t="str">
        <f>+$B$75</f>
        <v>12/15/2024 Total</v>
      </c>
      <c r="D158" s="171" t="str">
        <f>+$D$28</f>
        <v>12/15/2025 Total</v>
      </c>
      <c r="E158" s="171" t="str">
        <f>+$D$75</f>
        <v>12/15/2025 Total</v>
      </c>
    </row>
    <row r="159" spans="1:20" ht="15.75" x14ac:dyDescent="0.25">
      <c r="A159" s="146"/>
      <c r="B159" s="188" t="str">
        <f>+$C$41</f>
        <v>FY25 Actual $</v>
      </c>
      <c r="C159" s="188" t="str">
        <f>+$D$41</f>
        <v>FY25 Actual Mills</v>
      </c>
      <c r="D159" s="188" t="str">
        <f>+$E$41</f>
        <v>FY26 Actual $</v>
      </c>
      <c r="E159" s="188" t="str">
        <f>+$F$41</f>
        <v>FY26 Actual Mills</v>
      </c>
    </row>
    <row r="160" spans="1:20" ht="31.5" x14ac:dyDescent="0.2">
      <c r="A160" s="213" t="s">
        <v>620</v>
      </c>
      <c r="B160" s="230" t="e">
        <f>+C160*$C$31/1000</f>
        <v>#N/A</v>
      </c>
      <c r="C160" s="231" t="e">
        <f>+'CDE Mill Levy Certify Form'!C66</f>
        <v>#N/A</v>
      </c>
      <c r="D160" s="210">
        <f>E155</f>
        <v>0</v>
      </c>
      <c r="E160" s="204">
        <f>D155</f>
        <v>0</v>
      </c>
    </row>
    <row r="161" spans="1:6" ht="18" customHeight="1" thickBot="1" x14ac:dyDescent="0.25">
      <c r="A161" s="209"/>
      <c r="B161" s="222" t="e">
        <f>SUM(B160)</f>
        <v>#N/A</v>
      </c>
      <c r="C161" s="205" t="e">
        <f>SUM(C160)</f>
        <v>#N/A</v>
      </c>
      <c r="D161" s="222">
        <f>SUM(D160)</f>
        <v>0</v>
      </c>
      <c r="E161" s="205">
        <f>SUM(E160)</f>
        <v>0</v>
      </c>
    </row>
    <row r="162" spans="1:6" ht="18" customHeight="1" thickTop="1" x14ac:dyDescent="0.25">
      <c r="A162" s="147"/>
      <c r="B162" s="153"/>
      <c r="C162" s="153"/>
      <c r="D162" s="153"/>
      <c r="E162" s="233"/>
    </row>
    <row r="163" spans="1:6" ht="18" customHeight="1" x14ac:dyDescent="0.3">
      <c r="A163" s="176"/>
      <c r="B163" s="153"/>
      <c r="C163" s="153"/>
      <c r="D163" s="153"/>
      <c r="E163" s="153"/>
      <c r="F163" s="153"/>
    </row>
    <row r="164" spans="1:6" ht="18" customHeight="1" thickBot="1" x14ac:dyDescent="0.4">
      <c r="A164" s="291" t="s">
        <v>658</v>
      </c>
      <c r="B164" s="292" t="s">
        <v>6</v>
      </c>
      <c r="C164" s="299"/>
      <c r="D164" s="299"/>
      <c r="E164" s="299"/>
      <c r="F164" s="299"/>
    </row>
    <row r="165" spans="1:6" ht="18" customHeight="1" x14ac:dyDescent="0.25">
      <c r="A165" s="147"/>
      <c r="B165" s="352"/>
      <c r="C165" s="353"/>
      <c r="D165" s="354" t="str">
        <f>+$D$41</f>
        <v>FY25 Actual Mills</v>
      </c>
      <c r="E165" s="354" t="str">
        <f>+$F$41</f>
        <v>FY26 Actual Mills</v>
      </c>
      <c r="F165" s="355" t="s">
        <v>2</v>
      </c>
    </row>
    <row r="166" spans="1:6" ht="18" customHeight="1" x14ac:dyDescent="0.25">
      <c r="A166" s="146"/>
      <c r="B166" s="356"/>
      <c r="C166" s="175" t="s">
        <v>473</v>
      </c>
      <c r="D166" s="357" t="e">
        <f>+C90</f>
        <v>#N/A</v>
      </c>
      <c r="E166" s="357" t="e">
        <f>+E90</f>
        <v>#DIV/0!</v>
      </c>
      <c r="F166" s="358" t="e">
        <f t="shared" ref="F166:F172" si="9">+E166-D166</f>
        <v>#DIV/0!</v>
      </c>
    </row>
    <row r="167" spans="1:6" ht="18" customHeight="1" x14ac:dyDescent="0.3">
      <c r="A167" s="176"/>
      <c r="B167" s="356"/>
      <c r="C167" s="175" t="s">
        <v>474</v>
      </c>
      <c r="D167" s="357" t="e">
        <f>+C105</f>
        <v>#N/A</v>
      </c>
      <c r="E167" s="357">
        <f>+E105</f>
        <v>0</v>
      </c>
      <c r="F167" s="358" t="e">
        <f t="shared" si="9"/>
        <v>#N/A</v>
      </c>
    </row>
    <row r="168" spans="1:6" ht="18" customHeight="1" x14ac:dyDescent="0.25">
      <c r="A168" s="147"/>
      <c r="B168" s="356"/>
      <c r="C168" s="175" t="s">
        <v>471</v>
      </c>
      <c r="D168" s="357" t="e">
        <f>+C119</f>
        <v>#N/A</v>
      </c>
      <c r="E168" s="357">
        <f>+E119</f>
        <v>0</v>
      </c>
      <c r="F168" s="358" t="e">
        <f t="shared" si="9"/>
        <v>#N/A</v>
      </c>
    </row>
    <row r="169" spans="1:6" ht="18" customHeight="1" x14ac:dyDescent="0.25">
      <c r="A169" s="147"/>
      <c r="B169" s="356"/>
      <c r="C169" s="175" t="s">
        <v>475</v>
      </c>
      <c r="D169" s="357" t="e">
        <f>+C133</f>
        <v>#N/A</v>
      </c>
      <c r="E169" s="357">
        <f>+E133</f>
        <v>0</v>
      </c>
      <c r="F169" s="358" t="e">
        <f t="shared" si="9"/>
        <v>#N/A</v>
      </c>
    </row>
    <row r="170" spans="1:6" ht="18" customHeight="1" x14ac:dyDescent="0.25">
      <c r="A170" s="147"/>
      <c r="B170" s="356"/>
      <c r="C170" s="175" t="s">
        <v>651</v>
      </c>
      <c r="D170" s="357" t="e">
        <f>+C147</f>
        <v>#N/A</v>
      </c>
      <c r="E170" s="357">
        <f>+E147</f>
        <v>0</v>
      </c>
      <c r="F170" s="358" t="e">
        <f t="shared" si="9"/>
        <v>#N/A</v>
      </c>
    </row>
    <row r="171" spans="1:6" ht="18" customHeight="1" x14ac:dyDescent="0.25">
      <c r="A171" s="146"/>
      <c r="B171" s="356"/>
      <c r="C171" s="175" t="s">
        <v>77</v>
      </c>
      <c r="D171" s="357" t="e">
        <f>+C161</f>
        <v>#N/A</v>
      </c>
      <c r="E171" s="357">
        <f>+E161</f>
        <v>0</v>
      </c>
      <c r="F171" s="358" t="e">
        <f t="shared" si="9"/>
        <v>#N/A</v>
      </c>
    </row>
    <row r="172" spans="1:6" ht="18" customHeight="1" x14ac:dyDescent="0.25">
      <c r="A172" s="146"/>
      <c r="B172" s="356"/>
      <c r="C172" s="238" t="s">
        <v>477</v>
      </c>
      <c r="D172" s="239" t="e">
        <f>SUM(D166:D171)</f>
        <v>#N/A</v>
      </c>
      <c r="E172" s="239" t="e">
        <f>SUM(E166:E171)</f>
        <v>#DIV/0!</v>
      </c>
      <c r="F172" s="359" t="e">
        <f t="shared" si="9"/>
        <v>#DIV/0!</v>
      </c>
    </row>
    <row r="173" spans="1:6" ht="18" customHeight="1" thickBot="1" x14ac:dyDescent="0.3">
      <c r="A173" s="146"/>
      <c r="B173" s="360"/>
      <c r="C173" s="361" t="s">
        <v>478</v>
      </c>
      <c r="D173" s="362" t="e">
        <f>+D172*C31/1000</f>
        <v>#N/A</v>
      </c>
      <c r="E173" s="362" t="e">
        <f>+E172*D31/1000</f>
        <v>#DIV/0!</v>
      </c>
      <c r="F173" s="363" t="e">
        <f>+E173-D173</f>
        <v>#DIV/0!</v>
      </c>
    </row>
    <row r="174" spans="1:6" ht="18" customHeight="1" x14ac:dyDescent="0.25">
      <c r="A174" s="146"/>
      <c r="B174" s="298"/>
      <c r="C174" s="238"/>
      <c r="D174" s="350"/>
      <c r="E174" s="350"/>
      <c r="F174" s="351"/>
    </row>
    <row r="175" spans="1:6" ht="18" customHeight="1" x14ac:dyDescent="0.25">
      <c r="A175" s="146"/>
      <c r="B175" s="298"/>
      <c r="C175" s="238"/>
      <c r="D175" s="350"/>
      <c r="E175" s="350"/>
      <c r="F175" s="351"/>
    </row>
    <row r="176" spans="1:6" ht="18" customHeight="1" thickBot="1" x14ac:dyDescent="0.4">
      <c r="A176" s="291" t="s">
        <v>659</v>
      </c>
      <c r="B176" s="292" t="s">
        <v>693</v>
      </c>
      <c r="C176" s="299"/>
      <c r="D176" s="299"/>
      <c r="E176" s="299"/>
      <c r="F176" s="299"/>
    </row>
    <row r="177" spans="1:6" ht="18" customHeight="1" x14ac:dyDescent="0.25">
      <c r="A177" s="146"/>
      <c r="B177" s="364"/>
      <c r="C177" s="365"/>
      <c r="D177" s="366"/>
      <c r="E177" s="367" t="s">
        <v>952</v>
      </c>
      <c r="F177" s="368" t="e">
        <f>E172</f>
        <v>#DIV/0!</v>
      </c>
    </row>
    <row r="178" spans="1:6" ht="18" customHeight="1" x14ac:dyDescent="0.25">
      <c r="A178" s="147"/>
      <c r="B178" s="369"/>
      <c r="C178" s="238"/>
      <c r="D178" s="240"/>
      <c r="E178" s="190" t="s">
        <v>953</v>
      </c>
      <c r="F178" s="370">
        <f>E167</f>
        <v>0</v>
      </c>
    </row>
    <row r="179" spans="1:6" ht="18" customHeight="1" x14ac:dyDescent="0.25">
      <c r="A179" s="147"/>
      <c r="B179" s="369"/>
      <c r="C179" s="238"/>
      <c r="D179" s="240"/>
      <c r="E179" s="190" t="s">
        <v>954</v>
      </c>
      <c r="F179" s="370">
        <f>E86</f>
        <v>0</v>
      </c>
    </row>
    <row r="180" spans="1:6" ht="18" customHeight="1" x14ac:dyDescent="0.25">
      <c r="A180" s="147"/>
      <c r="B180" s="356"/>
      <c r="C180" s="238"/>
      <c r="D180" s="240"/>
      <c r="E180" s="190" t="s">
        <v>516</v>
      </c>
      <c r="F180" s="371" t="e">
        <f>(F177-F178-F179)/F177</f>
        <v>#DIV/0!</v>
      </c>
    </row>
    <row r="181" spans="1:6" ht="18" customHeight="1" x14ac:dyDescent="0.25">
      <c r="A181" s="147"/>
      <c r="B181" s="356"/>
      <c r="C181" s="238"/>
      <c r="D181" s="240"/>
      <c r="E181" s="190" t="s">
        <v>691</v>
      </c>
      <c r="F181" s="372">
        <v>0</v>
      </c>
    </row>
    <row r="182" spans="1:6" ht="18" customHeight="1" thickBot="1" x14ac:dyDescent="0.3">
      <c r="A182" s="146"/>
      <c r="B182" s="360"/>
      <c r="C182" s="361"/>
      <c r="D182" s="373"/>
      <c r="E182" s="374" t="s">
        <v>692</v>
      </c>
      <c r="F182" s="375" t="e">
        <f>+F181*F180</f>
        <v>#DIV/0!</v>
      </c>
    </row>
    <row r="183" spans="1:6" ht="18" customHeight="1" x14ac:dyDescent="0.25">
      <c r="A183" s="146"/>
      <c r="B183" s="298"/>
      <c r="C183" s="238"/>
      <c r="D183" s="240"/>
      <c r="E183" s="190"/>
      <c r="F183" s="376"/>
    </row>
    <row r="184" spans="1:6" ht="18" customHeight="1" x14ac:dyDescent="0.25">
      <c r="A184" s="146"/>
      <c r="B184" s="298"/>
      <c r="C184" s="238"/>
      <c r="D184" s="240"/>
      <c r="E184" s="190"/>
      <c r="F184" s="376"/>
    </row>
    <row r="185" spans="1:6" ht="18" customHeight="1" thickBot="1" x14ac:dyDescent="0.4">
      <c r="A185" s="291" t="s">
        <v>660</v>
      </c>
      <c r="B185" s="292" t="s">
        <v>520</v>
      </c>
      <c r="C185" s="299"/>
      <c r="D185" s="299"/>
      <c r="E185" s="299"/>
      <c r="F185" s="299"/>
    </row>
    <row r="186" spans="1:6" ht="18" customHeight="1" x14ac:dyDescent="0.25">
      <c r="A186" s="147"/>
      <c r="B186" s="377"/>
      <c r="C186" s="378"/>
      <c r="D186" s="378"/>
      <c r="E186" s="379" t="s">
        <v>476</v>
      </c>
      <c r="F186" s="380" t="e">
        <f>D90+D119+D133+D147+D161</f>
        <v>#DIV/0!</v>
      </c>
    </row>
    <row r="187" spans="1:6" ht="18" customHeight="1" x14ac:dyDescent="0.25">
      <c r="A187" s="146"/>
      <c r="B187" s="244"/>
      <c r="C187" s="153"/>
      <c r="D187" s="153"/>
      <c r="E187" s="175" t="s">
        <v>7</v>
      </c>
      <c r="F187" s="381">
        <v>2.5000000000000001E-3</v>
      </c>
    </row>
    <row r="188" spans="1:6" ht="18" customHeight="1" thickBot="1" x14ac:dyDescent="0.3">
      <c r="A188" s="147"/>
      <c r="B188" s="382"/>
      <c r="C188" s="383"/>
      <c r="D188" s="383"/>
      <c r="E188" s="384" t="s">
        <v>521</v>
      </c>
      <c r="F188" s="385" t="e">
        <f>ROUND(F187*F186,0)</f>
        <v>#DIV/0!</v>
      </c>
    </row>
    <row r="189" spans="1:6" ht="18" customHeight="1" x14ac:dyDescent="0.25">
      <c r="A189" s="147"/>
      <c r="B189" s="153"/>
      <c r="C189" s="153"/>
      <c r="D189" s="153"/>
      <c r="E189" s="175"/>
      <c r="F189" s="241"/>
    </row>
    <row r="190" spans="1:6" ht="18" customHeight="1" x14ac:dyDescent="0.25">
      <c r="A190" s="147"/>
      <c r="B190" s="153"/>
      <c r="C190" s="153"/>
      <c r="D190" s="153"/>
      <c r="E190" s="153"/>
      <c r="F190" s="153"/>
    </row>
    <row r="191" spans="1:6" ht="18" customHeight="1" thickBot="1" x14ac:dyDescent="0.4">
      <c r="A191" s="291" t="s">
        <v>661</v>
      </c>
      <c r="B191" s="292" t="str">
        <f>+B164</f>
        <v>Total Mill Levy</v>
      </c>
      <c r="C191" s="299"/>
      <c r="D191" s="299"/>
      <c r="E191" s="299"/>
      <c r="F191" s="299"/>
    </row>
    <row r="192" spans="1:6" ht="18" customHeight="1" x14ac:dyDescent="0.25">
      <c r="A192" s="147"/>
      <c r="B192" s="386" t="s">
        <v>25</v>
      </c>
      <c r="C192" s="387"/>
      <c r="D192" s="387"/>
      <c r="E192" s="387"/>
      <c r="F192" s="388"/>
    </row>
    <row r="193" spans="1:6" ht="18" customHeight="1" x14ac:dyDescent="0.25">
      <c r="A193" s="146"/>
      <c r="B193" s="262"/>
      <c r="F193" s="261"/>
    </row>
    <row r="194" spans="1:6" ht="18" customHeight="1" x14ac:dyDescent="0.25">
      <c r="A194" s="147"/>
      <c r="B194" s="242" t="s">
        <v>8</v>
      </c>
      <c r="C194" s="195"/>
      <c r="D194" s="188" t="str">
        <f>+$D$41</f>
        <v>FY25 Actual Mills</v>
      </c>
      <c r="E194" s="188" t="str">
        <f>+$F$41</f>
        <v>FY26 Actual Mills</v>
      </c>
      <c r="F194" s="389" t="s">
        <v>2</v>
      </c>
    </row>
    <row r="195" spans="1:6" ht="18" customHeight="1" x14ac:dyDescent="0.25">
      <c r="A195" s="147"/>
      <c r="B195" s="243" t="s">
        <v>9</v>
      </c>
      <c r="C195" s="153"/>
      <c r="D195" s="390">
        <v>100000</v>
      </c>
      <c r="E195" s="390">
        <v>100000</v>
      </c>
      <c r="F195" s="391">
        <f>+E195-D195</f>
        <v>0</v>
      </c>
    </row>
    <row r="196" spans="1:6" ht="18" customHeight="1" x14ac:dyDescent="0.25">
      <c r="A196" s="147"/>
      <c r="B196" s="243" t="s">
        <v>10</v>
      </c>
      <c r="C196" s="153"/>
      <c r="D196" s="392">
        <v>6.7000000000000004E-2</v>
      </c>
      <c r="E196" s="392">
        <v>7.0499999999999993E-2</v>
      </c>
      <c r="F196" s="393">
        <f>+E196-D196</f>
        <v>3.4999999999999892E-3</v>
      </c>
    </row>
    <row r="197" spans="1:6" ht="18" customHeight="1" x14ac:dyDescent="0.25">
      <c r="A197" s="147"/>
      <c r="B197" s="243" t="s">
        <v>11</v>
      </c>
      <c r="C197" s="153"/>
      <c r="D197" s="390">
        <f>+D196*D195</f>
        <v>6700</v>
      </c>
      <c r="E197" s="390">
        <f>+E196*E195</f>
        <v>7049.9999999999991</v>
      </c>
      <c r="F197" s="394">
        <f>+E197-D197</f>
        <v>349.99999999999909</v>
      </c>
    </row>
    <row r="198" spans="1:6" ht="18" customHeight="1" x14ac:dyDescent="0.25">
      <c r="A198" s="147"/>
      <c r="B198" s="243" t="s">
        <v>12</v>
      </c>
      <c r="C198" s="153"/>
      <c r="D198" s="395" t="e">
        <f>+D172</f>
        <v>#N/A</v>
      </c>
      <c r="E198" s="395" t="e">
        <f>+E172</f>
        <v>#DIV/0!</v>
      </c>
      <c r="F198" s="370" t="e">
        <f>+E198-D198</f>
        <v>#DIV/0!</v>
      </c>
    </row>
    <row r="199" spans="1:6" ht="18" customHeight="1" x14ac:dyDescent="0.3">
      <c r="A199" s="146"/>
      <c r="B199" s="244"/>
      <c r="C199" s="234" t="s">
        <v>494</v>
      </c>
      <c r="D199" s="426" t="e">
        <f>ROUND(+D197*D198/1000,2)</f>
        <v>#N/A</v>
      </c>
      <c r="E199" s="426" t="e">
        <f>ROUND(+E197*E198/1000,2)</f>
        <v>#DIV/0!</v>
      </c>
      <c r="F199" s="427" t="e">
        <f>+E199-D199</f>
        <v>#DIV/0!</v>
      </c>
    </row>
    <row r="200" spans="1:6" ht="18" customHeight="1" x14ac:dyDescent="0.25">
      <c r="A200" s="147"/>
      <c r="B200" s="245"/>
      <c r="C200" s="153"/>
      <c r="D200" s="396"/>
      <c r="E200" s="396"/>
      <c r="F200" s="397"/>
    </row>
    <row r="201" spans="1:6" ht="18" customHeight="1" x14ac:dyDescent="0.25">
      <c r="A201" s="147"/>
      <c r="B201" s="242" t="s">
        <v>13</v>
      </c>
      <c r="C201" s="195"/>
      <c r="D201" s="188" t="str">
        <f>+$D$41</f>
        <v>FY25 Actual Mills</v>
      </c>
      <c r="E201" s="188" t="str">
        <f>+$F$41</f>
        <v>FY26 Actual Mills</v>
      </c>
      <c r="F201" s="389" t="s">
        <v>2</v>
      </c>
    </row>
    <row r="202" spans="1:6" ht="18" customHeight="1" x14ac:dyDescent="0.25">
      <c r="A202" s="147"/>
      <c r="B202" s="243" t="s">
        <v>9</v>
      </c>
      <c r="C202" s="153"/>
      <c r="D202" s="390">
        <f>+D195</f>
        <v>100000</v>
      </c>
      <c r="E202" s="390">
        <f>+E195</f>
        <v>100000</v>
      </c>
      <c r="F202" s="391">
        <f>+E202-D202</f>
        <v>0</v>
      </c>
    </row>
    <row r="203" spans="1:6" ht="18" customHeight="1" x14ac:dyDescent="0.25">
      <c r="A203" s="147"/>
      <c r="B203" s="243" t="s">
        <v>10</v>
      </c>
      <c r="C203" s="153"/>
      <c r="D203" s="392">
        <v>0.27900000000000003</v>
      </c>
      <c r="E203" s="392">
        <v>0.27</v>
      </c>
      <c r="F203" s="398">
        <f>+E203-D203</f>
        <v>-9.000000000000008E-3</v>
      </c>
    </row>
    <row r="204" spans="1:6" ht="18" customHeight="1" x14ac:dyDescent="0.25">
      <c r="A204" s="147"/>
      <c r="B204" s="243" t="s">
        <v>11</v>
      </c>
      <c r="C204" s="153"/>
      <c r="D204" s="390">
        <f>+D203*D202</f>
        <v>27900.000000000004</v>
      </c>
      <c r="E204" s="390">
        <f>+E203*E202</f>
        <v>27000</v>
      </c>
      <c r="F204" s="399">
        <f>+E204-D204</f>
        <v>-900.00000000000364</v>
      </c>
    </row>
    <row r="205" spans="1:6" ht="18" customHeight="1" x14ac:dyDescent="0.25">
      <c r="A205" s="147"/>
      <c r="B205" s="243" t="s">
        <v>12</v>
      </c>
      <c r="C205" s="153"/>
      <c r="D205" s="357" t="e">
        <f>+D172</f>
        <v>#N/A</v>
      </c>
      <c r="E205" s="357" t="e">
        <f>+E172</f>
        <v>#DIV/0!</v>
      </c>
      <c r="F205" s="358" t="e">
        <f>+E205-D205</f>
        <v>#DIV/0!</v>
      </c>
    </row>
    <row r="206" spans="1:6" ht="18" customHeight="1" thickBot="1" x14ac:dyDescent="0.35">
      <c r="A206" s="147"/>
      <c r="B206" s="247"/>
      <c r="C206" s="248" t="s">
        <v>17</v>
      </c>
      <c r="D206" s="249" t="e">
        <f>ROUND(+D204*D205/1000,2)</f>
        <v>#N/A</v>
      </c>
      <c r="E206" s="249" t="e">
        <f>ROUND(+E204*E205/1000,2)</f>
        <v>#DIV/0!</v>
      </c>
      <c r="F206" s="400" t="e">
        <f>+E206-D206</f>
        <v>#DIV/0!</v>
      </c>
    </row>
    <row r="207" spans="1:6" ht="18" customHeight="1" x14ac:dyDescent="0.25">
      <c r="A207" s="147"/>
      <c r="B207" s="250" t="s">
        <v>955</v>
      </c>
      <c r="C207" s="195"/>
      <c r="D207" s="195"/>
      <c r="E207" s="401"/>
      <c r="F207" s="402"/>
    </row>
    <row r="208" spans="1:6" ht="18" customHeight="1" thickBot="1" x14ac:dyDescent="0.3">
      <c r="A208" s="147"/>
      <c r="B208" s="251" t="s">
        <v>694</v>
      </c>
      <c r="C208" s="252"/>
      <c r="D208" s="252"/>
      <c r="E208" s="253"/>
      <c r="F208" s="403"/>
    </row>
    <row r="209" spans="1:1" ht="18" customHeight="1" x14ac:dyDescent="0.25">
      <c r="A209" s="147"/>
    </row>
    <row r="210" spans="1:1" ht="18" customHeight="1" x14ac:dyDescent="0.25">
      <c r="A210" s="147"/>
    </row>
    <row r="211" spans="1:1" ht="18" customHeight="1" x14ac:dyDescent="0.25">
      <c r="A211" s="147"/>
    </row>
    <row r="212" spans="1:1" ht="18" customHeight="1" x14ac:dyDescent="0.25">
      <c r="A212" s="147"/>
    </row>
  </sheetData>
  <sheetProtection algorithmName="SHA-512" hashValue="hB2kzmaACFTPFBNk1R1t338H7UIfBKSS/xdOm3d7EJfg5VENOPvoIaAOLkgciNX+pW1XbkXLjFLcMy7BixA2fg==" saltValue="9DCSth2Yvmyd1LHwO/u9Hg==" spinCount="100000" sheet="1" objects="1" scenarios="1"/>
  <phoneticPr fontId="50" type="noConversion"/>
  <pageMargins left="0.25" right="0.25" top="0.75" bottom="0.75" header="0.3" footer="0.3"/>
  <pageSetup scale="56" fitToHeight="0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ED46-6127-43E4-BF4C-FC1C1C1040CA}">
  <sheetPr>
    <pageSetUpPr fitToPage="1"/>
  </sheetPr>
  <dimension ref="A1:H82"/>
  <sheetViews>
    <sheetView topLeftCell="A13" zoomScale="86" workbookViewId="0">
      <selection activeCell="B27" sqref="B27"/>
    </sheetView>
  </sheetViews>
  <sheetFormatPr defaultColWidth="8.625" defaultRowHeight="15" x14ac:dyDescent="0.2"/>
  <cols>
    <col min="1" max="2" width="40.75" style="2" customWidth="1"/>
    <col min="3" max="5" width="28.75" style="1" customWidth="1"/>
    <col min="6" max="6" width="33.375" style="2" customWidth="1"/>
    <col min="7" max="7" width="18.375" style="2" customWidth="1"/>
    <col min="8" max="8" width="97.125" style="18" customWidth="1"/>
    <col min="9" max="16384" width="8.625" style="2"/>
  </cols>
  <sheetData>
    <row r="1" spans="1:8" s="87" customFormat="1" ht="18" x14ac:dyDescent="0.25">
      <c r="A1" s="520" t="s">
        <v>696</v>
      </c>
      <c r="B1" s="520"/>
      <c r="C1" s="520"/>
      <c r="D1" s="520"/>
      <c r="E1" s="520"/>
      <c r="F1" s="520"/>
      <c r="G1" s="521"/>
    </row>
    <row r="2" spans="1:8" s="87" customFormat="1" ht="18" x14ac:dyDescent="0.25">
      <c r="A2" s="520" t="s">
        <v>878</v>
      </c>
      <c r="B2" s="520"/>
      <c r="C2" s="520"/>
      <c r="D2" s="520"/>
      <c r="E2" s="520"/>
      <c r="F2" s="520"/>
      <c r="G2" s="521"/>
    </row>
    <row r="3" spans="1:8" s="87" customFormat="1" ht="18" x14ac:dyDescent="0.25">
      <c r="A3" s="520" t="s">
        <v>697</v>
      </c>
      <c r="B3" s="520"/>
      <c r="C3" s="520"/>
      <c r="D3" s="520"/>
      <c r="E3" s="520"/>
      <c r="F3" s="520"/>
      <c r="G3" s="521"/>
    </row>
    <row r="4" spans="1:8" s="87" customFormat="1" ht="18.75" x14ac:dyDescent="0.25">
      <c r="A4" s="522" t="s">
        <v>698</v>
      </c>
      <c r="B4" s="522"/>
      <c r="C4" s="522"/>
      <c r="D4" s="522"/>
      <c r="E4" s="522"/>
      <c r="F4" s="522"/>
      <c r="G4" s="521"/>
    </row>
    <row r="5" spans="1:8" s="87" customFormat="1" ht="18.75" x14ac:dyDescent="0.25">
      <c r="A5" s="522" t="s">
        <v>699</v>
      </c>
      <c r="B5" s="523"/>
      <c r="C5" s="523"/>
      <c r="D5" s="523"/>
      <c r="E5" s="523"/>
      <c r="F5" s="523"/>
      <c r="G5" s="521"/>
    </row>
    <row r="6" spans="1:8" s="87" customFormat="1" ht="18.75" thickBot="1" x14ac:dyDescent="0.3">
      <c r="A6" s="523"/>
      <c r="B6" s="523"/>
      <c r="C6" s="523"/>
      <c r="D6" s="523"/>
      <c r="E6" s="523"/>
      <c r="F6" s="523"/>
      <c r="G6" s="521"/>
    </row>
    <row r="7" spans="1:8" ht="18" x14ac:dyDescent="0.25">
      <c r="A7" s="85" t="s">
        <v>506</v>
      </c>
      <c r="B7" s="504" t="s">
        <v>22</v>
      </c>
      <c r="C7" s="86"/>
      <c r="D7" s="86" t="s">
        <v>579</v>
      </c>
      <c r="E7" s="134"/>
      <c r="G7" s="18"/>
      <c r="H7" s="2"/>
    </row>
    <row r="8" spans="1:8" ht="18.75" thickBot="1" x14ac:dyDescent="0.3">
      <c r="A8" s="87"/>
      <c r="B8" s="505" t="s">
        <v>560</v>
      </c>
      <c r="C8" s="86"/>
      <c r="D8" s="86" t="s">
        <v>57</v>
      </c>
      <c r="E8" s="135"/>
      <c r="G8" s="18"/>
      <c r="H8" s="2"/>
    </row>
    <row r="9" spans="1:8" x14ac:dyDescent="0.2">
      <c r="B9" s="6"/>
      <c r="E9" s="2"/>
      <c r="G9" s="18"/>
      <c r="H9" s="2"/>
    </row>
    <row r="10" spans="1:8" ht="23.1" customHeight="1" x14ac:dyDescent="0.2">
      <c r="A10" s="609" t="s">
        <v>585</v>
      </c>
      <c r="B10" s="609"/>
      <c r="C10" s="609"/>
      <c r="D10" s="609"/>
      <c r="E10" s="609"/>
      <c r="F10" s="609"/>
      <c r="H10" s="506" t="s">
        <v>29</v>
      </c>
    </row>
    <row r="11" spans="1:8" ht="63" x14ac:dyDescent="0.25">
      <c r="B11" s="524"/>
      <c r="C11" s="525" t="s">
        <v>493</v>
      </c>
      <c r="D11" s="524"/>
      <c r="E11" s="524"/>
      <c r="F11" s="524"/>
      <c r="G11" s="507" t="s">
        <v>536</v>
      </c>
      <c r="H11" s="508"/>
    </row>
    <row r="13" spans="1:8" ht="18" x14ac:dyDescent="0.25">
      <c r="F13" s="509">
        <f>+'Calculation Worksheet'!C1</f>
        <v>0</v>
      </c>
      <c r="G13" s="510" t="s">
        <v>545</v>
      </c>
      <c r="H13" s="511"/>
    </row>
    <row r="14" spans="1:8" ht="15.75" x14ac:dyDescent="0.25">
      <c r="A14" s="18" t="s">
        <v>514</v>
      </c>
      <c r="B14" s="19"/>
      <c r="C14" s="19" t="s">
        <v>27</v>
      </c>
      <c r="D14" s="19"/>
      <c r="E14" s="19"/>
      <c r="F14" s="19"/>
      <c r="G14" s="1"/>
    </row>
    <row r="15" spans="1:8" x14ac:dyDescent="0.2">
      <c r="A15" s="20" t="e">
        <f>VLOOKUP($F$13,'Data FY24-25 Final'!$A$2:$Z$180,2,FALSE)</f>
        <v>#N/A</v>
      </c>
      <c r="B15" s="18"/>
      <c r="C15" s="18" t="s">
        <v>584</v>
      </c>
      <c r="D15" s="18"/>
      <c r="E15" s="18"/>
      <c r="F15" s="18"/>
      <c r="H15" s="2"/>
    </row>
    <row r="16" spans="1:8" ht="21.6" customHeight="1" x14ac:dyDescent="0.25">
      <c r="A16" s="18" t="s">
        <v>479</v>
      </c>
      <c r="B16" s="18"/>
      <c r="C16" s="526" t="s">
        <v>505</v>
      </c>
      <c r="D16" s="526"/>
      <c r="E16" s="526" t="s">
        <v>508</v>
      </c>
      <c r="F16" s="526"/>
      <c r="H16" s="2"/>
    </row>
    <row r="17" spans="1:8" ht="47.25" x14ac:dyDescent="0.25">
      <c r="A17" s="20" t="e">
        <f>VLOOKUP($F$13,'Data FY24-25 Final'!$A$2:$Z$180,3,FALSE)</f>
        <v>#N/A</v>
      </c>
      <c r="B17" s="18"/>
      <c r="C17" s="18"/>
      <c r="D17" s="21"/>
      <c r="E17" s="17" t="s">
        <v>561</v>
      </c>
      <c r="F17" s="18"/>
    </row>
    <row r="18" spans="1:8" s="1" customFormat="1" ht="63" x14ac:dyDescent="0.25">
      <c r="A18" s="21"/>
      <c r="B18" s="21"/>
      <c r="C18" s="22" t="s">
        <v>507</v>
      </c>
      <c r="D18" s="22" t="s">
        <v>30</v>
      </c>
      <c r="E18" s="23" t="s">
        <v>31</v>
      </c>
      <c r="F18" s="23" t="s">
        <v>32</v>
      </c>
      <c r="G18" s="507" t="s">
        <v>536</v>
      </c>
      <c r="H18" s="34"/>
    </row>
    <row r="19" spans="1:8" s="1" customFormat="1" ht="15.75" x14ac:dyDescent="0.25">
      <c r="A19" s="21" t="s">
        <v>33</v>
      </c>
      <c r="B19" s="21"/>
      <c r="C19" s="24">
        <v>45641</v>
      </c>
      <c r="D19" s="24">
        <v>45894</v>
      </c>
      <c r="E19" s="25" t="s">
        <v>695</v>
      </c>
      <c r="F19" s="25" t="str">
        <f>E19</f>
        <v>December 15, 2025</v>
      </c>
      <c r="H19" s="62"/>
    </row>
    <row r="20" spans="1:8" s="1" customFormat="1" ht="15.75" x14ac:dyDescent="0.2">
      <c r="A20" s="21"/>
      <c r="B20" s="21"/>
      <c r="C20" s="26"/>
      <c r="D20" s="26"/>
      <c r="E20" s="27"/>
      <c r="F20" s="28"/>
      <c r="H20" s="512"/>
    </row>
    <row r="21" spans="1:8" ht="15.75" x14ac:dyDescent="0.25">
      <c r="A21" s="29" t="s">
        <v>0</v>
      </c>
      <c r="B21" s="30" t="s">
        <v>542</v>
      </c>
      <c r="C21" s="31"/>
      <c r="D21" s="31"/>
      <c r="E21" s="32"/>
      <c r="F21" s="33"/>
    </row>
    <row r="22" spans="1:8" ht="18" x14ac:dyDescent="0.25">
      <c r="A22" s="34" t="s">
        <v>34</v>
      </c>
      <c r="B22" s="35" t="s">
        <v>543</v>
      </c>
      <c r="C22" s="89" t="e">
        <f>VLOOKUP($F$13,'Data FY24-25 Final'!$A$2:$Z$180,4,FALSE)</f>
        <v>#N/A</v>
      </c>
      <c r="D22" s="89" t="e">
        <f>VLOOKUP($F$13,'Data Aug 2025 AV'!$A$4:$Z$181,4,FALSE)</f>
        <v>#N/A</v>
      </c>
      <c r="E22" s="591">
        <f>+'Calculation Worksheet'!D29</f>
        <v>0</v>
      </c>
      <c r="F22" s="54"/>
      <c r="G22" s="510" t="s">
        <v>923</v>
      </c>
      <c r="H22" s="18" t="s">
        <v>552</v>
      </c>
    </row>
    <row r="23" spans="1:8" ht="18" x14ac:dyDescent="0.25">
      <c r="A23" s="34"/>
      <c r="B23" s="35"/>
      <c r="C23" s="36"/>
      <c r="D23" s="38"/>
      <c r="E23" s="37"/>
      <c r="F23" s="33"/>
      <c r="G23" s="510"/>
      <c r="H23" s="18" t="s">
        <v>526</v>
      </c>
    </row>
    <row r="24" spans="1:8" ht="18" x14ac:dyDescent="0.25">
      <c r="A24" s="34" t="s">
        <v>35</v>
      </c>
      <c r="B24" s="39" t="s">
        <v>544</v>
      </c>
      <c r="C24" s="89" t="e">
        <f>VLOOKUP($F$13,'Data FY24-25 Final'!$A$2:$Z$180,5,FALSE)</f>
        <v>#N/A</v>
      </c>
      <c r="D24" s="89" t="e">
        <f>VLOOKUP($F$13,'Data Aug 2025 AV'!$A$4:$Z$181,5,FALSE)</f>
        <v>#N/A</v>
      </c>
      <c r="E24" s="54">
        <f>+'Calculation Worksheet'!D30</f>
        <v>0</v>
      </c>
      <c r="F24" s="54"/>
      <c r="G24" s="510" t="s">
        <v>924</v>
      </c>
      <c r="H24" s="18" t="s">
        <v>533</v>
      </c>
    </row>
    <row r="25" spans="1:8" ht="18" x14ac:dyDescent="0.25">
      <c r="A25" s="34"/>
      <c r="B25" s="35"/>
      <c r="C25" s="36"/>
      <c r="D25" s="38"/>
      <c r="E25" s="37"/>
      <c r="F25" s="33"/>
      <c r="G25" s="510"/>
    </row>
    <row r="26" spans="1:8" ht="18" x14ac:dyDescent="0.25">
      <c r="A26" s="34" t="s">
        <v>36</v>
      </c>
      <c r="B26" s="35" t="s">
        <v>543</v>
      </c>
      <c r="C26" s="89" t="e">
        <f>VLOOKUP($F$13,'Data FY24-25 Final'!$A$2:$Z$180,6,FALSE)</f>
        <v>#N/A</v>
      </c>
      <c r="D26" s="89" t="e">
        <f>VLOOKUP($F$13,'Data Aug 2025 AV'!$A$4:$Z$181,6,FALSE)</f>
        <v>#N/A</v>
      </c>
      <c r="E26" s="591">
        <f>+'Calculation Worksheet'!D31</f>
        <v>0</v>
      </c>
      <c r="F26" s="54"/>
      <c r="G26" s="510" t="s">
        <v>922</v>
      </c>
      <c r="H26" s="18" t="s">
        <v>37</v>
      </c>
    </row>
    <row r="27" spans="1:8" ht="18" x14ac:dyDescent="0.25">
      <c r="A27" s="34"/>
      <c r="B27" s="18"/>
      <c r="C27" s="40"/>
      <c r="D27" s="41"/>
      <c r="E27" s="42"/>
      <c r="F27" s="33"/>
      <c r="G27" s="510"/>
    </row>
    <row r="28" spans="1:8" ht="18" x14ac:dyDescent="0.25">
      <c r="A28" s="34" t="s">
        <v>1</v>
      </c>
      <c r="B28" s="35" t="s">
        <v>543</v>
      </c>
      <c r="C28" s="89" t="e">
        <f>VLOOKUP($F$13,'Data FY24-25 Final'!$A$2:$Z$180,7,FALSE)</f>
        <v>#N/A</v>
      </c>
      <c r="D28" s="89" t="e">
        <f>VLOOKUP($F$13,'Data Aug 2025 AV'!$A$4:$Z$181,7,FALSE)</f>
        <v>#N/A</v>
      </c>
      <c r="E28" s="591">
        <f>+'Calculation Worksheet'!D35</f>
        <v>0</v>
      </c>
      <c r="F28" s="54"/>
      <c r="G28" s="510" t="s">
        <v>925</v>
      </c>
      <c r="H28" s="18" t="s">
        <v>553</v>
      </c>
    </row>
    <row r="29" spans="1:8" ht="18" x14ac:dyDescent="0.25">
      <c r="A29" s="34" t="s">
        <v>38</v>
      </c>
      <c r="B29" s="18"/>
      <c r="C29" s="43"/>
      <c r="D29" s="31"/>
      <c r="E29" s="32"/>
      <c r="F29" s="33"/>
      <c r="G29" s="510"/>
      <c r="H29" s="18" t="s">
        <v>39</v>
      </c>
    </row>
    <row r="30" spans="1:8" ht="18" x14ac:dyDescent="0.25">
      <c r="A30" s="34"/>
      <c r="B30" s="18"/>
      <c r="C30" s="43"/>
      <c r="D30" s="44"/>
      <c r="E30" s="32"/>
      <c r="F30" s="33"/>
      <c r="G30" s="510"/>
    </row>
    <row r="31" spans="1:8" ht="18" x14ac:dyDescent="0.25">
      <c r="A31" s="34" t="s">
        <v>40</v>
      </c>
      <c r="B31" s="45" t="s">
        <v>929</v>
      </c>
      <c r="C31" s="90" t="e">
        <f>VLOOKUP($F$13,'Data FY24-25 Final'!$A$2:$Z$180,8,FALSE)</f>
        <v>#N/A</v>
      </c>
      <c r="D31" s="90" t="e">
        <f>VLOOKUP($F$13,'Data Aug 2025 AV'!$A$4:$Z$181,8,FALSE)</f>
        <v>#N/A</v>
      </c>
      <c r="E31" s="90" t="e">
        <f>VLOOKUP($F$13,'Data Aug 2025 AV'!$A$4:$Z$181,8,FALSE)</f>
        <v>#N/A</v>
      </c>
      <c r="F31" s="54"/>
      <c r="G31" s="513" t="s">
        <v>548</v>
      </c>
      <c r="H31" s="18" t="s">
        <v>563</v>
      </c>
    </row>
    <row r="32" spans="1:8" ht="18" x14ac:dyDescent="0.25">
      <c r="A32" s="34"/>
      <c r="B32" s="46"/>
      <c r="C32" s="36"/>
      <c r="D32" s="47"/>
      <c r="E32" s="47"/>
      <c r="F32" s="33"/>
      <c r="G32" s="510"/>
    </row>
    <row r="33" spans="1:8" ht="18" x14ac:dyDescent="0.25">
      <c r="A33" s="34" t="s">
        <v>41</v>
      </c>
      <c r="B33" s="45" t="s">
        <v>929</v>
      </c>
      <c r="C33" s="90" t="e">
        <f>VLOOKUP($F$13,'Data FY24-25 Final'!$A$2:$Z$180,9,FALSE)</f>
        <v>#N/A</v>
      </c>
      <c r="D33" s="90" t="e">
        <f>VLOOKUP($F$13,'Data Aug 2025 AV'!$A$4:$Z$181,9,FALSE)</f>
        <v>#N/A</v>
      </c>
      <c r="E33" s="90" t="e">
        <f>VLOOKUP($F$13,'Data Aug 2025 AV'!$A$4:$Z$181,9,FALSE)</f>
        <v>#N/A</v>
      </c>
      <c r="F33" s="54"/>
      <c r="G33" s="513" t="s">
        <v>548</v>
      </c>
      <c r="H33" s="18" t="s">
        <v>42</v>
      </c>
    </row>
    <row r="34" spans="1:8" ht="18" x14ac:dyDescent="0.25">
      <c r="A34" s="34"/>
      <c r="B34" s="46"/>
      <c r="C34" s="36"/>
      <c r="D34" s="47"/>
      <c r="E34" s="47"/>
      <c r="F34" s="33"/>
      <c r="G34" s="510"/>
      <c r="H34" s="18" t="s">
        <v>43</v>
      </c>
    </row>
    <row r="35" spans="1:8" ht="14.45" customHeight="1" x14ac:dyDescent="0.25">
      <c r="A35" s="552" t="s">
        <v>44</v>
      </c>
      <c r="B35" s="45" t="s">
        <v>929</v>
      </c>
      <c r="C35" s="90" t="e">
        <f t="shared" ref="C35:D35" si="0">C31-C33</f>
        <v>#N/A</v>
      </c>
      <c r="D35" s="90" t="e">
        <f t="shared" si="0"/>
        <v>#N/A</v>
      </c>
      <c r="E35" s="90" t="e">
        <f>ROUND(E31-E33,3)</f>
        <v>#N/A</v>
      </c>
      <c r="F35" s="591" t="e">
        <f>ROUND(+E35*E26/1000,2)</f>
        <v>#N/A</v>
      </c>
      <c r="G35" s="513" t="s">
        <v>548</v>
      </c>
      <c r="H35" s="549" t="s">
        <v>45</v>
      </c>
    </row>
    <row r="36" spans="1:8" ht="18" x14ac:dyDescent="0.25">
      <c r="A36" s="551" t="s">
        <v>944</v>
      </c>
      <c r="B36" s="18"/>
      <c r="C36" s="47"/>
      <c r="D36" s="47"/>
      <c r="E36" s="47"/>
      <c r="F36" s="587"/>
      <c r="G36" s="510"/>
      <c r="H36" s="549"/>
    </row>
    <row r="37" spans="1:8" ht="18" x14ac:dyDescent="0.25">
      <c r="A37" s="48"/>
      <c r="B37" s="18"/>
      <c r="C37" s="47"/>
      <c r="D37" s="47"/>
      <c r="E37" s="47"/>
      <c r="F37" s="587"/>
      <c r="G37" s="510"/>
      <c r="H37" s="514"/>
    </row>
    <row r="38" spans="1:8" ht="30.75" x14ac:dyDescent="0.25">
      <c r="A38" s="34" t="s">
        <v>46</v>
      </c>
      <c r="B38" s="49" t="s">
        <v>558</v>
      </c>
      <c r="C38" s="94" t="e">
        <f>VLOOKUP($F$13,'Data FY24-25 Final'!$A$2:$Z$180,11,FALSE)</f>
        <v>#N/A</v>
      </c>
      <c r="D38" s="94" t="e">
        <f>VLOOKUP($F$13,'Data Aug 2025 AV'!$A$4:$Z$181,11,FALSE)</f>
        <v>#N/A</v>
      </c>
      <c r="E38" s="95">
        <f>ROUND(+'Calculation Worksheet'!F46,3)</f>
        <v>0</v>
      </c>
      <c r="F38" s="588">
        <f>ROUND(($E$26*E38)/1000,2)</f>
        <v>0</v>
      </c>
      <c r="G38" s="510" t="s">
        <v>926</v>
      </c>
      <c r="H38" s="514" t="s">
        <v>554</v>
      </c>
    </row>
    <row r="39" spans="1:8" ht="18" x14ac:dyDescent="0.25">
      <c r="A39" s="34"/>
      <c r="B39" s="50"/>
      <c r="C39" s="95"/>
      <c r="D39" s="95"/>
      <c r="E39" s="95"/>
      <c r="F39" s="588"/>
      <c r="G39" s="510"/>
    </row>
    <row r="40" spans="1:8" ht="30" customHeight="1" x14ac:dyDescent="0.25">
      <c r="A40" s="34" t="s">
        <v>928</v>
      </c>
      <c r="B40" s="49" t="s">
        <v>558</v>
      </c>
      <c r="C40" s="94" t="e">
        <f>VLOOKUP($F$13,'Data FY24-25 Final'!$A$2:$Z$180,12,FALSE)</f>
        <v>#N/A</v>
      </c>
      <c r="D40" s="94" t="e">
        <f>VLOOKUP($F$13,'Data Aug 2025 AV'!$A$4:$Z$181,12,FALSE)</f>
        <v>#N/A</v>
      </c>
      <c r="E40" s="95">
        <f>ROUND(+'Calculation Worksheet'!F47,3)</f>
        <v>0</v>
      </c>
      <c r="F40" s="588">
        <f>($E$26*E40)/1000</f>
        <v>0</v>
      </c>
      <c r="G40" s="510" t="s">
        <v>927</v>
      </c>
      <c r="H40" s="62" t="s">
        <v>554</v>
      </c>
    </row>
    <row r="41" spans="1:8" ht="18" x14ac:dyDescent="0.25">
      <c r="A41" s="34"/>
      <c r="B41" s="18"/>
      <c r="C41" s="95"/>
      <c r="D41" s="95"/>
      <c r="E41" s="95"/>
      <c r="F41" s="588"/>
      <c r="G41" s="510"/>
      <c r="H41" s="62"/>
    </row>
    <row r="42" spans="1:8" ht="17.100000000000001" customHeight="1" x14ac:dyDescent="0.25">
      <c r="A42" s="51" t="s">
        <v>47</v>
      </c>
      <c r="B42" s="29"/>
      <c r="C42" s="52" t="e">
        <f t="shared" ref="C42" si="1">C35-(C38+C40)</f>
        <v>#N/A</v>
      </c>
      <c r="D42" s="52" t="e">
        <f>D35-(D38+D40)</f>
        <v>#N/A</v>
      </c>
      <c r="E42" s="52" t="e">
        <f>E35-(E38+E40)</f>
        <v>#N/A</v>
      </c>
      <c r="F42" s="594" t="e">
        <f>ROUND(F35-(F38+F40),2)</f>
        <v>#N/A</v>
      </c>
      <c r="G42" s="510" t="s">
        <v>930</v>
      </c>
      <c r="H42" s="515"/>
    </row>
    <row r="43" spans="1:8" ht="14.1" customHeight="1" thickBot="1" x14ac:dyDescent="0.3">
      <c r="A43" s="34"/>
      <c r="B43" s="18"/>
      <c r="C43" s="47"/>
      <c r="D43" s="47"/>
      <c r="E43" s="47"/>
      <c r="F43" s="595"/>
      <c r="G43" s="510"/>
      <c r="H43" s="515"/>
    </row>
    <row r="44" spans="1:8" ht="35.450000000000003" customHeight="1" x14ac:dyDescent="0.25">
      <c r="A44" s="34" t="s">
        <v>48</v>
      </c>
      <c r="B44" s="18"/>
      <c r="C44" s="47"/>
      <c r="D44" s="47"/>
      <c r="E44" s="47"/>
      <c r="F44" s="595"/>
      <c r="G44" s="510"/>
      <c r="H44" s="516" t="s">
        <v>49</v>
      </c>
    </row>
    <row r="45" spans="1:8" ht="14.1" customHeight="1" x14ac:dyDescent="0.25">
      <c r="A45" s="34"/>
      <c r="B45" s="18"/>
      <c r="C45" s="47"/>
      <c r="D45" s="47"/>
      <c r="E45" s="47"/>
      <c r="F45" s="595"/>
      <c r="G45" s="510"/>
      <c r="H45" s="517"/>
    </row>
    <row r="46" spans="1:8" ht="14.1" customHeight="1" x14ac:dyDescent="0.25">
      <c r="A46" s="34" t="s">
        <v>500</v>
      </c>
      <c r="B46" s="53"/>
      <c r="C46" s="90" t="e">
        <f>VLOOKUP($F$13,'Data FY24-25 Final'!$A$2:$Z$180,13,FALSE)</f>
        <v>#N/A</v>
      </c>
      <c r="D46" s="90" t="e">
        <f>VLOOKUP($F$13,'Data Aug 2025 AV'!$A$4:$Z$181,13,FALSE)</f>
        <v>#N/A</v>
      </c>
      <c r="E46" s="47" t="e">
        <f>ROUND(+'Calculation Worksheet'!E77,3)</f>
        <v>#N/A</v>
      </c>
      <c r="F46" s="591" t="e">
        <f>ROUND(($E$26*E46)/1000,2)</f>
        <v>#N/A</v>
      </c>
      <c r="G46" s="510" t="s">
        <v>931</v>
      </c>
      <c r="H46" s="517"/>
    </row>
    <row r="47" spans="1:8" ht="14.1" customHeight="1" x14ac:dyDescent="0.25">
      <c r="A47" s="34"/>
      <c r="B47" s="53"/>
      <c r="C47" s="47"/>
      <c r="D47" s="47"/>
      <c r="E47" s="47"/>
      <c r="F47" s="595"/>
      <c r="G47" s="510"/>
      <c r="H47" s="517"/>
    </row>
    <row r="48" spans="1:8" ht="14.1" customHeight="1" x14ac:dyDescent="0.25">
      <c r="A48" s="34" t="s">
        <v>501</v>
      </c>
      <c r="B48" s="53"/>
      <c r="C48" s="90" t="e">
        <f>VLOOKUP($F$13,'Data FY24-25 Final'!$A$2:$Z$180,14,FALSE)</f>
        <v>#N/A</v>
      </c>
      <c r="D48" s="90" t="e">
        <f>VLOOKUP($F$13,'Data Aug 2025 AV'!$A$4:$Z$181,14,FALSE)</f>
        <v>#N/A</v>
      </c>
      <c r="E48" s="47" t="e">
        <f>ROUND(+'Calculation Worksheet'!E78,3)</f>
        <v>#N/A</v>
      </c>
      <c r="F48" s="596" t="e">
        <f>ROUND(($E$26*E48)/1000,2)</f>
        <v>#N/A</v>
      </c>
      <c r="G48" s="510" t="s">
        <v>932</v>
      </c>
      <c r="H48" s="517"/>
    </row>
    <row r="49" spans="1:8" ht="14.1" customHeight="1" x14ac:dyDescent="0.25">
      <c r="A49" s="34"/>
      <c r="B49" s="18"/>
      <c r="C49" s="47"/>
      <c r="D49" s="47"/>
      <c r="E49" s="47"/>
      <c r="F49" s="596"/>
      <c r="G49" s="510"/>
      <c r="H49" s="517"/>
    </row>
    <row r="50" spans="1:8" ht="14.1" customHeight="1" x14ac:dyDescent="0.25">
      <c r="A50" s="34" t="s">
        <v>502</v>
      </c>
      <c r="B50" s="18"/>
      <c r="C50" s="47"/>
      <c r="D50" s="47"/>
      <c r="E50" s="47"/>
      <c r="F50" s="596"/>
      <c r="G50" s="510"/>
      <c r="H50" s="517"/>
    </row>
    <row r="51" spans="1:8" ht="14.1" customHeight="1" x14ac:dyDescent="0.25">
      <c r="A51" s="55" t="s">
        <v>537</v>
      </c>
      <c r="B51" s="35"/>
      <c r="C51" s="90" t="e">
        <f>VLOOKUP($F$13,'Data FY24-25 Final'!$A$2:$Z$180,15,FALSE)</f>
        <v>#N/A</v>
      </c>
      <c r="D51" s="90" t="e">
        <f>VLOOKUP($F$13,'Data Aug 2025 AV'!$A$4:$Z$181,15,FALSE)</f>
        <v>#N/A</v>
      </c>
      <c r="E51" s="56">
        <f>ROUND(+'Calculation Worksheet'!E86,3)</f>
        <v>0</v>
      </c>
      <c r="F51" s="592">
        <f>ROUND(($E$26*E51)/1000,2)</f>
        <v>0</v>
      </c>
      <c r="G51" s="510" t="s">
        <v>933</v>
      </c>
      <c r="H51" s="517"/>
    </row>
    <row r="52" spans="1:8" ht="14.1" customHeight="1" x14ac:dyDescent="0.25">
      <c r="A52" s="57"/>
      <c r="B52" s="18"/>
      <c r="C52" s="47"/>
      <c r="D52" s="47"/>
      <c r="E52" s="47"/>
      <c r="F52" s="596"/>
      <c r="G52" s="510"/>
      <c r="H52" s="517"/>
    </row>
    <row r="53" spans="1:8" ht="14.45" customHeight="1" thickBot="1" x14ac:dyDescent="0.3">
      <c r="A53" s="34" t="s">
        <v>50</v>
      </c>
      <c r="B53" s="53"/>
      <c r="C53" s="90" t="e">
        <f>VLOOKUP($F$13,'Data FY24-25 Final'!$A$2:$Z$180,16,FALSE)</f>
        <v>#N/A</v>
      </c>
      <c r="D53" s="90" t="e">
        <f>VLOOKUP($F$13,'Data Aug 2025 AV'!$A$4:$Z$181,16,FALSE)</f>
        <v>#N/A</v>
      </c>
      <c r="E53" s="47" t="e">
        <f>ROUND(+'Calculation Worksheet'!E88,3)</f>
        <v>#DIV/0!</v>
      </c>
      <c r="F53" s="591" t="e">
        <f>ROUND(($E$26*E53)/1000,2)</f>
        <v>#DIV/0!</v>
      </c>
      <c r="G53" s="510" t="s">
        <v>934</v>
      </c>
      <c r="H53" s="518"/>
    </row>
    <row r="54" spans="1:8" ht="20.25" customHeight="1" x14ac:dyDescent="0.25">
      <c r="A54" s="34"/>
      <c r="B54" s="18"/>
      <c r="C54" s="47"/>
      <c r="D54" s="47"/>
      <c r="E54" s="47"/>
      <c r="F54" s="596"/>
      <c r="G54" s="510"/>
    </row>
    <row r="55" spans="1:8" ht="18.75" thickBot="1" x14ac:dyDescent="0.3">
      <c r="A55" s="51" t="s">
        <v>51</v>
      </c>
      <c r="B55" s="29"/>
      <c r="C55" s="52" t="e">
        <f>SUM(C38:C53)</f>
        <v>#N/A</v>
      </c>
      <c r="D55" s="52" t="e">
        <f t="shared" ref="D55" si="2">SUM(D38:D53)</f>
        <v>#N/A</v>
      </c>
      <c r="E55" s="52" t="e">
        <f>ROUND(SUM(E38:E53),3)</f>
        <v>#N/A</v>
      </c>
      <c r="F55" s="593" t="e">
        <f>SUM(F38:F53)</f>
        <v>#N/A</v>
      </c>
      <c r="G55" s="510" t="s">
        <v>935</v>
      </c>
      <c r="H55" s="18" t="s">
        <v>555</v>
      </c>
    </row>
    <row r="56" spans="1:8" ht="18.75" thickBot="1" x14ac:dyDescent="0.3">
      <c r="A56" s="34"/>
      <c r="B56" s="58" t="s">
        <v>503</v>
      </c>
      <c r="C56" s="91" t="e">
        <f>VLOOKUP($F$13,'Data FY24-25 Final'!$A$2:$Z$180,17,FALSE)-C55</f>
        <v>#N/A</v>
      </c>
      <c r="D56" s="91" t="e">
        <f>VLOOKUP($F$13,'Data Aug 2025 AV'!$A$3:$Z$181,17,FALSE)-D55</f>
        <v>#N/A</v>
      </c>
      <c r="E56" s="59" t="e">
        <f>+E55-'Calculation Worksheet'!E90</f>
        <v>#N/A</v>
      </c>
      <c r="F56" s="589" t="e">
        <f>ROUND(+F55-'Calculation Worksheet'!D90,2)</f>
        <v>#N/A</v>
      </c>
      <c r="G56" s="510"/>
    </row>
    <row r="57" spans="1:8" ht="18.75" thickBot="1" x14ac:dyDescent="0.3">
      <c r="A57" s="34"/>
      <c r="B57" s="18"/>
      <c r="C57" s="47"/>
      <c r="D57" s="60"/>
      <c r="E57" s="61"/>
      <c r="F57" s="587"/>
      <c r="G57" s="510"/>
    </row>
    <row r="58" spans="1:8" ht="46.5" thickBot="1" x14ac:dyDescent="0.3">
      <c r="A58" s="34" t="s">
        <v>52</v>
      </c>
      <c r="B58" s="35"/>
      <c r="C58" s="90" t="e">
        <f>VLOOKUP($F$13,'Data FY24-25 Final'!$A$2:$Z$180,18,FALSE)</f>
        <v>#N/A</v>
      </c>
      <c r="D58" s="93" t="s">
        <v>550</v>
      </c>
      <c r="E58" s="61">
        <f>ROUND(+'Calculation Worksheet'!E105,3)</f>
        <v>0</v>
      </c>
      <c r="F58" s="587">
        <f>($E$26*E58)/1000</f>
        <v>0</v>
      </c>
      <c r="G58" s="510" t="s">
        <v>936</v>
      </c>
      <c r="H58" s="519" t="s">
        <v>556</v>
      </c>
    </row>
    <row r="59" spans="1:8" ht="18.75" thickBot="1" x14ac:dyDescent="0.3">
      <c r="A59" s="34"/>
      <c r="B59" s="18"/>
      <c r="C59" s="47"/>
      <c r="D59" s="60"/>
      <c r="E59" s="61"/>
      <c r="F59" s="587"/>
      <c r="G59" s="510"/>
    </row>
    <row r="60" spans="1:8" ht="31.5" thickBot="1" x14ac:dyDescent="0.3">
      <c r="A60" s="34" t="s">
        <v>53</v>
      </c>
      <c r="B60" s="35"/>
      <c r="C60" s="90" t="e">
        <f>VLOOKUP($F$13,'Data FY24-25 Final'!$A$2:$Z$180,19,FALSE)</f>
        <v>#N/A</v>
      </c>
      <c r="D60" s="93" t="s">
        <v>550</v>
      </c>
      <c r="E60" s="61">
        <f>ROUND(+'Calculation Worksheet'!E119,3)</f>
        <v>0</v>
      </c>
      <c r="F60" s="587">
        <f>($E$26*E60)/1000</f>
        <v>0</v>
      </c>
      <c r="G60" s="510" t="s">
        <v>937</v>
      </c>
      <c r="H60" s="519" t="s">
        <v>49</v>
      </c>
    </row>
    <row r="61" spans="1:8" ht="18.75" thickBot="1" x14ac:dyDescent="0.3">
      <c r="A61" s="34"/>
      <c r="B61" s="18"/>
      <c r="C61" s="47"/>
      <c r="D61" s="60"/>
      <c r="E61" s="61"/>
      <c r="F61" s="587"/>
      <c r="G61" s="510"/>
    </row>
    <row r="62" spans="1:8" ht="31.5" thickBot="1" x14ac:dyDescent="0.3">
      <c r="A62" s="62" t="s">
        <v>517</v>
      </c>
      <c r="B62" s="35"/>
      <c r="C62" s="90" t="e">
        <f>VLOOKUP($F$13,'Data FY24-25 Final'!$A$2:$Z$180,20,FALSE)</f>
        <v>#N/A</v>
      </c>
      <c r="D62" s="93" t="s">
        <v>550</v>
      </c>
      <c r="E62" s="61">
        <f>ROUND('Calculation Worksheet'!E133,3)</f>
        <v>0</v>
      </c>
      <c r="F62" s="587">
        <f>($E$26*E62)/1000</f>
        <v>0</v>
      </c>
      <c r="G62" s="510" t="s">
        <v>938</v>
      </c>
      <c r="H62" s="519" t="s">
        <v>49</v>
      </c>
    </row>
    <row r="63" spans="1:8" ht="18.75" thickBot="1" x14ac:dyDescent="0.3">
      <c r="A63" s="34"/>
      <c r="B63" s="18"/>
      <c r="C63" s="47"/>
      <c r="D63" s="60"/>
      <c r="E63" s="61"/>
      <c r="F63" s="587"/>
      <c r="G63" s="510"/>
    </row>
    <row r="64" spans="1:8" ht="31.5" thickBot="1" x14ac:dyDescent="0.3">
      <c r="A64" s="62" t="s">
        <v>535</v>
      </c>
      <c r="B64" s="35"/>
      <c r="C64" s="90" t="e">
        <f>VLOOKUP($F$13,'Data FY24-25 Final'!$A$2:$Z$180,21,FALSE)</f>
        <v>#N/A</v>
      </c>
      <c r="D64" s="93" t="s">
        <v>550</v>
      </c>
      <c r="E64" s="61">
        <f>ROUND(+'Calculation Worksheet'!E147,3)</f>
        <v>0</v>
      </c>
      <c r="F64" s="587">
        <f>($E$26*E64)/1000</f>
        <v>0</v>
      </c>
      <c r="G64" s="510" t="s">
        <v>939</v>
      </c>
      <c r="H64" s="519" t="s">
        <v>49</v>
      </c>
    </row>
    <row r="65" spans="1:8" ht="18.75" thickBot="1" x14ac:dyDescent="0.3">
      <c r="A65" s="34"/>
      <c r="B65" s="18"/>
      <c r="C65" s="47"/>
      <c r="D65" s="60"/>
      <c r="E65" s="61"/>
      <c r="F65" s="587"/>
      <c r="G65" s="510"/>
    </row>
    <row r="66" spans="1:8" ht="31.5" thickBot="1" x14ac:dyDescent="0.3">
      <c r="A66" s="34" t="s">
        <v>941</v>
      </c>
      <c r="B66" s="35"/>
      <c r="C66" s="90" t="e">
        <f>VLOOKUP($F$13,'Data FY24-25 Final'!$A$2:$Z$180,22,FALSE)</f>
        <v>#N/A</v>
      </c>
      <c r="D66" s="93" t="s">
        <v>550</v>
      </c>
      <c r="E66" s="61">
        <f>ROUND(+'Calculation Worksheet'!E161,3)</f>
        <v>0</v>
      </c>
      <c r="F66" s="587">
        <f>($E$26*E66)/1000</f>
        <v>0</v>
      </c>
      <c r="G66" s="510" t="s">
        <v>940</v>
      </c>
      <c r="H66" s="519" t="s">
        <v>49</v>
      </c>
    </row>
    <row r="67" spans="1:8" ht="18.75" thickBot="1" x14ac:dyDescent="0.3">
      <c r="A67" s="63" t="s">
        <v>551</v>
      </c>
      <c r="B67" s="64"/>
      <c r="C67" s="65"/>
      <c r="D67" s="66"/>
      <c r="E67" s="67"/>
      <c r="F67" s="590"/>
      <c r="G67" s="510"/>
    </row>
    <row r="68" spans="1:8" ht="18" x14ac:dyDescent="0.25">
      <c r="A68" s="18" t="s">
        <v>504</v>
      </c>
      <c r="B68" s="18"/>
      <c r="C68" s="69" t="e">
        <f t="shared" ref="C68" si="3">ROUND(SUM(C55,C58:C66),3)</f>
        <v>#N/A</v>
      </c>
      <c r="D68" s="69"/>
      <c r="E68" s="586" t="e">
        <f>ROUND(SUM(E55,E58:E66),3)</f>
        <v>#N/A</v>
      </c>
      <c r="F68" s="597" t="e">
        <f>ROUND(E68*E26/1000,2)</f>
        <v>#N/A</v>
      </c>
      <c r="G68" s="510" t="s">
        <v>942</v>
      </c>
      <c r="H68" s="18" t="s">
        <v>557</v>
      </c>
    </row>
    <row r="69" spans="1:8" ht="18.75" thickBot="1" x14ac:dyDescent="0.3">
      <c r="A69" s="18"/>
      <c r="B69" s="18"/>
      <c r="C69" s="603"/>
      <c r="D69" s="603"/>
      <c r="E69" s="604"/>
      <c r="F69" s="605"/>
      <c r="G69" s="510"/>
    </row>
    <row r="70" spans="1:8" ht="18" x14ac:dyDescent="0.25">
      <c r="A70" s="19" t="s">
        <v>55</v>
      </c>
      <c r="B70" s="18"/>
      <c r="C70" s="550"/>
      <c r="D70" s="280" t="s">
        <v>559</v>
      </c>
      <c r="E70" s="281"/>
      <c r="F70" s="83"/>
      <c r="G70" s="510"/>
    </row>
    <row r="71" spans="1:8" ht="30" x14ac:dyDescent="0.2">
      <c r="A71" s="34" t="s">
        <v>564</v>
      </c>
      <c r="B71" s="70" t="s">
        <v>879</v>
      </c>
      <c r="C71" s="92" t="e">
        <f>VLOOKUP($F$13,'Data FY24-25 Final'!$A$2:$Z$180,24,FALSE)</f>
        <v>#N/A</v>
      </c>
      <c r="D71" s="65" t="e">
        <f>VLOOKUP($F$13,'Data Aug 2025 AV'!$A$4:$Z$181,24,FALSE)</f>
        <v>#N/A</v>
      </c>
      <c r="E71" s="71" t="e">
        <f>VLOOKUP($F$13,'Data Aug 2025 AV'!$A$4:$Z$181,24,FALSE)</f>
        <v>#N/A</v>
      </c>
      <c r="F71" s="72"/>
      <c r="H71" s="62" t="s">
        <v>532</v>
      </c>
    </row>
    <row r="72" spans="1:8" x14ac:dyDescent="0.2">
      <c r="A72" s="34"/>
      <c r="B72" s="73"/>
      <c r="C72" s="74"/>
      <c r="D72" s="67"/>
      <c r="E72" s="75"/>
      <c r="F72" s="72"/>
      <c r="H72" s="62"/>
    </row>
    <row r="73" spans="1:8" ht="30" x14ac:dyDescent="0.2">
      <c r="A73" s="62" t="s">
        <v>565</v>
      </c>
      <c r="B73" s="70" t="s">
        <v>879</v>
      </c>
      <c r="C73" s="76" t="e">
        <f>VLOOKUP($F$13,'Data FY24-25 Final'!$A$2:$Z$180,26,FALSE)</f>
        <v>#N/A</v>
      </c>
      <c r="D73" s="68" t="e">
        <f>VLOOKUP($F$13,'Data Aug 2025 AV'!$A$4:$Z$181,26,FALSE)</f>
        <v>#N/A</v>
      </c>
      <c r="E73" s="77" t="e">
        <f>VLOOKUP($F$13,'Data Aug 2025 AV'!$A$4:$Z$181,26,FALSE)</f>
        <v>#N/A</v>
      </c>
      <c r="F73" s="78"/>
    </row>
    <row r="74" spans="1:8" ht="15.75" thickBot="1" x14ac:dyDescent="0.25">
      <c r="A74" s="18"/>
      <c r="B74" s="18"/>
      <c r="C74" s="79"/>
      <c r="D74" s="80"/>
      <c r="E74" s="81"/>
      <c r="F74" s="18"/>
    </row>
    <row r="75" spans="1:8" ht="51" customHeight="1" x14ac:dyDescent="0.2">
      <c r="A75" s="18"/>
      <c r="B75" s="18"/>
      <c r="C75" s="82"/>
      <c r="D75" s="21"/>
      <c r="E75" s="21"/>
      <c r="F75" s="18"/>
    </row>
    <row r="76" spans="1:8" ht="15.75" thickBot="1" x14ac:dyDescent="0.25">
      <c r="A76" s="133">
        <f>E7</f>
        <v>0</v>
      </c>
      <c r="B76" s="18"/>
      <c r="C76" s="132">
        <f>E8</f>
        <v>0</v>
      </c>
      <c r="D76" s="21"/>
      <c r="E76" s="21"/>
      <c r="F76" s="18"/>
    </row>
    <row r="77" spans="1:8" ht="60" x14ac:dyDescent="0.2">
      <c r="A77" s="18" t="s">
        <v>56</v>
      </c>
      <c r="B77" s="18"/>
      <c r="C77" s="21" t="s">
        <v>57</v>
      </c>
      <c r="D77" s="21"/>
      <c r="E77" s="21"/>
      <c r="F77" s="548" t="s">
        <v>943</v>
      </c>
    </row>
    <row r="79" spans="1:8" ht="15.75" x14ac:dyDescent="0.25">
      <c r="A79" s="3"/>
    </row>
    <row r="80" spans="1:8" ht="34.35" customHeight="1" x14ac:dyDescent="0.2">
      <c r="A80" s="608" t="s">
        <v>946</v>
      </c>
      <c r="B80" s="608"/>
      <c r="C80" s="11"/>
      <c r="D80" s="11"/>
      <c r="E80" s="11"/>
    </row>
    <row r="81" spans="1:2" ht="41.45" customHeight="1" x14ac:dyDescent="0.2">
      <c r="A81" s="607" t="s">
        <v>580</v>
      </c>
      <c r="B81" s="607"/>
    </row>
    <row r="82" spans="1:2" ht="20.25" x14ac:dyDescent="0.3">
      <c r="A82" s="555" t="s">
        <v>956</v>
      </c>
      <c r="B82" s="556"/>
    </row>
  </sheetData>
  <sheetProtection algorithmName="SHA-512" hashValue="5WRRgm+6zfGYEkGerOkw3A0ZzmMYTQ/4iTxfpyDpzDExnBQQttEetRKkuPZdmeORdzI9qlwhbsJrHDLOpkJBIg==" saltValue="7ro8YKew4vvkYU3vPfnsJg==" spinCount="100000" sheet="1" formatCells="0" formatColumns="0" formatRows="0"/>
  <protectedRanges>
    <protectedRange sqref="E7" name="Range1"/>
  </protectedRanges>
  <mergeCells count="3">
    <mergeCell ref="A81:B81"/>
    <mergeCell ref="A80:B80"/>
    <mergeCell ref="A10:F10"/>
  </mergeCells>
  <phoneticPr fontId="50" type="noConversion"/>
  <hyperlinks>
    <hyperlink ref="G22" location="'Calculation Worksheet'!D29" display="Cell D29" xr:uid="{CD29ECD5-E3E6-42C8-9EB6-45C62A913F5F}"/>
    <hyperlink ref="G24" location="'Calculation Worksheet'!D30" display="Cell D30" xr:uid="{93D54C93-6567-4AAD-894C-F6BCD7ED7842}"/>
    <hyperlink ref="G26" location="'Calculation Worksheet'!D31" display="Cell D31" xr:uid="{F5A54EA0-093E-46AD-AE26-67FCFFEFC6E1}"/>
    <hyperlink ref="G28" location="'Calculation Worksheet'!D35" display="Cell D35" xr:uid="{AEEBB2AF-E968-4864-B31F-DD88FEE54AD8}"/>
    <hyperlink ref="G38" location="'Calculation Worksheet'!F46" display="Cell F46" xr:uid="{F1853467-C824-4F52-97B3-9ADF36D9D7C9}"/>
    <hyperlink ref="G40" location="'Calculation Worksheet'!F47" display="Cell F47" xr:uid="{AC6CA075-B445-4612-88CB-3232B8EAB1A7}"/>
    <hyperlink ref="G42" location="'Calculation Worksheet'!F48" display="Cell F48" xr:uid="{22B1B2D8-3110-41CA-97CB-0B12407ACBB4}"/>
    <hyperlink ref="G46" location="'Calculation Worksheet'!E77" display="Cell E77" xr:uid="{05C4EE68-F5D9-492A-97DE-DB5DCCF74B20}"/>
    <hyperlink ref="G48" location="'Calculation Worksheet'!E78" display="Cell E78" xr:uid="{6343D155-7F1F-408C-BAE9-5F3480B6E6D2}"/>
    <hyperlink ref="G53" location="'Calculation Worksheet'!E88" display="Cell E88" xr:uid="{52E074F9-08C5-4CED-8168-7FC298FB580D}"/>
    <hyperlink ref="G55" location="'Calculation Worksheet'!E90" display="Cell E90" xr:uid="{45B094BF-3CBA-4F2A-9312-05E08446FC01}"/>
    <hyperlink ref="G58" location="'Calculation Worksheet'!E105" display="Cell E105" xr:uid="{AF9A5D72-EFCF-448B-B793-1D13815E9F6E}"/>
    <hyperlink ref="G60" location="'Calculation Worksheet'!E119" display="Cell E119" xr:uid="{6FCF80EF-4311-4DF8-8389-A3BE9DDDF743}"/>
    <hyperlink ref="G62" location="'Calculation Worksheet'!E133" display="Cell E133" xr:uid="{BAACBF52-D419-4EA7-AA9E-E2A102E3B45E}"/>
    <hyperlink ref="G64" location="'Calculation Worksheet'!E147" display="Cell E147" xr:uid="{BE512566-E35A-4254-9BE3-C505E95B1687}"/>
    <hyperlink ref="G66" location="'Calculation Worksheet'!E161" display="Cell E161" xr:uid="{FF7E1B9D-558A-41D4-8D73-074D1A72C45D}"/>
    <hyperlink ref="G68" location="'Calculation Worksheet'!E172" display="Cell E172" xr:uid="{FE510C37-2EC7-4869-85A0-F301F4353581}"/>
    <hyperlink ref="G13" location="'Calculation Worksheet'!C1" display="Cell C1" xr:uid="{8600F410-427C-4EBB-B266-90786766E552}"/>
    <hyperlink ref="G51" location="'Calculation Worksheet'!E86" display="Cell E86" xr:uid="{29C94A5F-0D66-4855-86B6-5FB0BD223E76}"/>
    <hyperlink ref="A81" r:id="rId1" xr:uid="{CAFA011D-9BE5-440A-874E-AC28BA0E6EE6}"/>
    <hyperlink ref="A81:B81" r:id="rId2" display="LINK FOR DATA SUBMISSION" xr:uid="{8A55F33D-D26D-4914-8B93-FDB3A5B2F1E7}"/>
    <hyperlink ref="A82" r:id="rId3" xr:uid="{98FD4614-BAD7-42E8-B802-98B5ED62ADE0}"/>
  </hyperlinks>
  <pageMargins left="0.7" right="0.7" top="0.42" bottom="0.49" header="0.2" footer="0.2"/>
  <pageSetup scale="4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88CE-1159-463E-8259-4790ACC8A2FE}">
  <dimension ref="A1:AB182"/>
  <sheetViews>
    <sheetView workbookViewId="0">
      <pane xSplit="1" ySplit="2" topLeftCell="E23" activePane="bottomRight" state="frozen"/>
      <selection pane="topRight" activeCell="B1" sqref="B1"/>
      <selection pane="bottomLeft" activeCell="A3" sqref="A3"/>
      <selection pane="bottomRight" activeCell="P28" sqref="P28"/>
    </sheetView>
  </sheetViews>
  <sheetFormatPr defaultRowHeight="12.75" x14ac:dyDescent="0.2"/>
  <cols>
    <col min="1" max="1" width="6.125" style="146" bestFit="1" customWidth="1"/>
    <col min="2" max="2" width="14.375" style="146" bestFit="1" customWidth="1"/>
    <col min="3" max="3" width="21.75" style="146" bestFit="1" customWidth="1"/>
    <col min="4" max="4" width="16.25" style="428" bestFit="1" customWidth="1"/>
    <col min="5" max="5" width="15" style="428" bestFit="1" customWidth="1"/>
    <col min="6" max="6" width="16.375" style="428" bestFit="1" customWidth="1"/>
    <col min="7" max="7" width="13.75" style="428" bestFit="1" customWidth="1"/>
    <col min="8" max="8" width="11.375" style="461" bestFit="1" customWidth="1"/>
    <col min="9" max="9" width="10.375" style="430" customWidth="1"/>
    <col min="10" max="10" width="9.75" style="462" bestFit="1" customWidth="1"/>
    <col min="11" max="11" width="8.75" style="146" bestFit="1" customWidth="1"/>
    <col min="12" max="12" width="9.125" style="146" customWidth="1"/>
    <col min="13" max="13" width="11.375" style="146" bestFit="1" customWidth="1"/>
    <col min="14" max="14" width="10.375" style="146" bestFit="1" customWidth="1"/>
    <col min="15" max="15" width="11.375" style="429" bestFit="1" customWidth="1"/>
    <col min="16" max="16" width="12.375" style="146" bestFit="1" customWidth="1"/>
    <col min="17" max="17" width="9.125" style="146" bestFit="1" customWidth="1"/>
    <col min="18" max="18" width="11.375" style="430" customWidth="1"/>
    <col min="19" max="19" width="11.375" style="146" customWidth="1"/>
    <col min="20" max="20" width="10.125" style="146" customWidth="1"/>
    <col min="21" max="21" width="11.25" style="146" customWidth="1"/>
    <col min="22" max="22" width="9.25" style="467" customWidth="1"/>
    <col min="23" max="23" width="10.375" style="430" bestFit="1" customWidth="1"/>
    <col min="24" max="24" width="12.375" style="428" bestFit="1" customWidth="1"/>
    <col min="25" max="25" width="15.375" style="428" bestFit="1" customWidth="1"/>
    <col min="26" max="26" width="16.375" style="428" bestFit="1" customWidth="1"/>
    <col min="27" max="251" width="8.75" style="430"/>
    <col min="252" max="252" width="6.125" style="430" bestFit="1" customWidth="1"/>
    <col min="253" max="253" width="14.375" style="430" bestFit="1" customWidth="1"/>
    <col min="254" max="254" width="21.75" style="430" bestFit="1" customWidth="1"/>
    <col min="255" max="255" width="0" style="430" hidden="1" customWidth="1"/>
    <col min="256" max="256" width="16.375" style="430" bestFit="1" customWidth="1"/>
    <col min="257" max="257" width="14" style="430" bestFit="1" customWidth="1"/>
    <col min="258" max="258" width="15.375" style="430" bestFit="1" customWidth="1"/>
    <col min="259" max="259" width="9.75" style="430" bestFit="1" customWidth="1"/>
    <col min="260" max="260" width="8.75" style="430" bestFit="1" customWidth="1"/>
    <col min="261" max="261" width="11.375" style="430" bestFit="1" customWidth="1"/>
    <col min="262" max="262" width="10.375" style="430" bestFit="1" customWidth="1"/>
    <col min="263" max="263" width="11.375" style="430" bestFit="1" customWidth="1"/>
    <col min="264" max="264" width="12.375" style="430" bestFit="1" customWidth="1"/>
    <col min="265" max="265" width="9.125" style="430" bestFit="1" customWidth="1"/>
    <col min="266" max="266" width="12.375" style="430" bestFit="1" customWidth="1"/>
    <col min="267" max="267" width="16.375" style="430" bestFit="1" customWidth="1"/>
    <col min="268" max="268" width="13.75" style="430" bestFit="1" customWidth="1"/>
    <col min="269" max="269" width="8.625" style="430" bestFit="1" customWidth="1"/>
    <col min="270" max="270" width="6.625" style="430" bestFit="1" customWidth="1"/>
    <col min="271" max="271" width="9.125" style="430" customWidth="1"/>
    <col min="272" max="272" width="6.125" style="430" bestFit="1" customWidth="1"/>
    <col min="273" max="273" width="9.375" style="430" bestFit="1" customWidth="1"/>
    <col min="274" max="274" width="10.375" style="430" bestFit="1" customWidth="1"/>
    <col min="275" max="507" width="8.75" style="430"/>
    <col min="508" max="508" width="6.125" style="430" bestFit="1" customWidth="1"/>
    <col min="509" max="509" width="14.375" style="430" bestFit="1" customWidth="1"/>
    <col min="510" max="510" width="21.75" style="430" bestFit="1" customWidth="1"/>
    <col min="511" max="511" width="0" style="430" hidden="1" customWidth="1"/>
    <col min="512" max="512" width="16.375" style="430" bestFit="1" customWidth="1"/>
    <col min="513" max="513" width="14" style="430" bestFit="1" customWidth="1"/>
    <col min="514" max="514" width="15.375" style="430" bestFit="1" customWidth="1"/>
    <col min="515" max="515" width="9.75" style="430" bestFit="1" customWidth="1"/>
    <col min="516" max="516" width="8.75" style="430" bestFit="1" customWidth="1"/>
    <col min="517" max="517" width="11.375" style="430" bestFit="1" customWidth="1"/>
    <col min="518" max="518" width="10.375" style="430" bestFit="1" customWidth="1"/>
    <col min="519" max="519" width="11.375" style="430" bestFit="1" customWidth="1"/>
    <col min="520" max="520" width="12.375" style="430" bestFit="1" customWidth="1"/>
    <col min="521" max="521" width="9.125" style="430" bestFit="1" customWidth="1"/>
    <col min="522" max="522" width="12.375" style="430" bestFit="1" customWidth="1"/>
    <col min="523" max="523" width="16.375" style="430" bestFit="1" customWidth="1"/>
    <col min="524" max="524" width="13.75" style="430" bestFit="1" customWidth="1"/>
    <col min="525" max="525" width="8.625" style="430" bestFit="1" customWidth="1"/>
    <col min="526" max="526" width="6.625" style="430" bestFit="1" customWidth="1"/>
    <col min="527" max="527" width="9.125" style="430" customWidth="1"/>
    <col min="528" max="528" width="6.125" style="430" bestFit="1" customWidth="1"/>
    <col min="529" max="529" width="9.375" style="430" bestFit="1" customWidth="1"/>
    <col min="530" max="530" width="10.375" style="430" bestFit="1" customWidth="1"/>
    <col min="531" max="763" width="8.75" style="430"/>
    <col min="764" max="764" width="6.125" style="430" bestFit="1" customWidth="1"/>
    <col min="765" max="765" width="14.375" style="430" bestFit="1" customWidth="1"/>
    <col min="766" max="766" width="21.75" style="430" bestFit="1" customWidth="1"/>
    <col min="767" max="767" width="0" style="430" hidden="1" customWidth="1"/>
    <col min="768" max="768" width="16.375" style="430" bestFit="1" customWidth="1"/>
    <col min="769" max="769" width="14" style="430" bestFit="1" customWidth="1"/>
    <col min="770" max="770" width="15.375" style="430" bestFit="1" customWidth="1"/>
    <col min="771" max="771" width="9.75" style="430" bestFit="1" customWidth="1"/>
    <col min="772" max="772" width="8.75" style="430" bestFit="1" customWidth="1"/>
    <col min="773" max="773" width="11.375" style="430" bestFit="1" customWidth="1"/>
    <col min="774" max="774" width="10.375" style="430" bestFit="1" customWidth="1"/>
    <col min="775" max="775" width="11.375" style="430" bestFit="1" customWidth="1"/>
    <col min="776" max="776" width="12.375" style="430" bestFit="1" customWidth="1"/>
    <col min="777" max="777" width="9.125" style="430" bestFit="1" customWidth="1"/>
    <col min="778" max="778" width="12.375" style="430" bestFit="1" customWidth="1"/>
    <col min="779" max="779" width="16.375" style="430" bestFit="1" customWidth="1"/>
    <col min="780" max="780" width="13.75" style="430" bestFit="1" customWidth="1"/>
    <col min="781" max="781" width="8.625" style="430" bestFit="1" customWidth="1"/>
    <col min="782" max="782" width="6.625" style="430" bestFit="1" customWidth="1"/>
    <col min="783" max="783" width="9.125" style="430" customWidth="1"/>
    <col min="784" max="784" width="6.125" style="430" bestFit="1" customWidth="1"/>
    <col min="785" max="785" width="9.375" style="430" bestFit="1" customWidth="1"/>
    <col min="786" max="786" width="10.375" style="430" bestFit="1" customWidth="1"/>
    <col min="787" max="1019" width="8.75" style="430"/>
    <col min="1020" max="1020" width="6.125" style="430" bestFit="1" customWidth="1"/>
    <col min="1021" max="1021" width="14.375" style="430" bestFit="1" customWidth="1"/>
    <col min="1022" max="1022" width="21.75" style="430" bestFit="1" customWidth="1"/>
    <col min="1023" max="1023" width="0" style="430" hidden="1" customWidth="1"/>
    <col min="1024" max="1024" width="16.375" style="430" bestFit="1" customWidth="1"/>
    <col min="1025" max="1025" width="14" style="430" bestFit="1" customWidth="1"/>
    <col min="1026" max="1026" width="15.375" style="430" bestFit="1" customWidth="1"/>
    <col min="1027" max="1027" width="9.75" style="430" bestFit="1" customWidth="1"/>
    <col min="1028" max="1028" width="8.75" style="430" bestFit="1" customWidth="1"/>
    <col min="1029" max="1029" width="11.375" style="430" bestFit="1" customWidth="1"/>
    <col min="1030" max="1030" width="10.375" style="430" bestFit="1" customWidth="1"/>
    <col min="1031" max="1031" width="11.375" style="430" bestFit="1" customWidth="1"/>
    <col min="1032" max="1032" width="12.375" style="430" bestFit="1" customWidth="1"/>
    <col min="1033" max="1033" width="9.125" style="430" bestFit="1" customWidth="1"/>
    <col min="1034" max="1034" width="12.375" style="430" bestFit="1" customWidth="1"/>
    <col min="1035" max="1035" width="16.375" style="430" bestFit="1" customWidth="1"/>
    <col min="1036" max="1036" width="13.75" style="430" bestFit="1" customWidth="1"/>
    <col min="1037" max="1037" width="8.625" style="430" bestFit="1" customWidth="1"/>
    <col min="1038" max="1038" width="6.625" style="430" bestFit="1" customWidth="1"/>
    <col min="1039" max="1039" width="9.125" style="430" customWidth="1"/>
    <col min="1040" max="1040" width="6.125" style="430" bestFit="1" customWidth="1"/>
    <col min="1041" max="1041" width="9.375" style="430" bestFit="1" customWidth="1"/>
    <col min="1042" max="1042" width="10.375" style="430" bestFit="1" customWidth="1"/>
    <col min="1043" max="1275" width="8.75" style="430"/>
    <col min="1276" max="1276" width="6.125" style="430" bestFit="1" customWidth="1"/>
    <col min="1277" max="1277" width="14.375" style="430" bestFit="1" customWidth="1"/>
    <col min="1278" max="1278" width="21.75" style="430" bestFit="1" customWidth="1"/>
    <col min="1279" max="1279" width="0" style="430" hidden="1" customWidth="1"/>
    <col min="1280" max="1280" width="16.375" style="430" bestFit="1" customWidth="1"/>
    <col min="1281" max="1281" width="14" style="430" bestFit="1" customWidth="1"/>
    <col min="1282" max="1282" width="15.375" style="430" bestFit="1" customWidth="1"/>
    <col min="1283" max="1283" width="9.75" style="430" bestFit="1" customWidth="1"/>
    <col min="1284" max="1284" width="8.75" style="430" bestFit="1" customWidth="1"/>
    <col min="1285" max="1285" width="11.375" style="430" bestFit="1" customWidth="1"/>
    <col min="1286" max="1286" width="10.375" style="430" bestFit="1" customWidth="1"/>
    <col min="1287" max="1287" width="11.375" style="430" bestFit="1" customWidth="1"/>
    <col min="1288" max="1288" width="12.375" style="430" bestFit="1" customWidth="1"/>
    <col min="1289" max="1289" width="9.125" style="430" bestFit="1" customWidth="1"/>
    <col min="1290" max="1290" width="12.375" style="430" bestFit="1" customWidth="1"/>
    <col min="1291" max="1291" width="16.375" style="430" bestFit="1" customWidth="1"/>
    <col min="1292" max="1292" width="13.75" style="430" bestFit="1" customWidth="1"/>
    <col min="1293" max="1293" width="8.625" style="430" bestFit="1" customWidth="1"/>
    <col min="1294" max="1294" width="6.625" style="430" bestFit="1" customWidth="1"/>
    <col min="1295" max="1295" width="9.125" style="430" customWidth="1"/>
    <col min="1296" max="1296" width="6.125" style="430" bestFit="1" customWidth="1"/>
    <col min="1297" max="1297" width="9.375" style="430" bestFit="1" customWidth="1"/>
    <col min="1298" max="1298" width="10.375" style="430" bestFit="1" customWidth="1"/>
    <col min="1299" max="1531" width="8.75" style="430"/>
    <col min="1532" max="1532" width="6.125" style="430" bestFit="1" customWidth="1"/>
    <col min="1533" max="1533" width="14.375" style="430" bestFit="1" customWidth="1"/>
    <col min="1534" max="1534" width="21.75" style="430" bestFit="1" customWidth="1"/>
    <col min="1535" max="1535" width="0" style="430" hidden="1" customWidth="1"/>
    <col min="1536" max="1536" width="16.375" style="430" bestFit="1" customWidth="1"/>
    <col min="1537" max="1537" width="14" style="430" bestFit="1" customWidth="1"/>
    <col min="1538" max="1538" width="15.375" style="430" bestFit="1" customWidth="1"/>
    <col min="1539" max="1539" width="9.75" style="430" bestFit="1" customWidth="1"/>
    <col min="1540" max="1540" width="8.75" style="430" bestFit="1" customWidth="1"/>
    <col min="1541" max="1541" width="11.375" style="430" bestFit="1" customWidth="1"/>
    <col min="1542" max="1542" width="10.375" style="430" bestFit="1" customWidth="1"/>
    <col min="1543" max="1543" width="11.375" style="430" bestFit="1" customWidth="1"/>
    <col min="1544" max="1544" width="12.375" style="430" bestFit="1" customWidth="1"/>
    <col min="1545" max="1545" width="9.125" style="430" bestFit="1" customWidth="1"/>
    <col min="1546" max="1546" width="12.375" style="430" bestFit="1" customWidth="1"/>
    <col min="1547" max="1547" width="16.375" style="430" bestFit="1" customWidth="1"/>
    <col min="1548" max="1548" width="13.75" style="430" bestFit="1" customWidth="1"/>
    <col min="1549" max="1549" width="8.625" style="430" bestFit="1" customWidth="1"/>
    <col min="1550" max="1550" width="6.625" style="430" bestFit="1" customWidth="1"/>
    <col min="1551" max="1551" width="9.125" style="430" customWidth="1"/>
    <col min="1552" max="1552" width="6.125" style="430" bestFit="1" customWidth="1"/>
    <col min="1553" max="1553" width="9.375" style="430" bestFit="1" customWidth="1"/>
    <col min="1554" max="1554" width="10.375" style="430" bestFit="1" customWidth="1"/>
    <col min="1555" max="1787" width="8.75" style="430"/>
    <col min="1788" max="1788" width="6.125" style="430" bestFit="1" customWidth="1"/>
    <col min="1789" max="1789" width="14.375" style="430" bestFit="1" customWidth="1"/>
    <col min="1790" max="1790" width="21.75" style="430" bestFit="1" customWidth="1"/>
    <col min="1791" max="1791" width="0" style="430" hidden="1" customWidth="1"/>
    <col min="1792" max="1792" width="16.375" style="430" bestFit="1" customWidth="1"/>
    <col min="1793" max="1793" width="14" style="430" bestFit="1" customWidth="1"/>
    <col min="1794" max="1794" width="15.375" style="430" bestFit="1" customWidth="1"/>
    <col min="1795" max="1795" width="9.75" style="430" bestFit="1" customWidth="1"/>
    <col min="1796" max="1796" width="8.75" style="430" bestFit="1" customWidth="1"/>
    <col min="1797" max="1797" width="11.375" style="430" bestFit="1" customWidth="1"/>
    <col min="1798" max="1798" width="10.375" style="430" bestFit="1" customWidth="1"/>
    <col min="1799" max="1799" width="11.375" style="430" bestFit="1" customWidth="1"/>
    <col min="1800" max="1800" width="12.375" style="430" bestFit="1" customWidth="1"/>
    <col min="1801" max="1801" width="9.125" style="430" bestFit="1" customWidth="1"/>
    <col min="1802" max="1802" width="12.375" style="430" bestFit="1" customWidth="1"/>
    <col min="1803" max="1803" width="16.375" style="430" bestFit="1" customWidth="1"/>
    <col min="1804" max="1804" width="13.75" style="430" bestFit="1" customWidth="1"/>
    <col min="1805" max="1805" width="8.625" style="430" bestFit="1" customWidth="1"/>
    <col min="1806" max="1806" width="6.625" style="430" bestFit="1" customWidth="1"/>
    <col min="1807" max="1807" width="9.125" style="430" customWidth="1"/>
    <col min="1808" max="1808" width="6.125" style="430" bestFit="1" customWidth="1"/>
    <col min="1809" max="1809" width="9.375" style="430" bestFit="1" customWidth="1"/>
    <col min="1810" max="1810" width="10.375" style="430" bestFit="1" customWidth="1"/>
    <col min="1811" max="2043" width="8.75" style="430"/>
    <col min="2044" max="2044" width="6.125" style="430" bestFit="1" customWidth="1"/>
    <col min="2045" max="2045" width="14.375" style="430" bestFit="1" customWidth="1"/>
    <col min="2046" max="2046" width="21.75" style="430" bestFit="1" customWidth="1"/>
    <col min="2047" max="2047" width="0" style="430" hidden="1" customWidth="1"/>
    <col min="2048" max="2048" width="16.375" style="430" bestFit="1" customWidth="1"/>
    <col min="2049" max="2049" width="14" style="430" bestFit="1" customWidth="1"/>
    <col min="2050" max="2050" width="15.375" style="430" bestFit="1" customWidth="1"/>
    <col min="2051" max="2051" width="9.75" style="430" bestFit="1" customWidth="1"/>
    <col min="2052" max="2052" width="8.75" style="430" bestFit="1" customWidth="1"/>
    <col min="2053" max="2053" width="11.375" style="430" bestFit="1" customWidth="1"/>
    <col min="2054" max="2054" width="10.375" style="430" bestFit="1" customWidth="1"/>
    <col min="2055" max="2055" width="11.375" style="430" bestFit="1" customWidth="1"/>
    <col min="2056" max="2056" width="12.375" style="430" bestFit="1" customWidth="1"/>
    <col min="2057" max="2057" width="9.125" style="430" bestFit="1" customWidth="1"/>
    <col min="2058" max="2058" width="12.375" style="430" bestFit="1" customWidth="1"/>
    <col min="2059" max="2059" width="16.375" style="430" bestFit="1" customWidth="1"/>
    <col min="2060" max="2060" width="13.75" style="430" bestFit="1" customWidth="1"/>
    <col min="2061" max="2061" width="8.625" style="430" bestFit="1" customWidth="1"/>
    <col min="2062" max="2062" width="6.625" style="430" bestFit="1" customWidth="1"/>
    <col min="2063" max="2063" width="9.125" style="430" customWidth="1"/>
    <col min="2064" max="2064" width="6.125" style="430" bestFit="1" customWidth="1"/>
    <col min="2065" max="2065" width="9.375" style="430" bestFit="1" customWidth="1"/>
    <col min="2066" max="2066" width="10.375" style="430" bestFit="1" customWidth="1"/>
    <col min="2067" max="2299" width="8.75" style="430"/>
    <col min="2300" max="2300" width="6.125" style="430" bestFit="1" customWidth="1"/>
    <col min="2301" max="2301" width="14.375" style="430" bestFit="1" customWidth="1"/>
    <col min="2302" max="2302" width="21.75" style="430" bestFit="1" customWidth="1"/>
    <col min="2303" max="2303" width="0" style="430" hidden="1" customWidth="1"/>
    <col min="2304" max="2304" width="16.375" style="430" bestFit="1" customWidth="1"/>
    <col min="2305" max="2305" width="14" style="430" bestFit="1" customWidth="1"/>
    <col min="2306" max="2306" width="15.375" style="430" bestFit="1" customWidth="1"/>
    <col min="2307" max="2307" width="9.75" style="430" bestFit="1" customWidth="1"/>
    <col min="2308" max="2308" width="8.75" style="430" bestFit="1" customWidth="1"/>
    <col min="2309" max="2309" width="11.375" style="430" bestFit="1" customWidth="1"/>
    <col min="2310" max="2310" width="10.375" style="430" bestFit="1" customWidth="1"/>
    <col min="2311" max="2311" width="11.375" style="430" bestFit="1" customWidth="1"/>
    <col min="2312" max="2312" width="12.375" style="430" bestFit="1" customWidth="1"/>
    <col min="2313" max="2313" width="9.125" style="430" bestFit="1" customWidth="1"/>
    <col min="2314" max="2314" width="12.375" style="430" bestFit="1" customWidth="1"/>
    <col min="2315" max="2315" width="16.375" style="430" bestFit="1" customWidth="1"/>
    <col min="2316" max="2316" width="13.75" style="430" bestFit="1" customWidth="1"/>
    <col min="2317" max="2317" width="8.625" style="430" bestFit="1" customWidth="1"/>
    <col min="2318" max="2318" width="6.625" style="430" bestFit="1" customWidth="1"/>
    <col min="2319" max="2319" width="9.125" style="430" customWidth="1"/>
    <col min="2320" max="2320" width="6.125" style="430" bestFit="1" customWidth="1"/>
    <col min="2321" max="2321" width="9.375" style="430" bestFit="1" customWidth="1"/>
    <col min="2322" max="2322" width="10.375" style="430" bestFit="1" customWidth="1"/>
    <col min="2323" max="2555" width="8.75" style="430"/>
    <col min="2556" max="2556" width="6.125" style="430" bestFit="1" customWidth="1"/>
    <col min="2557" max="2557" width="14.375" style="430" bestFit="1" customWidth="1"/>
    <col min="2558" max="2558" width="21.75" style="430" bestFit="1" customWidth="1"/>
    <col min="2559" max="2559" width="0" style="430" hidden="1" customWidth="1"/>
    <col min="2560" max="2560" width="16.375" style="430" bestFit="1" customWidth="1"/>
    <col min="2561" max="2561" width="14" style="430" bestFit="1" customWidth="1"/>
    <col min="2562" max="2562" width="15.375" style="430" bestFit="1" customWidth="1"/>
    <col min="2563" max="2563" width="9.75" style="430" bestFit="1" customWidth="1"/>
    <col min="2564" max="2564" width="8.75" style="430" bestFit="1" customWidth="1"/>
    <col min="2565" max="2565" width="11.375" style="430" bestFit="1" customWidth="1"/>
    <col min="2566" max="2566" width="10.375" style="430" bestFit="1" customWidth="1"/>
    <col min="2567" max="2567" width="11.375" style="430" bestFit="1" customWidth="1"/>
    <col min="2568" max="2568" width="12.375" style="430" bestFit="1" customWidth="1"/>
    <col min="2569" max="2569" width="9.125" style="430" bestFit="1" customWidth="1"/>
    <col min="2570" max="2570" width="12.375" style="430" bestFit="1" customWidth="1"/>
    <col min="2571" max="2571" width="16.375" style="430" bestFit="1" customWidth="1"/>
    <col min="2572" max="2572" width="13.75" style="430" bestFit="1" customWidth="1"/>
    <col min="2573" max="2573" width="8.625" style="430" bestFit="1" customWidth="1"/>
    <col min="2574" max="2574" width="6.625" style="430" bestFit="1" customWidth="1"/>
    <col min="2575" max="2575" width="9.125" style="430" customWidth="1"/>
    <col min="2576" max="2576" width="6.125" style="430" bestFit="1" customWidth="1"/>
    <col min="2577" max="2577" width="9.375" style="430" bestFit="1" customWidth="1"/>
    <col min="2578" max="2578" width="10.375" style="430" bestFit="1" customWidth="1"/>
    <col min="2579" max="2811" width="8.75" style="430"/>
    <col min="2812" max="2812" width="6.125" style="430" bestFit="1" customWidth="1"/>
    <col min="2813" max="2813" width="14.375" style="430" bestFit="1" customWidth="1"/>
    <col min="2814" max="2814" width="21.75" style="430" bestFit="1" customWidth="1"/>
    <col min="2815" max="2815" width="0" style="430" hidden="1" customWidth="1"/>
    <col min="2816" max="2816" width="16.375" style="430" bestFit="1" customWidth="1"/>
    <col min="2817" max="2817" width="14" style="430" bestFit="1" customWidth="1"/>
    <col min="2818" max="2818" width="15.375" style="430" bestFit="1" customWidth="1"/>
    <col min="2819" max="2819" width="9.75" style="430" bestFit="1" customWidth="1"/>
    <col min="2820" max="2820" width="8.75" style="430" bestFit="1" customWidth="1"/>
    <col min="2821" max="2821" width="11.375" style="430" bestFit="1" customWidth="1"/>
    <col min="2822" max="2822" width="10.375" style="430" bestFit="1" customWidth="1"/>
    <col min="2823" max="2823" width="11.375" style="430" bestFit="1" customWidth="1"/>
    <col min="2824" max="2824" width="12.375" style="430" bestFit="1" customWidth="1"/>
    <col min="2825" max="2825" width="9.125" style="430" bestFit="1" customWidth="1"/>
    <col min="2826" max="2826" width="12.375" style="430" bestFit="1" customWidth="1"/>
    <col min="2827" max="2827" width="16.375" style="430" bestFit="1" customWidth="1"/>
    <col min="2828" max="2828" width="13.75" style="430" bestFit="1" customWidth="1"/>
    <col min="2829" max="2829" width="8.625" style="430" bestFit="1" customWidth="1"/>
    <col min="2830" max="2830" width="6.625" style="430" bestFit="1" customWidth="1"/>
    <col min="2831" max="2831" width="9.125" style="430" customWidth="1"/>
    <col min="2832" max="2832" width="6.125" style="430" bestFit="1" customWidth="1"/>
    <col min="2833" max="2833" width="9.375" style="430" bestFit="1" customWidth="1"/>
    <col min="2834" max="2834" width="10.375" style="430" bestFit="1" customWidth="1"/>
    <col min="2835" max="3067" width="8.75" style="430"/>
    <col min="3068" max="3068" width="6.125" style="430" bestFit="1" customWidth="1"/>
    <col min="3069" max="3069" width="14.375" style="430" bestFit="1" customWidth="1"/>
    <col min="3070" max="3070" width="21.75" style="430" bestFit="1" customWidth="1"/>
    <col min="3071" max="3071" width="0" style="430" hidden="1" customWidth="1"/>
    <col min="3072" max="3072" width="16.375" style="430" bestFit="1" customWidth="1"/>
    <col min="3073" max="3073" width="14" style="430" bestFit="1" customWidth="1"/>
    <col min="3074" max="3074" width="15.375" style="430" bestFit="1" customWidth="1"/>
    <col min="3075" max="3075" width="9.75" style="430" bestFit="1" customWidth="1"/>
    <col min="3076" max="3076" width="8.75" style="430" bestFit="1" customWidth="1"/>
    <col min="3077" max="3077" width="11.375" style="430" bestFit="1" customWidth="1"/>
    <col min="3078" max="3078" width="10.375" style="430" bestFit="1" customWidth="1"/>
    <col min="3079" max="3079" width="11.375" style="430" bestFit="1" customWidth="1"/>
    <col min="3080" max="3080" width="12.375" style="430" bestFit="1" customWidth="1"/>
    <col min="3081" max="3081" width="9.125" style="430" bestFit="1" customWidth="1"/>
    <col min="3082" max="3082" width="12.375" style="430" bestFit="1" customWidth="1"/>
    <col min="3083" max="3083" width="16.375" style="430" bestFit="1" customWidth="1"/>
    <col min="3084" max="3084" width="13.75" style="430" bestFit="1" customWidth="1"/>
    <col min="3085" max="3085" width="8.625" style="430" bestFit="1" customWidth="1"/>
    <col min="3086" max="3086" width="6.625" style="430" bestFit="1" customWidth="1"/>
    <col min="3087" max="3087" width="9.125" style="430" customWidth="1"/>
    <col min="3088" max="3088" width="6.125" style="430" bestFit="1" customWidth="1"/>
    <col min="3089" max="3089" width="9.375" style="430" bestFit="1" customWidth="1"/>
    <col min="3090" max="3090" width="10.375" style="430" bestFit="1" customWidth="1"/>
    <col min="3091" max="3323" width="8.75" style="430"/>
    <col min="3324" max="3324" width="6.125" style="430" bestFit="1" customWidth="1"/>
    <col min="3325" max="3325" width="14.375" style="430" bestFit="1" customWidth="1"/>
    <col min="3326" max="3326" width="21.75" style="430" bestFit="1" customWidth="1"/>
    <col min="3327" max="3327" width="0" style="430" hidden="1" customWidth="1"/>
    <col min="3328" max="3328" width="16.375" style="430" bestFit="1" customWidth="1"/>
    <col min="3329" max="3329" width="14" style="430" bestFit="1" customWidth="1"/>
    <col min="3330" max="3330" width="15.375" style="430" bestFit="1" customWidth="1"/>
    <col min="3331" max="3331" width="9.75" style="430" bestFit="1" customWidth="1"/>
    <col min="3332" max="3332" width="8.75" style="430" bestFit="1" customWidth="1"/>
    <col min="3333" max="3333" width="11.375" style="430" bestFit="1" customWidth="1"/>
    <col min="3334" max="3334" width="10.375" style="430" bestFit="1" customWidth="1"/>
    <col min="3335" max="3335" width="11.375" style="430" bestFit="1" customWidth="1"/>
    <col min="3336" max="3336" width="12.375" style="430" bestFit="1" customWidth="1"/>
    <col min="3337" max="3337" width="9.125" style="430" bestFit="1" customWidth="1"/>
    <col min="3338" max="3338" width="12.375" style="430" bestFit="1" customWidth="1"/>
    <col min="3339" max="3339" width="16.375" style="430" bestFit="1" customWidth="1"/>
    <col min="3340" max="3340" width="13.75" style="430" bestFit="1" customWidth="1"/>
    <col min="3341" max="3341" width="8.625" style="430" bestFit="1" customWidth="1"/>
    <col min="3342" max="3342" width="6.625" style="430" bestFit="1" customWidth="1"/>
    <col min="3343" max="3343" width="9.125" style="430" customWidth="1"/>
    <col min="3344" max="3344" width="6.125" style="430" bestFit="1" customWidth="1"/>
    <col min="3345" max="3345" width="9.375" style="430" bestFit="1" customWidth="1"/>
    <col min="3346" max="3346" width="10.375" style="430" bestFit="1" customWidth="1"/>
    <col min="3347" max="3579" width="8.75" style="430"/>
    <col min="3580" max="3580" width="6.125" style="430" bestFit="1" customWidth="1"/>
    <col min="3581" max="3581" width="14.375" style="430" bestFit="1" customWidth="1"/>
    <col min="3582" max="3582" width="21.75" style="430" bestFit="1" customWidth="1"/>
    <col min="3583" max="3583" width="0" style="430" hidden="1" customWidth="1"/>
    <col min="3584" max="3584" width="16.375" style="430" bestFit="1" customWidth="1"/>
    <col min="3585" max="3585" width="14" style="430" bestFit="1" customWidth="1"/>
    <col min="3586" max="3586" width="15.375" style="430" bestFit="1" customWidth="1"/>
    <col min="3587" max="3587" width="9.75" style="430" bestFit="1" customWidth="1"/>
    <col min="3588" max="3588" width="8.75" style="430" bestFit="1" customWidth="1"/>
    <col min="3589" max="3589" width="11.375" style="430" bestFit="1" customWidth="1"/>
    <col min="3590" max="3590" width="10.375" style="430" bestFit="1" customWidth="1"/>
    <col min="3591" max="3591" width="11.375" style="430" bestFit="1" customWidth="1"/>
    <col min="3592" max="3592" width="12.375" style="430" bestFit="1" customWidth="1"/>
    <col min="3593" max="3593" width="9.125" style="430" bestFit="1" customWidth="1"/>
    <col min="3594" max="3594" width="12.375" style="430" bestFit="1" customWidth="1"/>
    <col min="3595" max="3595" width="16.375" style="430" bestFit="1" customWidth="1"/>
    <col min="3596" max="3596" width="13.75" style="430" bestFit="1" customWidth="1"/>
    <col min="3597" max="3597" width="8.625" style="430" bestFit="1" customWidth="1"/>
    <col min="3598" max="3598" width="6.625" style="430" bestFit="1" customWidth="1"/>
    <col min="3599" max="3599" width="9.125" style="430" customWidth="1"/>
    <col min="3600" max="3600" width="6.125" style="430" bestFit="1" customWidth="1"/>
    <col min="3601" max="3601" width="9.375" style="430" bestFit="1" customWidth="1"/>
    <col min="3602" max="3602" width="10.375" style="430" bestFit="1" customWidth="1"/>
    <col min="3603" max="3835" width="8.75" style="430"/>
    <col min="3836" max="3836" width="6.125" style="430" bestFit="1" customWidth="1"/>
    <col min="3837" max="3837" width="14.375" style="430" bestFit="1" customWidth="1"/>
    <col min="3838" max="3838" width="21.75" style="430" bestFit="1" customWidth="1"/>
    <col min="3839" max="3839" width="0" style="430" hidden="1" customWidth="1"/>
    <col min="3840" max="3840" width="16.375" style="430" bestFit="1" customWidth="1"/>
    <col min="3841" max="3841" width="14" style="430" bestFit="1" customWidth="1"/>
    <col min="3842" max="3842" width="15.375" style="430" bestFit="1" customWidth="1"/>
    <col min="3843" max="3843" width="9.75" style="430" bestFit="1" customWidth="1"/>
    <col min="3844" max="3844" width="8.75" style="430" bestFit="1" customWidth="1"/>
    <col min="3845" max="3845" width="11.375" style="430" bestFit="1" customWidth="1"/>
    <col min="3846" max="3846" width="10.375" style="430" bestFit="1" customWidth="1"/>
    <col min="3847" max="3847" width="11.375" style="430" bestFit="1" customWidth="1"/>
    <col min="3848" max="3848" width="12.375" style="430" bestFit="1" customWidth="1"/>
    <col min="3849" max="3849" width="9.125" style="430" bestFit="1" customWidth="1"/>
    <col min="3850" max="3850" width="12.375" style="430" bestFit="1" customWidth="1"/>
    <col min="3851" max="3851" width="16.375" style="430" bestFit="1" customWidth="1"/>
    <col min="3852" max="3852" width="13.75" style="430" bestFit="1" customWidth="1"/>
    <col min="3853" max="3853" width="8.625" style="430" bestFit="1" customWidth="1"/>
    <col min="3854" max="3854" width="6.625" style="430" bestFit="1" customWidth="1"/>
    <col min="3855" max="3855" width="9.125" style="430" customWidth="1"/>
    <col min="3856" max="3856" width="6.125" style="430" bestFit="1" customWidth="1"/>
    <col min="3857" max="3857" width="9.375" style="430" bestFit="1" customWidth="1"/>
    <col min="3858" max="3858" width="10.375" style="430" bestFit="1" customWidth="1"/>
    <col min="3859" max="4091" width="8.75" style="430"/>
    <col min="4092" max="4092" width="6.125" style="430" bestFit="1" customWidth="1"/>
    <col min="4093" max="4093" width="14.375" style="430" bestFit="1" customWidth="1"/>
    <col min="4094" max="4094" width="21.75" style="430" bestFit="1" customWidth="1"/>
    <col min="4095" max="4095" width="0" style="430" hidden="1" customWidth="1"/>
    <col min="4096" max="4096" width="16.375" style="430" bestFit="1" customWidth="1"/>
    <col min="4097" max="4097" width="14" style="430" bestFit="1" customWidth="1"/>
    <col min="4098" max="4098" width="15.375" style="430" bestFit="1" customWidth="1"/>
    <col min="4099" max="4099" width="9.75" style="430" bestFit="1" customWidth="1"/>
    <col min="4100" max="4100" width="8.75" style="430" bestFit="1" customWidth="1"/>
    <col min="4101" max="4101" width="11.375" style="430" bestFit="1" customWidth="1"/>
    <col min="4102" max="4102" width="10.375" style="430" bestFit="1" customWidth="1"/>
    <col min="4103" max="4103" width="11.375" style="430" bestFit="1" customWidth="1"/>
    <col min="4104" max="4104" width="12.375" style="430" bestFit="1" customWidth="1"/>
    <col min="4105" max="4105" width="9.125" style="430" bestFit="1" customWidth="1"/>
    <col min="4106" max="4106" width="12.375" style="430" bestFit="1" customWidth="1"/>
    <col min="4107" max="4107" width="16.375" style="430" bestFit="1" customWidth="1"/>
    <col min="4108" max="4108" width="13.75" style="430" bestFit="1" customWidth="1"/>
    <col min="4109" max="4109" width="8.625" style="430" bestFit="1" customWidth="1"/>
    <col min="4110" max="4110" width="6.625" style="430" bestFit="1" customWidth="1"/>
    <col min="4111" max="4111" width="9.125" style="430" customWidth="1"/>
    <col min="4112" max="4112" width="6.125" style="430" bestFit="1" customWidth="1"/>
    <col min="4113" max="4113" width="9.375" style="430" bestFit="1" customWidth="1"/>
    <col min="4114" max="4114" width="10.375" style="430" bestFit="1" customWidth="1"/>
    <col min="4115" max="4347" width="8.75" style="430"/>
    <col min="4348" max="4348" width="6.125" style="430" bestFit="1" customWidth="1"/>
    <col min="4349" max="4349" width="14.375" style="430" bestFit="1" customWidth="1"/>
    <col min="4350" max="4350" width="21.75" style="430" bestFit="1" customWidth="1"/>
    <col min="4351" max="4351" width="0" style="430" hidden="1" customWidth="1"/>
    <col min="4352" max="4352" width="16.375" style="430" bestFit="1" customWidth="1"/>
    <col min="4353" max="4353" width="14" style="430" bestFit="1" customWidth="1"/>
    <col min="4354" max="4354" width="15.375" style="430" bestFit="1" customWidth="1"/>
    <col min="4355" max="4355" width="9.75" style="430" bestFit="1" customWidth="1"/>
    <col min="4356" max="4356" width="8.75" style="430" bestFit="1" customWidth="1"/>
    <col min="4357" max="4357" width="11.375" style="430" bestFit="1" customWidth="1"/>
    <col min="4358" max="4358" width="10.375" style="430" bestFit="1" customWidth="1"/>
    <col min="4359" max="4359" width="11.375" style="430" bestFit="1" customWidth="1"/>
    <col min="4360" max="4360" width="12.375" style="430" bestFit="1" customWidth="1"/>
    <col min="4361" max="4361" width="9.125" style="430" bestFit="1" customWidth="1"/>
    <col min="4362" max="4362" width="12.375" style="430" bestFit="1" customWidth="1"/>
    <col min="4363" max="4363" width="16.375" style="430" bestFit="1" customWidth="1"/>
    <col min="4364" max="4364" width="13.75" style="430" bestFit="1" customWidth="1"/>
    <col min="4365" max="4365" width="8.625" style="430" bestFit="1" customWidth="1"/>
    <col min="4366" max="4366" width="6.625" style="430" bestFit="1" customWidth="1"/>
    <col min="4367" max="4367" width="9.125" style="430" customWidth="1"/>
    <col min="4368" max="4368" width="6.125" style="430" bestFit="1" customWidth="1"/>
    <col min="4369" max="4369" width="9.375" style="430" bestFit="1" customWidth="1"/>
    <col min="4370" max="4370" width="10.375" style="430" bestFit="1" customWidth="1"/>
    <col min="4371" max="4603" width="8.75" style="430"/>
    <col min="4604" max="4604" width="6.125" style="430" bestFit="1" customWidth="1"/>
    <col min="4605" max="4605" width="14.375" style="430" bestFit="1" customWidth="1"/>
    <col min="4606" max="4606" width="21.75" style="430" bestFit="1" customWidth="1"/>
    <col min="4607" max="4607" width="0" style="430" hidden="1" customWidth="1"/>
    <col min="4608" max="4608" width="16.375" style="430" bestFit="1" customWidth="1"/>
    <col min="4609" max="4609" width="14" style="430" bestFit="1" customWidth="1"/>
    <col min="4610" max="4610" width="15.375" style="430" bestFit="1" customWidth="1"/>
    <col min="4611" max="4611" width="9.75" style="430" bestFit="1" customWidth="1"/>
    <col min="4612" max="4612" width="8.75" style="430" bestFit="1" customWidth="1"/>
    <col min="4613" max="4613" width="11.375" style="430" bestFit="1" customWidth="1"/>
    <col min="4614" max="4614" width="10.375" style="430" bestFit="1" customWidth="1"/>
    <col min="4615" max="4615" width="11.375" style="430" bestFit="1" customWidth="1"/>
    <col min="4616" max="4616" width="12.375" style="430" bestFit="1" customWidth="1"/>
    <col min="4617" max="4617" width="9.125" style="430" bestFit="1" customWidth="1"/>
    <col min="4618" max="4618" width="12.375" style="430" bestFit="1" customWidth="1"/>
    <col min="4619" max="4619" width="16.375" style="430" bestFit="1" customWidth="1"/>
    <col min="4620" max="4620" width="13.75" style="430" bestFit="1" customWidth="1"/>
    <col min="4621" max="4621" width="8.625" style="430" bestFit="1" customWidth="1"/>
    <col min="4622" max="4622" width="6.625" style="430" bestFit="1" customWidth="1"/>
    <col min="4623" max="4623" width="9.125" style="430" customWidth="1"/>
    <col min="4624" max="4624" width="6.125" style="430" bestFit="1" customWidth="1"/>
    <col min="4625" max="4625" width="9.375" style="430" bestFit="1" customWidth="1"/>
    <col min="4626" max="4626" width="10.375" style="430" bestFit="1" customWidth="1"/>
    <col min="4627" max="4859" width="8.75" style="430"/>
    <col min="4860" max="4860" width="6.125" style="430" bestFit="1" customWidth="1"/>
    <col min="4861" max="4861" width="14.375" style="430" bestFit="1" customWidth="1"/>
    <col min="4862" max="4862" width="21.75" style="430" bestFit="1" customWidth="1"/>
    <col min="4863" max="4863" width="0" style="430" hidden="1" customWidth="1"/>
    <col min="4864" max="4864" width="16.375" style="430" bestFit="1" customWidth="1"/>
    <col min="4865" max="4865" width="14" style="430" bestFit="1" customWidth="1"/>
    <col min="4866" max="4866" width="15.375" style="430" bestFit="1" customWidth="1"/>
    <col min="4867" max="4867" width="9.75" style="430" bestFit="1" customWidth="1"/>
    <col min="4868" max="4868" width="8.75" style="430" bestFit="1" customWidth="1"/>
    <col min="4869" max="4869" width="11.375" style="430" bestFit="1" customWidth="1"/>
    <col min="4870" max="4870" width="10.375" style="430" bestFit="1" customWidth="1"/>
    <col min="4871" max="4871" width="11.375" style="430" bestFit="1" customWidth="1"/>
    <col min="4872" max="4872" width="12.375" style="430" bestFit="1" customWidth="1"/>
    <col min="4873" max="4873" width="9.125" style="430" bestFit="1" customWidth="1"/>
    <col min="4874" max="4874" width="12.375" style="430" bestFit="1" customWidth="1"/>
    <col min="4875" max="4875" width="16.375" style="430" bestFit="1" customWidth="1"/>
    <col min="4876" max="4876" width="13.75" style="430" bestFit="1" customWidth="1"/>
    <col min="4877" max="4877" width="8.625" style="430" bestFit="1" customWidth="1"/>
    <col min="4878" max="4878" width="6.625" style="430" bestFit="1" customWidth="1"/>
    <col min="4879" max="4879" width="9.125" style="430" customWidth="1"/>
    <col min="4880" max="4880" width="6.125" style="430" bestFit="1" customWidth="1"/>
    <col min="4881" max="4881" width="9.375" style="430" bestFit="1" customWidth="1"/>
    <col min="4882" max="4882" width="10.375" style="430" bestFit="1" customWidth="1"/>
    <col min="4883" max="5115" width="8.75" style="430"/>
    <col min="5116" max="5116" width="6.125" style="430" bestFit="1" customWidth="1"/>
    <col min="5117" max="5117" width="14.375" style="430" bestFit="1" customWidth="1"/>
    <col min="5118" max="5118" width="21.75" style="430" bestFit="1" customWidth="1"/>
    <col min="5119" max="5119" width="0" style="430" hidden="1" customWidth="1"/>
    <col min="5120" max="5120" width="16.375" style="430" bestFit="1" customWidth="1"/>
    <col min="5121" max="5121" width="14" style="430" bestFit="1" customWidth="1"/>
    <col min="5122" max="5122" width="15.375" style="430" bestFit="1" customWidth="1"/>
    <col min="5123" max="5123" width="9.75" style="430" bestFit="1" customWidth="1"/>
    <col min="5124" max="5124" width="8.75" style="430" bestFit="1" customWidth="1"/>
    <col min="5125" max="5125" width="11.375" style="430" bestFit="1" customWidth="1"/>
    <col min="5126" max="5126" width="10.375" style="430" bestFit="1" customWidth="1"/>
    <col min="5127" max="5127" width="11.375" style="430" bestFit="1" customWidth="1"/>
    <col min="5128" max="5128" width="12.375" style="430" bestFit="1" customWidth="1"/>
    <col min="5129" max="5129" width="9.125" style="430" bestFit="1" customWidth="1"/>
    <col min="5130" max="5130" width="12.375" style="430" bestFit="1" customWidth="1"/>
    <col min="5131" max="5131" width="16.375" style="430" bestFit="1" customWidth="1"/>
    <col min="5132" max="5132" width="13.75" style="430" bestFit="1" customWidth="1"/>
    <col min="5133" max="5133" width="8.625" style="430" bestFit="1" customWidth="1"/>
    <col min="5134" max="5134" width="6.625" style="430" bestFit="1" customWidth="1"/>
    <col min="5135" max="5135" width="9.125" style="430" customWidth="1"/>
    <col min="5136" max="5136" width="6.125" style="430" bestFit="1" customWidth="1"/>
    <col min="5137" max="5137" width="9.375" style="430" bestFit="1" customWidth="1"/>
    <col min="5138" max="5138" width="10.375" style="430" bestFit="1" customWidth="1"/>
    <col min="5139" max="5371" width="8.75" style="430"/>
    <col min="5372" max="5372" width="6.125" style="430" bestFit="1" customWidth="1"/>
    <col min="5373" max="5373" width="14.375" style="430" bestFit="1" customWidth="1"/>
    <col min="5374" max="5374" width="21.75" style="430" bestFit="1" customWidth="1"/>
    <col min="5375" max="5375" width="0" style="430" hidden="1" customWidth="1"/>
    <col min="5376" max="5376" width="16.375" style="430" bestFit="1" customWidth="1"/>
    <col min="5377" max="5377" width="14" style="430" bestFit="1" customWidth="1"/>
    <col min="5378" max="5378" width="15.375" style="430" bestFit="1" customWidth="1"/>
    <col min="5379" max="5379" width="9.75" style="430" bestFit="1" customWidth="1"/>
    <col min="5380" max="5380" width="8.75" style="430" bestFit="1" customWidth="1"/>
    <col min="5381" max="5381" width="11.375" style="430" bestFit="1" customWidth="1"/>
    <col min="5382" max="5382" width="10.375" style="430" bestFit="1" customWidth="1"/>
    <col min="5383" max="5383" width="11.375" style="430" bestFit="1" customWidth="1"/>
    <col min="5384" max="5384" width="12.375" style="430" bestFit="1" customWidth="1"/>
    <col min="5385" max="5385" width="9.125" style="430" bestFit="1" customWidth="1"/>
    <col min="5386" max="5386" width="12.375" style="430" bestFit="1" customWidth="1"/>
    <col min="5387" max="5387" width="16.375" style="430" bestFit="1" customWidth="1"/>
    <col min="5388" max="5388" width="13.75" style="430" bestFit="1" customWidth="1"/>
    <col min="5389" max="5389" width="8.625" style="430" bestFit="1" customWidth="1"/>
    <col min="5390" max="5390" width="6.625" style="430" bestFit="1" customWidth="1"/>
    <col min="5391" max="5391" width="9.125" style="430" customWidth="1"/>
    <col min="5392" max="5392" width="6.125" style="430" bestFit="1" customWidth="1"/>
    <col min="5393" max="5393" width="9.375" style="430" bestFit="1" customWidth="1"/>
    <col min="5394" max="5394" width="10.375" style="430" bestFit="1" customWidth="1"/>
    <col min="5395" max="5627" width="8.75" style="430"/>
    <col min="5628" max="5628" width="6.125" style="430" bestFit="1" customWidth="1"/>
    <col min="5629" max="5629" width="14.375" style="430" bestFit="1" customWidth="1"/>
    <col min="5630" max="5630" width="21.75" style="430" bestFit="1" customWidth="1"/>
    <col min="5631" max="5631" width="0" style="430" hidden="1" customWidth="1"/>
    <col min="5632" max="5632" width="16.375" style="430" bestFit="1" customWidth="1"/>
    <col min="5633" max="5633" width="14" style="430" bestFit="1" customWidth="1"/>
    <col min="5634" max="5634" width="15.375" style="430" bestFit="1" customWidth="1"/>
    <col min="5635" max="5635" width="9.75" style="430" bestFit="1" customWidth="1"/>
    <col min="5636" max="5636" width="8.75" style="430" bestFit="1" customWidth="1"/>
    <col min="5637" max="5637" width="11.375" style="430" bestFit="1" customWidth="1"/>
    <col min="5638" max="5638" width="10.375" style="430" bestFit="1" customWidth="1"/>
    <col min="5639" max="5639" width="11.375" style="430" bestFit="1" customWidth="1"/>
    <col min="5640" max="5640" width="12.375" style="430" bestFit="1" customWidth="1"/>
    <col min="5641" max="5641" width="9.125" style="430" bestFit="1" customWidth="1"/>
    <col min="5642" max="5642" width="12.375" style="430" bestFit="1" customWidth="1"/>
    <col min="5643" max="5643" width="16.375" style="430" bestFit="1" customWidth="1"/>
    <col min="5644" max="5644" width="13.75" style="430" bestFit="1" customWidth="1"/>
    <col min="5645" max="5645" width="8.625" style="430" bestFit="1" customWidth="1"/>
    <col min="5646" max="5646" width="6.625" style="430" bestFit="1" customWidth="1"/>
    <col min="5647" max="5647" width="9.125" style="430" customWidth="1"/>
    <col min="5648" max="5648" width="6.125" style="430" bestFit="1" customWidth="1"/>
    <col min="5649" max="5649" width="9.375" style="430" bestFit="1" customWidth="1"/>
    <col min="5650" max="5650" width="10.375" style="430" bestFit="1" customWidth="1"/>
    <col min="5651" max="5883" width="8.75" style="430"/>
    <col min="5884" max="5884" width="6.125" style="430" bestFit="1" customWidth="1"/>
    <col min="5885" max="5885" width="14.375" style="430" bestFit="1" customWidth="1"/>
    <col min="5886" max="5886" width="21.75" style="430" bestFit="1" customWidth="1"/>
    <col min="5887" max="5887" width="0" style="430" hidden="1" customWidth="1"/>
    <col min="5888" max="5888" width="16.375" style="430" bestFit="1" customWidth="1"/>
    <col min="5889" max="5889" width="14" style="430" bestFit="1" customWidth="1"/>
    <col min="5890" max="5890" width="15.375" style="430" bestFit="1" customWidth="1"/>
    <col min="5891" max="5891" width="9.75" style="430" bestFit="1" customWidth="1"/>
    <col min="5892" max="5892" width="8.75" style="430" bestFit="1" customWidth="1"/>
    <col min="5893" max="5893" width="11.375" style="430" bestFit="1" customWidth="1"/>
    <col min="5894" max="5894" width="10.375" style="430" bestFit="1" customWidth="1"/>
    <col min="5895" max="5895" width="11.375" style="430" bestFit="1" customWidth="1"/>
    <col min="5896" max="5896" width="12.375" style="430" bestFit="1" customWidth="1"/>
    <col min="5897" max="5897" width="9.125" style="430" bestFit="1" customWidth="1"/>
    <col min="5898" max="5898" width="12.375" style="430" bestFit="1" customWidth="1"/>
    <col min="5899" max="5899" width="16.375" style="430" bestFit="1" customWidth="1"/>
    <col min="5900" max="5900" width="13.75" style="430" bestFit="1" customWidth="1"/>
    <col min="5901" max="5901" width="8.625" style="430" bestFit="1" customWidth="1"/>
    <col min="5902" max="5902" width="6.625" style="430" bestFit="1" customWidth="1"/>
    <col min="5903" max="5903" width="9.125" style="430" customWidth="1"/>
    <col min="5904" max="5904" width="6.125" style="430" bestFit="1" customWidth="1"/>
    <col min="5905" max="5905" width="9.375" style="430" bestFit="1" customWidth="1"/>
    <col min="5906" max="5906" width="10.375" style="430" bestFit="1" customWidth="1"/>
    <col min="5907" max="6139" width="8.75" style="430"/>
    <col min="6140" max="6140" width="6.125" style="430" bestFit="1" customWidth="1"/>
    <col min="6141" max="6141" width="14.375" style="430" bestFit="1" customWidth="1"/>
    <col min="6142" max="6142" width="21.75" style="430" bestFit="1" customWidth="1"/>
    <col min="6143" max="6143" width="0" style="430" hidden="1" customWidth="1"/>
    <col min="6144" max="6144" width="16.375" style="430" bestFit="1" customWidth="1"/>
    <col min="6145" max="6145" width="14" style="430" bestFit="1" customWidth="1"/>
    <col min="6146" max="6146" width="15.375" style="430" bestFit="1" customWidth="1"/>
    <col min="6147" max="6147" width="9.75" style="430" bestFit="1" customWidth="1"/>
    <col min="6148" max="6148" width="8.75" style="430" bestFit="1" customWidth="1"/>
    <col min="6149" max="6149" width="11.375" style="430" bestFit="1" customWidth="1"/>
    <col min="6150" max="6150" width="10.375" style="430" bestFit="1" customWidth="1"/>
    <col min="6151" max="6151" width="11.375" style="430" bestFit="1" customWidth="1"/>
    <col min="6152" max="6152" width="12.375" style="430" bestFit="1" customWidth="1"/>
    <col min="6153" max="6153" width="9.125" style="430" bestFit="1" customWidth="1"/>
    <col min="6154" max="6154" width="12.375" style="430" bestFit="1" customWidth="1"/>
    <col min="6155" max="6155" width="16.375" style="430" bestFit="1" customWidth="1"/>
    <col min="6156" max="6156" width="13.75" style="430" bestFit="1" customWidth="1"/>
    <col min="6157" max="6157" width="8.625" style="430" bestFit="1" customWidth="1"/>
    <col min="6158" max="6158" width="6.625" style="430" bestFit="1" customWidth="1"/>
    <col min="6159" max="6159" width="9.125" style="430" customWidth="1"/>
    <col min="6160" max="6160" width="6.125" style="430" bestFit="1" customWidth="1"/>
    <col min="6161" max="6161" width="9.375" style="430" bestFit="1" customWidth="1"/>
    <col min="6162" max="6162" width="10.375" style="430" bestFit="1" customWidth="1"/>
    <col min="6163" max="6395" width="8.75" style="430"/>
    <col min="6396" max="6396" width="6.125" style="430" bestFit="1" customWidth="1"/>
    <col min="6397" max="6397" width="14.375" style="430" bestFit="1" customWidth="1"/>
    <col min="6398" max="6398" width="21.75" style="430" bestFit="1" customWidth="1"/>
    <col min="6399" max="6399" width="0" style="430" hidden="1" customWidth="1"/>
    <col min="6400" max="6400" width="16.375" style="430" bestFit="1" customWidth="1"/>
    <col min="6401" max="6401" width="14" style="430" bestFit="1" customWidth="1"/>
    <col min="6402" max="6402" width="15.375" style="430" bestFit="1" customWidth="1"/>
    <col min="6403" max="6403" width="9.75" style="430" bestFit="1" customWidth="1"/>
    <col min="6404" max="6404" width="8.75" style="430" bestFit="1" customWidth="1"/>
    <col min="6405" max="6405" width="11.375" style="430" bestFit="1" customWidth="1"/>
    <col min="6406" max="6406" width="10.375" style="430" bestFit="1" customWidth="1"/>
    <col min="6407" max="6407" width="11.375" style="430" bestFit="1" customWidth="1"/>
    <col min="6408" max="6408" width="12.375" style="430" bestFit="1" customWidth="1"/>
    <col min="6409" max="6409" width="9.125" style="430" bestFit="1" customWidth="1"/>
    <col min="6410" max="6410" width="12.375" style="430" bestFit="1" customWidth="1"/>
    <col min="6411" max="6411" width="16.375" style="430" bestFit="1" customWidth="1"/>
    <col min="6412" max="6412" width="13.75" style="430" bestFit="1" customWidth="1"/>
    <col min="6413" max="6413" width="8.625" style="430" bestFit="1" customWidth="1"/>
    <col min="6414" max="6414" width="6.625" style="430" bestFit="1" customWidth="1"/>
    <col min="6415" max="6415" width="9.125" style="430" customWidth="1"/>
    <col min="6416" max="6416" width="6.125" style="430" bestFit="1" customWidth="1"/>
    <col min="6417" max="6417" width="9.375" style="430" bestFit="1" customWidth="1"/>
    <col min="6418" max="6418" width="10.375" style="430" bestFit="1" customWidth="1"/>
    <col min="6419" max="6651" width="8.75" style="430"/>
    <col min="6652" max="6652" width="6.125" style="430" bestFit="1" customWidth="1"/>
    <col min="6653" max="6653" width="14.375" style="430" bestFit="1" customWidth="1"/>
    <col min="6654" max="6654" width="21.75" style="430" bestFit="1" customWidth="1"/>
    <col min="6655" max="6655" width="0" style="430" hidden="1" customWidth="1"/>
    <col min="6656" max="6656" width="16.375" style="430" bestFit="1" customWidth="1"/>
    <col min="6657" max="6657" width="14" style="430" bestFit="1" customWidth="1"/>
    <col min="6658" max="6658" width="15.375" style="430" bestFit="1" customWidth="1"/>
    <col min="6659" max="6659" width="9.75" style="430" bestFit="1" customWidth="1"/>
    <col min="6660" max="6660" width="8.75" style="430" bestFit="1" customWidth="1"/>
    <col min="6661" max="6661" width="11.375" style="430" bestFit="1" customWidth="1"/>
    <col min="6662" max="6662" width="10.375" style="430" bestFit="1" customWidth="1"/>
    <col min="6663" max="6663" width="11.375" style="430" bestFit="1" customWidth="1"/>
    <col min="6664" max="6664" width="12.375" style="430" bestFit="1" customWidth="1"/>
    <col min="6665" max="6665" width="9.125" style="430" bestFit="1" customWidth="1"/>
    <col min="6666" max="6666" width="12.375" style="430" bestFit="1" customWidth="1"/>
    <col min="6667" max="6667" width="16.375" style="430" bestFit="1" customWidth="1"/>
    <col min="6668" max="6668" width="13.75" style="430" bestFit="1" customWidth="1"/>
    <col min="6669" max="6669" width="8.625" style="430" bestFit="1" customWidth="1"/>
    <col min="6670" max="6670" width="6.625" style="430" bestFit="1" customWidth="1"/>
    <col min="6671" max="6671" width="9.125" style="430" customWidth="1"/>
    <col min="6672" max="6672" width="6.125" style="430" bestFit="1" customWidth="1"/>
    <col min="6673" max="6673" width="9.375" style="430" bestFit="1" customWidth="1"/>
    <col min="6674" max="6674" width="10.375" style="430" bestFit="1" customWidth="1"/>
    <col min="6675" max="6907" width="8.75" style="430"/>
    <col min="6908" max="6908" width="6.125" style="430" bestFit="1" customWidth="1"/>
    <col min="6909" max="6909" width="14.375" style="430" bestFit="1" customWidth="1"/>
    <col min="6910" max="6910" width="21.75" style="430" bestFit="1" customWidth="1"/>
    <col min="6911" max="6911" width="0" style="430" hidden="1" customWidth="1"/>
    <col min="6912" max="6912" width="16.375" style="430" bestFit="1" customWidth="1"/>
    <col min="6913" max="6913" width="14" style="430" bestFit="1" customWidth="1"/>
    <col min="6914" max="6914" width="15.375" style="430" bestFit="1" customWidth="1"/>
    <col min="6915" max="6915" width="9.75" style="430" bestFit="1" customWidth="1"/>
    <col min="6916" max="6916" width="8.75" style="430" bestFit="1" customWidth="1"/>
    <col min="6917" max="6917" width="11.375" style="430" bestFit="1" customWidth="1"/>
    <col min="6918" max="6918" width="10.375" style="430" bestFit="1" customWidth="1"/>
    <col min="6919" max="6919" width="11.375" style="430" bestFit="1" customWidth="1"/>
    <col min="6920" max="6920" width="12.375" style="430" bestFit="1" customWidth="1"/>
    <col min="6921" max="6921" width="9.125" style="430" bestFit="1" customWidth="1"/>
    <col min="6922" max="6922" width="12.375" style="430" bestFit="1" customWidth="1"/>
    <col min="6923" max="6923" width="16.375" style="430" bestFit="1" customWidth="1"/>
    <col min="6924" max="6924" width="13.75" style="430" bestFit="1" customWidth="1"/>
    <col min="6925" max="6925" width="8.625" style="430" bestFit="1" customWidth="1"/>
    <col min="6926" max="6926" width="6.625" style="430" bestFit="1" customWidth="1"/>
    <col min="6927" max="6927" width="9.125" style="430" customWidth="1"/>
    <col min="6928" max="6928" width="6.125" style="430" bestFit="1" customWidth="1"/>
    <col min="6929" max="6929" width="9.375" style="430" bestFit="1" customWidth="1"/>
    <col min="6930" max="6930" width="10.375" style="430" bestFit="1" customWidth="1"/>
    <col min="6931" max="7163" width="8.75" style="430"/>
    <col min="7164" max="7164" width="6.125" style="430" bestFit="1" customWidth="1"/>
    <col min="7165" max="7165" width="14.375" style="430" bestFit="1" customWidth="1"/>
    <col min="7166" max="7166" width="21.75" style="430" bestFit="1" customWidth="1"/>
    <col min="7167" max="7167" width="0" style="430" hidden="1" customWidth="1"/>
    <col min="7168" max="7168" width="16.375" style="430" bestFit="1" customWidth="1"/>
    <col min="7169" max="7169" width="14" style="430" bestFit="1" customWidth="1"/>
    <col min="7170" max="7170" width="15.375" style="430" bestFit="1" customWidth="1"/>
    <col min="7171" max="7171" width="9.75" style="430" bestFit="1" customWidth="1"/>
    <col min="7172" max="7172" width="8.75" style="430" bestFit="1" customWidth="1"/>
    <col min="7173" max="7173" width="11.375" style="430" bestFit="1" customWidth="1"/>
    <col min="7174" max="7174" width="10.375" style="430" bestFit="1" customWidth="1"/>
    <col min="7175" max="7175" width="11.375" style="430" bestFit="1" customWidth="1"/>
    <col min="7176" max="7176" width="12.375" style="430" bestFit="1" customWidth="1"/>
    <col min="7177" max="7177" width="9.125" style="430" bestFit="1" customWidth="1"/>
    <col min="7178" max="7178" width="12.375" style="430" bestFit="1" customWidth="1"/>
    <col min="7179" max="7179" width="16.375" style="430" bestFit="1" customWidth="1"/>
    <col min="7180" max="7180" width="13.75" style="430" bestFit="1" customWidth="1"/>
    <col min="7181" max="7181" width="8.625" style="430" bestFit="1" customWidth="1"/>
    <col min="7182" max="7182" width="6.625" style="430" bestFit="1" customWidth="1"/>
    <col min="7183" max="7183" width="9.125" style="430" customWidth="1"/>
    <col min="7184" max="7184" width="6.125" style="430" bestFit="1" customWidth="1"/>
    <col min="7185" max="7185" width="9.375" style="430" bestFit="1" customWidth="1"/>
    <col min="7186" max="7186" width="10.375" style="430" bestFit="1" customWidth="1"/>
    <col min="7187" max="7419" width="8.75" style="430"/>
    <col min="7420" max="7420" width="6.125" style="430" bestFit="1" customWidth="1"/>
    <col min="7421" max="7421" width="14.375" style="430" bestFit="1" customWidth="1"/>
    <col min="7422" max="7422" width="21.75" style="430" bestFit="1" customWidth="1"/>
    <col min="7423" max="7423" width="0" style="430" hidden="1" customWidth="1"/>
    <col min="7424" max="7424" width="16.375" style="430" bestFit="1" customWidth="1"/>
    <col min="7425" max="7425" width="14" style="430" bestFit="1" customWidth="1"/>
    <col min="7426" max="7426" width="15.375" style="430" bestFit="1" customWidth="1"/>
    <col min="7427" max="7427" width="9.75" style="430" bestFit="1" customWidth="1"/>
    <col min="7428" max="7428" width="8.75" style="430" bestFit="1" customWidth="1"/>
    <col min="7429" max="7429" width="11.375" style="430" bestFit="1" customWidth="1"/>
    <col min="7430" max="7430" width="10.375" style="430" bestFit="1" customWidth="1"/>
    <col min="7431" max="7431" width="11.375" style="430" bestFit="1" customWidth="1"/>
    <col min="7432" max="7432" width="12.375" style="430" bestFit="1" customWidth="1"/>
    <col min="7433" max="7433" width="9.125" style="430" bestFit="1" customWidth="1"/>
    <col min="7434" max="7434" width="12.375" style="430" bestFit="1" customWidth="1"/>
    <col min="7435" max="7435" width="16.375" style="430" bestFit="1" customWidth="1"/>
    <col min="7436" max="7436" width="13.75" style="430" bestFit="1" customWidth="1"/>
    <col min="7437" max="7437" width="8.625" style="430" bestFit="1" customWidth="1"/>
    <col min="7438" max="7438" width="6.625" style="430" bestFit="1" customWidth="1"/>
    <col min="7439" max="7439" width="9.125" style="430" customWidth="1"/>
    <col min="7440" max="7440" width="6.125" style="430" bestFit="1" customWidth="1"/>
    <col min="7441" max="7441" width="9.375" style="430" bestFit="1" customWidth="1"/>
    <col min="7442" max="7442" width="10.375" style="430" bestFit="1" customWidth="1"/>
    <col min="7443" max="7675" width="8.75" style="430"/>
    <col min="7676" max="7676" width="6.125" style="430" bestFit="1" customWidth="1"/>
    <col min="7677" max="7677" width="14.375" style="430" bestFit="1" customWidth="1"/>
    <col min="7678" max="7678" width="21.75" style="430" bestFit="1" customWidth="1"/>
    <col min="7679" max="7679" width="0" style="430" hidden="1" customWidth="1"/>
    <col min="7680" max="7680" width="16.375" style="430" bestFit="1" customWidth="1"/>
    <col min="7681" max="7681" width="14" style="430" bestFit="1" customWidth="1"/>
    <col min="7682" max="7682" width="15.375" style="430" bestFit="1" customWidth="1"/>
    <col min="7683" max="7683" width="9.75" style="430" bestFit="1" customWidth="1"/>
    <col min="7684" max="7684" width="8.75" style="430" bestFit="1" customWidth="1"/>
    <col min="7685" max="7685" width="11.375" style="430" bestFit="1" customWidth="1"/>
    <col min="7686" max="7686" width="10.375" style="430" bestFit="1" customWidth="1"/>
    <col min="7687" max="7687" width="11.375" style="430" bestFit="1" customWidth="1"/>
    <col min="7688" max="7688" width="12.375" style="430" bestFit="1" customWidth="1"/>
    <col min="7689" max="7689" width="9.125" style="430" bestFit="1" customWidth="1"/>
    <col min="7690" max="7690" width="12.375" style="430" bestFit="1" customWidth="1"/>
    <col min="7691" max="7691" width="16.375" style="430" bestFit="1" customWidth="1"/>
    <col min="7692" max="7692" width="13.75" style="430" bestFit="1" customWidth="1"/>
    <col min="7693" max="7693" width="8.625" style="430" bestFit="1" customWidth="1"/>
    <col min="7694" max="7694" width="6.625" style="430" bestFit="1" customWidth="1"/>
    <col min="7695" max="7695" width="9.125" style="430" customWidth="1"/>
    <col min="7696" max="7696" width="6.125" style="430" bestFit="1" customWidth="1"/>
    <col min="7697" max="7697" width="9.375" style="430" bestFit="1" customWidth="1"/>
    <col min="7698" max="7698" width="10.375" style="430" bestFit="1" customWidth="1"/>
    <col min="7699" max="7931" width="8.75" style="430"/>
    <col min="7932" max="7932" width="6.125" style="430" bestFit="1" customWidth="1"/>
    <col min="7933" max="7933" width="14.375" style="430" bestFit="1" customWidth="1"/>
    <col min="7934" max="7934" width="21.75" style="430" bestFit="1" customWidth="1"/>
    <col min="7935" max="7935" width="0" style="430" hidden="1" customWidth="1"/>
    <col min="7936" max="7936" width="16.375" style="430" bestFit="1" customWidth="1"/>
    <col min="7937" max="7937" width="14" style="430" bestFit="1" customWidth="1"/>
    <col min="7938" max="7938" width="15.375" style="430" bestFit="1" customWidth="1"/>
    <col min="7939" max="7939" width="9.75" style="430" bestFit="1" customWidth="1"/>
    <col min="7940" max="7940" width="8.75" style="430" bestFit="1" customWidth="1"/>
    <col min="7941" max="7941" width="11.375" style="430" bestFit="1" customWidth="1"/>
    <col min="7942" max="7942" width="10.375" style="430" bestFit="1" customWidth="1"/>
    <col min="7943" max="7943" width="11.375" style="430" bestFit="1" customWidth="1"/>
    <col min="7944" max="7944" width="12.375" style="430" bestFit="1" customWidth="1"/>
    <col min="7945" max="7945" width="9.125" style="430" bestFit="1" customWidth="1"/>
    <col min="7946" max="7946" width="12.375" style="430" bestFit="1" customWidth="1"/>
    <col min="7947" max="7947" width="16.375" style="430" bestFit="1" customWidth="1"/>
    <col min="7948" max="7948" width="13.75" style="430" bestFit="1" customWidth="1"/>
    <col min="7949" max="7949" width="8.625" style="430" bestFit="1" customWidth="1"/>
    <col min="7950" max="7950" width="6.625" style="430" bestFit="1" customWidth="1"/>
    <col min="7951" max="7951" width="9.125" style="430" customWidth="1"/>
    <col min="7952" max="7952" width="6.125" style="430" bestFit="1" customWidth="1"/>
    <col min="7953" max="7953" width="9.375" style="430" bestFit="1" customWidth="1"/>
    <col min="7954" max="7954" width="10.375" style="430" bestFit="1" customWidth="1"/>
    <col min="7955" max="8187" width="8.75" style="430"/>
    <col min="8188" max="8188" width="6.125" style="430" bestFit="1" customWidth="1"/>
    <col min="8189" max="8189" width="14.375" style="430" bestFit="1" customWidth="1"/>
    <col min="8190" max="8190" width="21.75" style="430" bestFit="1" customWidth="1"/>
    <col min="8191" max="8191" width="0" style="430" hidden="1" customWidth="1"/>
    <col min="8192" max="8192" width="16.375" style="430" bestFit="1" customWidth="1"/>
    <col min="8193" max="8193" width="14" style="430" bestFit="1" customWidth="1"/>
    <col min="8194" max="8194" width="15.375" style="430" bestFit="1" customWidth="1"/>
    <col min="8195" max="8195" width="9.75" style="430" bestFit="1" customWidth="1"/>
    <col min="8196" max="8196" width="8.75" style="430" bestFit="1" customWidth="1"/>
    <col min="8197" max="8197" width="11.375" style="430" bestFit="1" customWidth="1"/>
    <col min="8198" max="8198" width="10.375" style="430" bestFit="1" customWidth="1"/>
    <col min="8199" max="8199" width="11.375" style="430" bestFit="1" customWidth="1"/>
    <col min="8200" max="8200" width="12.375" style="430" bestFit="1" customWidth="1"/>
    <col min="8201" max="8201" width="9.125" style="430" bestFit="1" customWidth="1"/>
    <col min="8202" max="8202" width="12.375" style="430" bestFit="1" customWidth="1"/>
    <col min="8203" max="8203" width="16.375" style="430" bestFit="1" customWidth="1"/>
    <col min="8204" max="8204" width="13.75" style="430" bestFit="1" customWidth="1"/>
    <col min="8205" max="8205" width="8.625" style="430" bestFit="1" customWidth="1"/>
    <col min="8206" max="8206" width="6.625" style="430" bestFit="1" customWidth="1"/>
    <col min="8207" max="8207" width="9.125" style="430" customWidth="1"/>
    <col min="8208" max="8208" width="6.125" style="430" bestFit="1" customWidth="1"/>
    <col min="8209" max="8209" width="9.375" style="430" bestFit="1" customWidth="1"/>
    <col min="8210" max="8210" width="10.375" style="430" bestFit="1" customWidth="1"/>
    <col min="8211" max="8443" width="8.75" style="430"/>
    <col min="8444" max="8444" width="6.125" style="430" bestFit="1" customWidth="1"/>
    <col min="8445" max="8445" width="14.375" style="430" bestFit="1" customWidth="1"/>
    <col min="8446" max="8446" width="21.75" style="430" bestFit="1" customWidth="1"/>
    <col min="8447" max="8447" width="0" style="430" hidden="1" customWidth="1"/>
    <col min="8448" max="8448" width="16.375" style="430" bestFit="1" customWidth="1"/>
    <col min="8449" max="8449" width="14" style="430" bestFit="1" customWidth="1"/>
    <col min="8450" max="8450" width="15.375" style="430" bestFit="1" customWidth="1"/>
    <col min="8451" max="8451" width="9.75" style="430" bestFit="1" customWidth="1"/>
    <col min="8452" max="8452" width="8.75" style="430" bestFit="1" customWidth="1"/>
    <col min="8453" max="8453" width="11.375" style="430" bestFit="1" customWidth="1"/>
    <col min="8454" max="8454" width="10.375" style="430" bestFit="1" customWidth="1"/>
    <col min="8455" max="8455" width="11.375" style="430" bestFit="1" customWidth="1"/>
    <col min="8456" max="8456" width="12.375" style="430" bestFit="1" customWidth="1"/>
    <col min="8457" max="8457" width="9.125" style="430" bestFit="1" customWidth="1"/>
    <col min="8458" max="8458" width="12.375" style="430" bestFit="1" customWidth="1"/>
    <col min="8459" max="8459" width="16.375" style="430" bestFit="1" customWidth="1"/>
    <col min="8460" max="8460" width="13.75" style="430" bestFit="1" customWidth="1"/>
    <col min="8461" max="8461" width="8.625" style="430" bestFit="1" customWidth="1"/>
    <col min="8462" max="8462" width="6.625" style="430" bestFit="1" customWidth="1"/>
    <col min="8463" max="8463" width="9.125" style="430" customWidth="1"/>
    <col min="8464" max="8464" width="6.125" style="430" bestFit="1" customWidth="1"/>
    <col min="8465" max="8465" width="9.375" style="430" bestFit="1" customWidth="1"/>
    <col min="8466" max="8466" width="10.375" style="430" bestFit="1" customWidth="1"/>
    <col min="8467" max="8699" width="8.75" style="430"/>
    <col min="8700" max="8700" width="6.125" style="430" bestFit="1" customWidth="1"/>
    <col min="8701" max="8701" width="14.375" style="430" bestFit="1" customWidth="1"/>
    <col min="8702" max="8702" width="21.75" style="430" bestFit="1" customWidth="1"/>
    <col min="8703" max="8703" width="0" style="430" hidden="1" customWidth="1"/>
    <col min="8704" max="8704" width="16.375" style="430" bestFit="1" customWidth="1"/>
    <col min="8705" max="8705" width="14" style="430" bestFit="1" customWidth="1"/>
    <col min="8706" max="8706" width="15.375" style="430" bestFit="1" customWidth="1"/>
    <col min="8707" max="8707" width="9.75" style="430" bestFit="1" customWidth="1"/>
    <col min="8708" max="8708" width="8.75" style="430" bestFit="1" customWidth="1"/>
    <col min="8709" max="8709" width="11.375" style="430" bestFit="1" customWidth="1"/>
    <col min="8710" max="8710" width="10.375" style="430" bestFit="1" customWidth="1"/>
    <col min="8711" max="8711" width="11.375" style="430" bestFit="1" customWidth="1"/>
    <col min="8712" max="8712" width="12.375" style="430" bestFit="1" customWidth="1"/>
    <col min="8713" max="8713" width="9.125" style="430" bestFit="1" customWidth="1"/>
    <col min="8714" max="8714" width="12.375" style="430" bestFit="1" customWidth="1"/>
    <col min="8715" max="8715" width="16.375" style="430" bestFit="1" customWidth="1"/>
    <col min="8716" max="8716" width="13.75" style="430" bestFit="1" customWidth="1"/>
    <col min="8717" max="8717" width="8.625" style="430" bestFit="1" customWidth="1"/>
    <col min="8718" max="8718" width="6.625" style="430" bestFit="1" customWidth="1"/>
    <col min="8719" max="8719" width="9.125" style="430" customWidth="1"/>
    <col min="8720" max="8720" width="6.125" style="430" bestFit="1" customWidth="1"/>
    <col min="8721" max="8721" width="9.375" style="430" bestFit="1" customWidth="1"/>
    <col min="8722" max="8722" width="10.375" style="430" bestFit="1" customWidth="1"/>
    <col min="8723" max="8955" width="8.75" style="430"/>
    <col min="8956" max="8956" width="6.125" style="430" bestFit="1" customWidth="1"/>
    <col min="8957" max="8957" width="14.375" style="430" bestFit="1" customWidth="1"/>
    <col min="8958" max="8958" width="21.75" style="430" bestFit="1" customWidth="1"/>
    <col min="8959" max="8959" width="0" style="430" hidden="1" customWidth="1"/>
    <col min="8960" max="8960" width="16.375" style="430" bestFit="1" customWidth="1"/>
    <col min="8961" max="8961" width="14" style="430" bestFit="1" customWidth="1"/>
    <col min="8962" max="8962" width="15.375" style="430" bestFit="1" customWidth="1"/>
    <col min="8963" max="8963" width="9.75" style="430" bestFit="1" customWidth="1"/>
    <col min="8964" max="8964" width="8.75" style="430" bestFit="1" customWidth="1"/>
    <col min="8965" max="8965" width="11.375" style="430" bestFit="1" customWidth="1"/>
    <col min="8966" max="8966" width="10.375" style="430" bestFit="1" customWidth="1"/>
    <col min="8967" max="8967" width="11.375" style="430" bestFit="1" customWidth="1"/>
    <col min="8968" max="8968" width="12.375" style="430" bestFit="1" customWidth="1"/>
    <col min="8969" max="8969" width="9.125" style="430" bestFit="1" customWidth="1"/>
    <col min="8970" max="8970" width="12.375" style="430" bestFit="1" customWidth="1"/>
    <col min="8971" max="8971" width="16.375" style="430" bestFit="1" customWidth="1"/>
    <col min="8972" max="8972" width="13.75" style="430" bestFit="1" customWidth="1"/>
    <col min="8973" max="8973" width="8.625" style="430" bestFit="1" customWidth="1"/>
    <col min="8974" max="8974" width="6.625" style="430" bestFit="1" customWidth="1"/>
    <col min="8975" max="8975" width="9.125" style="430" customWidth="1"/>
    <col min="8976" max="8976" width="6.125" style="430" bestFit="1" customWidth="1"/>
    <col min="8977" max="8977" width="9.375" style="430" bestFit="1" customWidth="1"/>
    <col min="8978" max="8978" width="10.375" style="430" bestFit="1" customWidth="1"/>
    <col min="8979" max="9211" width="8.75" style="430"/>
    <col min="9212" max="9212" width="6.125" style="430" bestFit="1" customWidth="1"/>
    <col min="9213" max="9213" width="14.375" style="430" bestFit="1" customWidth="1"/>
    <col min="9214" max="9214" width="21.75" style="430" bestFit="1" customWidth="1"/>
    <col min="9215" max="9215" width="0" style="430" hidden="1" customWidth="1"/>
    <col min="9216" max="9216" width="16.375" style="430" bestFit="1" customWidth="1"/>
    <col min="9217" max="9217" width="14" style="430" bestFit="1" customWidth="1"/>
    <col min="9218" max="9218" width="15.375" style="430" bestFit="1" customWidth="1"/>
    <col min="9219" max="9219" width="9.75" style="430" bestFit="1" customWidth="1"/>
    <col min="9220" max="9220" width="8.75" style="430" bestFit="1" customWidth="1"/>
    <col min="9221" max="9221" width="11.375" style="430" bestFit="1" customWidth="1"/>
    <col min="9222" max="9222" width="10.375" style="430" bestFit="1" customWidth="1"/>
    <col min="9223" max="9223" width="11.375" style="430" bestFit="1" customWidth="1"/>
    <col min="9224" max="9224" width="12.375" style="430" bestFit="1" customWidth="1"/>
    <col min="9225" max="9225" width="9.125" style="430" bestFit="1" customWidth="1"/>
    <col min="9226" max="9226" width="12.375" style="430" bestFit="1" customWidth="1"/>
    <col min="9227" max="9227" width="16.375" style="430" bestFit="1" customWidth="1"/>
    <col min="9228" max="9228" width="13.75" style="430" bestFit="1" customWidth="1"/>
    <col min="9229" max="9229" width="8.625" style="430" bestFit="1" customWidth="1"/>
    <col min="9230" max="9230" width="6.625" style="430" bestFit="1" customWidth="1"/>
    <col min="9231" max="9231" width="9.125" style="430" customWidth="1"/>
    <col min="9232" max="9232" width="6.125" style="430" bestFit="1" customWidth="1"/>
    <col min="9233" max="9233" width="9.375" style="430" bestFit="1" customWidth="1"/>
    <col min="9234" max="9234" width="10.375" style="430" bestFit="1" customWidth="1"/>
    <col min="9235" max="9467" width="8.75" style="430"/>
    <col min="9468" max="9468" width="6.125" style="430" bestFit="1" customWidth="1"/>
    <col min="9469" max="9469" width="14.375" style="430" bestFit="1" customWidth="1"/>
    <col min="9470" max="9470" width="21.75" style="430" bestFit="1" customWidth="1"/>
    <col min="9471" max="9471" width="0" style="430" hidden="1" customWidth="1"/>
    <col min="9472" max="9472" width="16.375" style="430" bestFit="1" customWidth="1"/>
    <col min="9473" max="9473" width="14" style="430" bestFit="1" customWidth="1"/>
    <col min="9474" max="9474" width="15.375" style="430" bestFit="1" customWidth="1"/>
    <col min="9475" max="9475" width="9.75" style="430" bestFit="1" customWidth="1"/>
    <col min="9476" max="9476" width="8.75" style="430" bestFit="1" customWidth="1"/>
    <col min="9477" max="9477" width="11.375" style="430" bestFit="1" customWidth="1"/>
    <col min="9478" max="9478" width="10.375" style="430" bestFit="1" customWidth="1"/>
    <col min="9479" max="9479" width="11.375" style="430" bestFit="1" customWidth="1"/>
    <col min="9480" max="9480" width="12.375" style="430" bestFit="1" customWidth="1"/>
    <col min="9481" max="9481" width="9.125" style="430" bestFit="1" customWidth="1"/>
    <col min="9482" max="9482" width="12.375" style="430" bestFit="1" customWidth="1"/>
    <col min="9483" max="9483" width="16.375" style="430" bestFit="1" customWidth="1"/>
    <col min="9484" max="9484" width="13.75" style="430" bestFit="1" customWidth="1"/>
    <col min="9485" max="9485" width="8.625" style="430" bestFit="1" customWidth="1"/>
    <col min="9486" max="9486" width="6.625" style="430" bestFit="1" customWidth="1"/>
    <col min="9487" max="9487" width="9.125" style="430" customWidth="1"/>
    <col min="9488" max="9488" width="6.125" style="430" bestFit="1" customWidth="1"/>
    <col min="9489" max="9489" width="9.375" style="430" bestFit="1" customWidth="1"/>
    <col min="9490" max="9490" width="10.375" style="430" bestFit="1" customWidth="1"/>
    <col min="9491" max="9723" width="8.75" style="430"/>
    <col min="9724" max="9724" width="6.125" style="430" bestFit="1" customWidth="1"/>
    <col min="9725" max="9725" width="14.375" style="430" bestFit="1" customWidth="1"/>
    <col min="9726" max="9726" width="21.75" style="430" bestFit="1" customWidth="1"/>
    <col min="9727" max="9727" width="0" style="430" hidden="1" customWidth="1"/>
    <col min="9728" max="9728" width="16.375" style="430" bestFit="1" customWidth="1"/>
    <col min="9729" max="9729" width="14" style="430" bestFit="1" customWidth="1"/>
    <col min="9730" max="9730" width="15.375" style="430" bestFit="1" customWidth="1"/>
    <col min="9731" max="9731" width="9.75" style="430" bestFit="1" customWidth="1"/>
    <col min="9732" max="9732" width="8.75" style="430" bestFit="1" customWidth="1"/>
    <col min="9733" max="9733" width="11.375" style="430" bestFit="1" customWidth="1"/>
    <col min="9734" max="9734" width="10.375" style="430" bestFit="1" customWidth="1"/>
    <col min="9735" max="9735" width="11.375" style="430" bestFit="1" customWidth="1"/>
    <col min="9736" max="9736" width="12.375" style="430" bestFit="1" customWidth="1"/>
    <col min="9737" max="9737" width="9.125" style="430" bestFit="1" customWidth="1"/>
    <col min="9738" max="9738" width="12.375" style="430" bestFit="1" customWidth="1"/>
    <col min="9739" max="9739" width="16.375" style="430" bestFit="1" customWidth="1"/>
    <col min="9740" max="9740" width="13.75" style="430" bestFit="1" customWidth="1"/>
    <col min="9741" max="9741" width="8.625" style="430" bestFit="1" customWidth="1"/>
    <col min="9742" max="9742" width="6.625" style="430" bestFit="1" customWidth="1"/>
    <col min="9743" max="9743" width="9.125" style="430" customWidth="1"/>
    <col min="9744" max="9744" width="6.125" style="430" bestFit="1" customWidth="1"/>
    <col min="9745" max="9745" width="9.375" style="430" bestFit="1" customWidth="1"/>
    <col min="9746" max="9746" width="10.375" style="430" bestFit="1" customWidth="1"/>
    <col min="9747" max="9979" width="8.75" style="430"/>
    <col min="9980" max="9980" width="6.125" style="430" bestFit="1" customWidth="1"/>
    <col min="9981" max="9981" width="14.375" style="430" bestFit="1" customWidth="1"/>
    <col min="9982" max="9982" width="21.75" style="430" bestFit="1" customWidth="1"/>
    <col min="9983" max="9983" width="0" style="430" hidden="1" customWidth="1"/>
    <col min="9984" max="9984" width="16.375" style="430" bestFit="1" customWidth="1"/>
    <col min="9985" max="9985" width="14" style="430" bestFit="1" customWidth="1"/>
    <col min="9986" max="9986" width="15.375" style="430" bestFit="1" customWidth="1"/>
    <col min="9987" max="9987" width="9.75" style="430" bestFit="1" customWidth="1"/>
    <col min="9988" max="9988" width="8.75" style="430" bestFit="1" customWidth="1"/>
    <col min="9989" max="9989" width="11.375" style="430" bestFit="1" customWidth="1"/>
    <col min="9990" max="9990" width="10.375" style="430" bestFit="1" customWidth="1"/>
    <col min="9991" max="9991" width="11.375" style="430" bestFit="1" customWidth="1"/>
    <col min="9992" max="9992" width="12.375" style="430" bestFit="1" customWidth="1"/>
    <col min="9993" max="9993" width="9.125" style="430" bestFit="1" customWidth="1"/>
    <col min="9994" max="9994" width="12.375" style="430" bestFit="1" customWidth="1"/>
    <col min="9995" max="9995" width="16.375" style="430" bestFit="1" customWidth="1"/>
    <col min="9996" max="9996" width="13.75" style="430" bestFit="1" customWidth="1"/>
    <col min="9997" max="9997" width="8.625" style="430" bestFit="1" customWidth="1"/>
    <col min="9998" max="9998" width="6.625" style="430" bestFit="1" customWidth="1"/>
    <col min="9999" max="9999" width="9.125" style="430" customWidth="1"/>
    <col min="10000" max="10000" width="6.125" style="430" bestFit="1" customWidth="1"/>
    <col min="10001" max="10001" width="9.375" style="430" bestFit="1" customWidth="1"/>
    <col min="10002" max="10002" width="10.375" style="430" bestFit="1" customWidth="1"/>
    <col min="10003" max="10235" width="8.75" style="430"/>
    <col min="10236" max="10236" width="6.125" style="430" bestFit="1" customWidth="1"/>
    <col min="10237" max="10237" width="14.375" style="430" bestFit="1" customWidth="1"/>
    <col min="10238" max="10238" width="21.75" style="430" bestFit="1" customWidth="1"/>
    <col min="10239" max="10239" width="0" style="430" hidden="1" customWidth="1"/>
    <col min="10240" max="10240" width="16.375" style="430" bestFit="1" customWidth="1"/>
    <col min="10241" max="10241" width="14" style="430" bestFit="1" customWidth="1"/>
    <col min="10242" max="10242" width="15.375" style="430" bestFit="1" customWidth="1"/>
    <col min="10243" max="10243" width="9.75" style="430" bestFit="1" customWidth="1"/>
    <col min="10244" max="10244" width="8.75" style="430" bestFit="1" customWidth="1"/>
    <col min="10245" max="10245" width="11.375" style="430" bestFit="1" customWidth="1"/>
    <col min="10246" max="10246" width="10.375" style="430" bestFit="1" customWidth="1"/>
    <col min="10247" max="10247" width="11.375" style="430" bestFit="1" customWidth="1"/>
    <col min="10248" max="10248" width="12.375" style="430" bestFit="1" customWidth="1"/>
    <col min="10249" max="10249" width="9.125" style="430" bestFit="1" customWidth="1"/>
    <col min="10250" max="10250" width="12.375" style="430" bestFit="1" customWidth="1"/>
    <col min="10251" max="10251" width="16.375" style="430" bestFit="1" customWidth="1"/>
    <col min="10252" max="10252" width="13.75" style="430" bestFit="1" customWidth="1"/>
    <col min="10253" max="10253" width="8.625" style="430" bestFit="1" customWidth="1"/>
    <col min="10254" max="10254" width="6.625" style="430" bestFit="1" customWidth="1"/>
    <col min="10255" max="10255" width="9.125" style="430" customWidth="1"/>
    <col min="10256" max="10256" width="6.125" style="430" bestFit="1" customWidth="1"/>
    <col min="10257" max="10257" width="9.375" style="430" bestFit="1" customWidth="1"/>
    <col min="10258" max="10258" width="10.375" style="430" bestFit="1" customWidth="1"/>
    <col min="10259" max="10491" width="8.75" style="430"/>
    <col min="10492" max="10492" width="6.125" style="430" bestFit="1" customWidth="1"/>
    <col min="10493" max="10493" width="14.375" style="430" bestFit="1" customWidth="1"/>
    <col min="10494" max="10494" width="21.75" style="430" bestFit="1" customWidth="1"/>
    <col min="10495" max="10495" width="0" style="430" hidden="1" customWidth="1"/>
    <col min="10496" max="10496" width="16.375" style="430" bestFit="1" customWidth="1"/>
    <col min="10497" max="10497" width="14" style="430" bestFit="1" customWidth="1"/>
    <col min="10498" max="10498" width="15.375" style="430" bestFit="1" customWidth="1"/>
    <col min="10499" max="10499" width="9.75" style="430" bestFit="1" customWidth="1"/>
    <col min="10500" max="10500" width="8.75" style="430" bestFit="1" customWidth="1"/>
    <col min="10501" max="10501" width="11.375" style="430" bestFit="1" customWidth="1"/>
    <col min="10502" max="10502" width="10.375" style="430" bestFit="1" customWidth="1"/>
    <col min="10503" max="10503" width="11.375" style="430" bestFit="1" customWidth="1"/>
    <col min="10504" max="10504" width="12.375" style="430" bestFit="1" customWidth="1"/>
    <col min="10505" max="10505" width="9.125" style="430" bestFit="1" customWidth="1"/>
    <col min="10506" max="10506" width="12.375" style="430" bestFit="1" customWidth="1"/>
    <col min="10507" max="10507" width="16.375" style="430" bestFit="1" customWidth="1"/>
    <col min="10508" max="10508" width="13.75" style="430" bestFit="1" customWidth="1"/>
    <col min="10509" max="10509" width="8.625" style="430" bestFit="1" customWidth="1"/>
    <col min="10510" max="10510" width="6.625" style="430" bestFit="1" customWidth="1"/>
    <col min="10511" max="10511" width="9.125" style="430" customWidth="1"/>
    <col min="10512" max="10512" width="6.125" style="430" bestFit="1" customWidth="1"/>
    <col min="10513" max="10513" width="9.375" style="430" bestFit="1" customWidth="1"/>
    <col min="10514" max="10514" width="10.375" style="430" bestFit="1" customWidth="1"/>
    <col min="10515" max="10747" width="8.75" style="430"/>
    <col min="10748" max="10748" width="6.125" style="430" bestFit="1" customWidth="1"/>
    <col min="10749" max="10749" width="14.375" style="430" bestFit="1" customWidth="1"/>
    <col min="10750" max="10750" width="21.75" style="430" bestFit="1" customWidth="1"/>
    <col min="10751" max="10751" width="0" style="430" hidden="1" customWidth="1"/>
    <col min="10752" max="10752" width="16.375" style="430" bestFit="1" customWidth="1"/>
    <col min="10753" max="10753" width="14" style="430" bestFit="1" customWidth="1"/>
    <col min="10754" max="10754" width="15.375" style="430" bestFit="1" customWidth="1"/>
    <col min="10755" max="10755" width="9.75" style="430" bestFit="1" customWidth="1"/>
    <col min="10756" max="10756" width="8.75" style="430" bestFit="1" customWidth="1"/>
    <col min="10757" max="10757" width="11.375" style="430" bestFit="1" customWidth="1"/>
    <col min="10758" max="10758" width="10.375" style="430" bestFit="1" customWidth="1"/>
    <col min="10759" max="10759" width="11.375" style="430" bestFit="1" customWidth="1"/>
    <col min="10760" max="10760" width="12.375" style="430" bestFit="1" customWidth="1"/>
    <col min="10761" max="10761" width="9.125" style="430" bestFit="1" customWidth="1"/>
    <col min="10762" max="10762" width="12.375" style="430" bestFit="1" customWidth="1"/>
    <col min="10763" max="10763" width="16.375" style="430" bestFit="1" customWidth="1"/>
    <col min="10764" max="10764" width="13.75" style="430" bestFit="1" customWidth="1"/>
    <col min="10765" max="10765" width="8.625" style="430" bestFit="1" customWidth="1"/>
    <col min="10766" max="10766" width="6.625" style="430" bestFit="1" customWidth="1"/>
    <col min="10767" max="10767" width="9.125" style="430" customWidth="1"/>
    <col min="10768" max="10768" width="6.125" style="430" bestFit="1" customWidth="1"/>
    <col min="10769" max="10769" width="9.375" style="430" bestFit="1" customWidth="1"/>
    <col min="10770" max="10770" width="10.375" style="430" bestFit="1" customWidth="1"/>
    <col min="10771" max="11003" width="8.75" style="430"/>
    <col min="11004" max="11004" width="6.125" style="430" bestFit="1" customWidth="1"/>
    <col min="11005" max="11005" width="14.375" style="430" bestFit="1" customWidth="1"/>
    <col min="11006" max="11006" width="21.75" style="430" bestFit="1" customWidth="1"/>
    <col min="11007" max="11007" width="0" style="430" hidden="1" customWidth="1"/>
    <col min="11008" max="11008" width="16.375" style="430" bestFit="1" customWidth="1"/>
    <col min="11009" max="11009" width="14" style="430" bestFit="1" customWidth="1"/>
    <col min="11010" max="11010" width="15.375" style="430" bestFit="1" customWidth="1"/>
    <col min="11011" max="11011" width="9.75" style="430" bestFit="1" customWidth="1"/>
    <col min="11012" max="11012" width="8.75" style="430" bestFit="1" customWidth="1"/>
    <col min="11013" max="11013" width="11.375" style="430" bestFit="1" customWidth="1"/>
    <col min="11014" max="11014" width="10.375" style="430" bestFit="1" customWidth="1"/>
    <col min="11015" max="11015" width="11.375" style="430" bestFit="1" customWidth="1"/>
    <col min="11016" max="11016" width="12.375" style="430" bestFit="1" customWidth="1"/>
    <col min="11017" max="11017" width="9.125" style="430" bestFit="1" customWidth="1"/>
    <col min="11018" max="11018" width="12.375" style="430" bestFit="1" customWidth="1"/>
    <col min="11019" max="11019" width="16.375" style="430" bestFit="1" customWidth="1"/>
    <col min="11020" max="11020" width="13.75" style="430" bestFit="1" customWidth="1"/>
    <col min="11021" max="11021" width="8.625" style="430" bestFit="1" customWidth="1"/>
    <col min="11022" max="11022" width="6.625" style="430" bestFit="1" customWidth="1"/>
    <col min="11023" max="11023" width="9.125" style="430" customWidth="1"/>
    <col min="11024" max="11024" width="6.125" style="430" bestFit="1" customWidth="1"/>
    <col min="11025" max="11025" width="9.375" style="430" bestFit="1" customWidth="1"/>
    <col min="11026" max="11026" width="10.375" style="430" bestFit="1" customWidth="1"/>
    <col min="11027" max="11259" width="8.75" style="430"/>
    <col min="11260" max="11260" width="6.125" style="430" bestFit="1" customWidth="1"/>
    <col min="11261" max="11261" width="14.375" style="430" bestFit="1" customWidth="1"/>
    <col min="11262" max="11262" width="21.75" style="430" bestFit="1" customWidth="1"/>
    <col min="11263" max="11263" width="0" style="430" hidden="1" customWidth="1"/>
    <col min="11264" max="11264" width="16.375" style="430" bestFit="1" customWidth="1"/>
    <col min="11265" max="11265" width="14" style="430" bestFit="1" customWidth="1"/>
    <col min="11266" max="11266" width="15.375" style="430" bestFit="1" customWidth="1"/>
    <col min="11267" max="11267" width="9.75" style="430" bestFit="1" customWidth="1"/>
    <col min="11268" max="11268" width="8.75" style="430" bestFit="1" customWidth="1"/>
    <col min="11269" max="11269" width="11.375" style="430" bestFit="1" customWidth="1"/>
    <col min="11270" max="11270" width="10.375" style="430" bestFit="1" customWidth="1"/>
    <col min="11271" max="11271" width="11.375" style="430" bestFit="1" customWidth="1"/>
    <col min="11272" max="11272" width="12.375" style="430" bestFit="1" customWidth="1"/>
    <col min="11273" max="11273" width="9.125" style="430" bestFit="1" customWidth="1"/>
    <col min="11274" max="11274" width="12.375" style="430" bestFit="1" customWidth="1"/>
    <col min="11275" max="11275" width="16.375" style="430" bestFit="1" customWidth="1"/>
    <col min="11276" max="11276" width="13.75" style="430" bestFit="1" customWidth="1"/>
    <col min="11277" max="11277" width="8.625" style="430" bestFit="1" customWidth="1"/>
    <col min="11278" max="11278" width="6.625" style="430" bestFit="1" customWidth="1"/>
    <col min="11279" max="11279" width="9.125" style="430" customWidth="1"/>
    <col min="11280" max="11280" width="6.125" style="430" bestFit="1" customWidth="1"/>
    <col min="11281" max="11281" width="9.375" style="430" bestFit="1" customWidth="1"/>
    <col min="11282" max="11282" width="10.375" style="430" bestFit="1" customWidth="1"/>
    <col min="11283" max="11515" width="8.75" style="430"/>
    <col min="11516" max="11516" width="6.125" style="430" bestFit="1" customWidth="1"/>
    <col min="11517" max="11517" width="14.375" style="430" bestFit="1" customWidth="1"/>
    <col min="11518" max="11518" width="21.75" style="430" bestFit="1" customWidth="1"/>
    <col min="11519" max="11519" width="0" style="430" hidden="1" customWidth="1"/>
    <col min="11520" max="11520" width="16.375" style="430" bestFit="1" customWidth="1"/>
    <col min="11521" max="11521" width="14" style="430" bestFit="1" customWidth="1"/>
    <col min="11522" max="11522" width="15.375" style="430" bestFit="1" customWidth="1"/>
    <col min="11523" max="11523" width="9.75" style="430" bestFit="1" customWidth="1"/>
    <col min="11524" max="11524" width="8.75" style="430" bestFit="1" customWidth="1"/>
    <col min="11525" max="11525" width="11.375" style="430" bestFit="1" customWidth="1"/>
    <col min="11526" max="11526" width="10.375" style="430" bestFit="1" customWidth="1"/>
    <col min="11527" max="11527" width="11.375" style="430" bestFit="1" customWidth="1"/>
    <col min="11528" max="11528" width="12.375" style="430" bestFit="1" customWidth="1"/>
    <col min="11529" max="11529" width="9.125" style="430" bestFit="1" customWidth="1"/>
    <col min="11530" max="11530" width="12.375" style="430" bestFit="1" customWidth="1"/>
    <col min="11531" max="11531" width="16.375" style="430" bestFit="1" customWidth="1"/>
    <col min="11532" max="11532" width="13.75" style="430" bestFit="1" customWidth="1"/>
    <col min="11533" max="11533" width="8.625" style="430" bestFit="1" customWidth="1"/>
    <col min="11534" max="11534" width="6.625" style="430" bestFit="1" customWidth="1"/>
    <col min="11535" max="11535" width="9.125" style="430" customWidth="1"/>
    <col min="11536" max="11536" width="6.125" style="430" bestFit="1" customWidth="1"/>
    <col min="11537" max="11537" width="9.375" style="430" bestFit="1" customWidth="1"/>
    <col min="11538" max="11538" width="10.375" style="430" bestFit="1" customWidth="1"/>
    <col min="11539" max="11771" width="8.75" style="430"/>
    <col min="11772" max="11772" width="6.125" style="430" bestFit="1" customWidth="1"/>
    <col min="11773" max="11773" width="14.375" style="430" bestFit="1" customWidth="1"/>
    <col min="11774" max="11774" width="21.75" style="430" bestFit="1" customWidth="1"/>
    <col min="11775" max="11775" width="0" style="430" hidden="1" customWidth="1"/>
    <col min="11776" max="11776" width="16.375" style="430" bestFit="1" customWidth="1"/>
    <col min="11777" max="11777" width="14" style="430" bestFit="1" customWidth="1"/>
    <col min="11778" max="11778" width="15.375" style="430" bestFit="1" customWidth="1"/>
    <col min="11779" max="11779" width="9.75" style="430" bestFit="1" customWidth="1"/>
    <col min="11780" max="11780" width="8.75" style="430" bestFit="1" customWidth="1"/>
    <col min="11781" max="11781" width="11.375" style="430" bestFit="1" customWidth="1"/>
    <col min="11782" max="11782" width="10.375" style="430" bestFit="1" customWidth="1"/>
    <col min="11783" max="11783" width="11.375" style="430" bestFit="1" customWidth="1"/>
    <col min="11784" max="11784" width="12.375" style="430" bestFit="1" customWidth="1"/>
    <col min="11785" max="11785" width="9.125" style="430" bestFit="1" customWidth="1"/>
    <col min="11786" max="11786" width="12.375" style="430" bestFit="1" customWidth="1"/>
    <col min="11787" max="11787" width="16.375" style="430" bestFit="1" customWidth="1"/>
    <col min="11788" max="11788" width="13.75" style="430" bestFit="1" customWidth="1"/>
    <col min="11789" max="11789" width="8.625" style="430" bestFit="1" customWidth="1"/>
    <col min="11790" max="11790" width="6.625" style="430" bestFit="1" customWidth="1"/>
    <col min="11791" max="11791" width="9.125" style="430" customWidth="1"/>
    <col min="11792" max="11792" width="6.125" style="430" bestFit="1" customWidth="1"/>
    <col min="11793" max="11793" width="9.375" style="430" bestFit="1" customWidth="1"/>
    <col min="11794" max="11794" width="10.375" style="430" bestFit="1" customWidth="1"/>
    <col min="11795" max="12027" width="8.75" style="430"/>
    <col min="12028" max="12028" width="6.125" style="430" bestFit="1" customWidth="1"/>
    <col min="12029" max="12029" width="14.375" style="430" bestFit="1" customWidth="1"/>
    <col min="12030" max="12030" width="21.75" style="430" bestFit="1" customWidth="1"/>
    <col min="12031" max="12031" width="0" style="430" hidden="1" customWidth="1"/>
    <col min="12032" max="12032" width="16.375" style="430" bestFit="1" customWidth="1"/>
    <col min="12033" max="12033" width="14" style="430" bestFit="1" customWidth="1"/>
    <col min="12034" max="12034" width="15.375" style="430" bestFit="1" customWidth="1"/>
    <col min="12035" max="12035" width="9.75" style="430" bestFit="1" customWidth="1"/>
    <col min="12036" max="12036" width="8.75" style="430" bestFit="1" customWidth="1"/>
    <col min="12037" max="12037" width="11.375" style="430" bestFit="1" customWidth="1"/>
    <col min="12038" max="12038" width="10.375" style="430" bestFit="1" customWidth="1"/>
    <col min="12039" max="12039" width="11.375" style="430" bestFit="1" customWidth="1"/>
    <col min="12040" max="12040" width="12.375" style="430" bestFit="1" customWidth="1"/>
    <col min="12041" max="12041" width="9.125" style="430" bestFit="1" customWidth="1"/>
    <col min="12042" max="12042" width="12.375" style="430" bestFit="1" customWidth="1"/>
    <col min="12043" max="12043" width="16.375" style="430" bestFit="1" customWidth="1"/>
    <col min="12044" max="12044" width="13.75" style="430" bestFit="1" customWidth="1"/>
    <col min="12045" max="12045" width="8.625" style="430" bestFit="1" customWidth="1"/>
    <col min="12046" max="12046" width="6.625" style="430" bestFit="1" customWidth="1"/>
    <col min="12047" max="12047" width="9.125" style="430" customWidth="1"/>
    <col min="12048" max="12048" width="6.125" style="430" bestFit="1" customWidth="1"/>
    <col min="12049" max="12049" width="9.375" style="430" bestFit="1" customWidth="1"/>
    <col min="12050" max="12050" width="10.375" style="430" bestFit="1" customWidth="1"/>
    <col min="12051" max="12283" width="8.75" style="430"/>
    <col min="12284" max="12284" width="6.125" style="430" bestFit="1" customWidth="1"/>
    <col min="12285" max="12285" width="14.375" style="430" bestFit="1" customWidth="1"/>
    <col min="12286" max="12286" width="21.75" style="430" bestFit="1" customWidth="1"/>
    <col min="12287" max="12287" width="0" style="430" hidden="1" customWidth="1"/>
    <col min="12288" max="12288" width="16.375" style="430" bestFit="1" customWidth="1"/>
    <col min="12289" max="12289" width="14" style="430" bestFit="1" customWidth="1"/>
    <col min="12290" max="12290" width="15.375" style="430" bestFit="1" customWidth="1"/>
    <col min="12291" max="12291" width="9.75" style="430" bestFit="1" customWidth="1"/>
    <col min="12292" max="12292" width="8.75" style="430" bestFit="1" customWidth="1"/>
    <col min="12293" max="12293" width="11.375" style="430" bestFit="1" customWidth="1"/>
    <col min="12294" max="12294" width="10.375" style="430" bestFit="1" customWidth="1"/>
    <col min="12295" max="12295" width="11.375" style="430" bestFit="1" customWidth="1"/>
    <col min="12296" max="12296" width="12.375" style="430" bestFit="1" customWidth="1"/>
    <col min="12297" max="12297" width="9.125" style="430" bestFit="1" customWidth="1"/>
    <col min="12298" max="12298" width="12.375" style="430" bestFit="1" customWidth="1"/>
    <col min="12299" max="12299" width="16.375" style="430" bestFit="1" customWidth="1"/>
    <col min="12300" max="12300" width="13.75" style="430" bestFit="1" customWidth="1"/>
    <col min="12301" max="12301" width="8.625" style="430" bestFit="1" customWidth="1"/>
    <col min="12302" max="12302" width="6.625" style="430" bestFit="1" customWidth="1"/>
    <col min="12303" max="12303" width="9.125" style="430" customWidth="1"/>
    <col min="12304" max="12304" width="6.125" style="430" bestFit="1" customWidth="1"/>
    <col min="12305" max="12305" width="9.375" style="430" bestFit="1" customWidth="1"/>
    <col min="12306" max="12306" width="10.375" style="430" bestFit="1" customWidth="1"/>
    <col min="12307" max="12539" width="8.75" style="430"/>
    <col min="12540" max="12540" width="6.125" style="430" bestFit="1" customWidth="1"/>
    <col min="12541" max="12541" width="14.375" style="430" bestFit="1" customWidth="1"/>
    <col min="12542" max="12542" width="21.75" style="430" bestFit="1" customWidth="1"/>
    <col min="12543" max="12543" width="0" style="430" hidden="1" customWidth="1"/>
    <col min="12544" max="12544" width="16.375" style="430" bestFit="1" customWidth="1"/>
    <col min="12545" max="12545" width="14" style="430" bestFit="1" customWidth="1"/>
    <col min="12546" max="12546" width="15.375" style="430" bestFit="1" customWidth="1"/>
    <col min="12547" max="12547" width="9.75" style="430" bestFit="1" customWidth="1"/>
    <col min="12548" max="12548" width="8.75" style="430" bestFit="1" customWidth="1"/>
    <col min="12549" max="12549" width="11.375" style="430" bestFit="1" customWidth="1"/>
    <col min="12550" max="12550" width="10.375" style="430" bestFit="1" customWidth="1"/>
    <col min="12551" max="12551" width="11.375" style="430" bestFit="1" customWidth="1"/>
    <col min="12552" max="12552" width="12.375" style="430" bestFit="1" customWidth="1"/>
    <col min="12553" max="12553" width="9.125" style="430" bestFit="1" customWidth="1"/>
    <col min="12554" max="12554" width="12.375" style="430" bestFit="1" customWidth="1"/>
    <col min="12555" max="12555" width="16.375" style="430" bestFit="1" customWidth="1"/>
    <col min="12556" max="12556" width="13.75" style="430" bestFit="1" customWidth="1"/>
    <col min="12557" max="12557" width="8.625" style="430" bestFit="1" customWidth="1"/>
    <col min="12558" max="12558" width="6.625" style="430" bestFit="1" customWidth="1"/>
    <col min="12559" max="12559" width="9.125" style="430" customWidth="1"/>
    <col min="12560" max="12560" width="6.125" style="430" bestFit="1" customWidth="1"/>
    <col min="12561" max="12561" width="9.375" style="430" bestFit="1" customWidth="1"/>
    <col min="12562" max="12562" width="10.375" style="430" bestFit="1" customWidth="1"/>
    <col min="12563" max="12795" width="8.75" style="430"/>
    <col min="12796" max="12796" width="6.125" style="430" bestFit="1" customWidth="1"/>
    <col min="12797" max="12797" width="14.375" style="430" bestFit="1" customWidth="1"/>
    <col min="12798" max="12798" width="21.75" style="430" bestFit="1" customWidth="1"/>
    <col min="12799" max="12799" width="0" style="430" hidden="1" customWidth="1"/>
    <col min="12800" max="12800" width="16.375" style="430" bestFit="1" customWidth="1"/>
    <col min="12801" max="12801" width="14" style="430" bestFit="1" customWidth="1"/>
    <col min="12802" max="12802" width="15.375" style="430" bestFit="1" customWidth="1"/>
    <col min="12803" max="12803" width="9.75" style="430" bestFit="1" customWidth="1"/>
    <col min="12804" max="12804" width="8.75" style="430" bestFit="1" customWidth="1"/>
    <col min="12805" max="12805" width="11.375" style="430" bestFit="1" customWidth="1"/>
    <col min="12806" max="12806" width="10.375" style="430" bestFit="1" customWidth="1"/>
    <col min="12807" max="12807" width="11.375" style="430" bestFit="1" customWidth="1"/>
    <col min="12808" max="12808" width="12.375" style="430" bestFit="1" customWidth="1"/>
    <col min="12809" max="12809" width="9.125" style="430" bestFit="1" customWidth="1"/>
    <col min="12810" max="12810" width="12.375" style="430" bestFit="1" customWidth="1"/>
    <col min="12811" max="12811" width="16.375" style="430" bestFit="1" customWidth="1"/>
    <col min="12812" max="12812" width="13.75" style="430" bestFit="1" customWidth="1"/>
    <col min="12813" max="12813" width="8.625" style="430" bestFit="1" customWidth="1"/>
    <col min="12814" max="12814" width="6.625" style="430" bestFit="1" customWidth="1"/>
    <col min="12815" max="12815" width="9.125" style="430" customWidth="1"/>
    <col min="12816" max="12816" width="6.125" style="430" bestFit="1" customWidth="1"/>
    <col min="12817" max="12817" width="9.375" style="430" bestFit="1" customWidth="1"/>
    <col min="12818" max="12818" width="10.375" style="430" bestFit="1" customWidth="1"/>
    <col min="12819" max="13051" width="8.75" style="430"/>
    <col min="13052" max="13052" width="6.125" style="430" bestFit="1" customWidth="1"/>
    <col min="13053" max="13053" width="14.375" style="430" bestFit="1" customWidth="1"/>
    <col min="13054" max="13054" width="21.75" style="430" bestFit="1" customWidth="1"/>
    <col min="13055" max="13055" width="0" style="430" hidden="1" customWidth="1"/>
    <col min="13056" max="13056" width="16.375" style="430" bestFit="1" customWidth="1"/>
    <col min="13057" max="13057" width="14" style="430" bestFit="1" customWidth="1"/>
    <col min="13058" max="13058" width="15.375" style="430" bestFit="1" customWidth="1"/>
    <col min="13059" max="13059" width="9.75" style="430" bestFit="1" customWidth="1"/>
    <col min="13060" max="13060" width="8.75" style="430" bestFit="1" customWidth="1"/>
    <col min="13061" max="13061" width="11.375" style="430" bestFit="1" customWidth="1"/>
    <col min="13062" max="13062" width="10.375" style="430" bestFit="1" customWidth="1"/>
    <col min="13063" max="13063" width="11.375" style="430" bestFit="1" customWidth="1"/>
    <col min="13064" max="13064" width="12.375" style="430" bestFit="1" customWidth="1"/>
    <col min="13065" max="13065" width="9.125" style="430" bestFit="1" customWidth="1"/>
    <col min="13066" max="13066" width="12.375" style="430" bestFit="1" customWidth="1"/>
    <col min="13067" max="13067" width="16.375" style="430" bestFit="1" customWidth="1"/>
    <col min="13068" max="13068" width="13.75" style="430" bestFit="1" customWidth="1"/>
    <col min="13069" max="13069" width="8.625" style="430" bestFit="1" customWidth="1"/>
    <col min="13070" max="13070" width="6.625" style="430" bestFit="1" customWidth="1"/>
    <col min="13071" max="13071" width="9.125" style="430" customWidth="1"/>
    <col min="13072" max="13072" width="6.125" style="430" bestFit="1" customWidth="1"/>
    <col min="13073" max="13073" width="9.375" style="430" bestFit="1" customWidth="1"/>
    <col min="13074" max="13074" width="10.375" style="430" bestFit="1" customWidth="1"/>
    <col min="13075" max="13307" width="8.75" style="430"/>
    <col min="13308" max="13308" width="6.125" style="430" bestFit="1" customWidth="1"/>
    <col min="13309" max="13309" width="14.375" style="430" bestFit="1" customWidth="1"/>
    <col min="13310" max="13310" width="21.75" style="430" bestFit="1" customWidth="1"/>
    <col min="13311" max="13311" width="0" style="430" hidden="1" customWidth="1"/>
    <col min="13312" max="13312" width="16.375" style="430" bestFit="1" customWidth="1"/>
    <col min="13313" max="13313" width="14" style="430" bestFit="1" customWidth="1"/>
    <col min="13314" max="13314" width="15.375" style="430" bestFit="1" customWidth="1"/>
    <col min="13315" max="13315" width="9.75" style="430" bestFit="1" customWidth="1"/>
    <col min="13316" max="13316" width="8.75" style="430" bestFit="1" customWidth="1"/>
    <col min="13317" max="13317" width="11.375" style="430" bestFit="1" customWidth="1"/>
    <col min="13318" max="13318" width="10.375" style="430" bestFit="1" customWidth="1"/>
    <col min="13319" max="13319" width="11.375" style="430" bestFit="1" customWidth="1"/>
    <col min="13320" max="13320" width="12.375" style="430" bestFit="1" customWidth="1"/>
    <col min="13321" max="13321" width="9.125" style="430" bestFit="1" customWidth="1"/>
    <col min="13322" max="13322" width="12.375" style="430" bestFit="1" customWidth="1"/>
    <col min="13323" max="13323" width="16.375" style="430" bestFit="1" customWidth="1"/>
    <col min="13324" max="13324" width="13.75" style="430" bestFit="1" customWidth="1"/>
    <col min="13325" max="13325" width="8.625" style="430" bestFit="1" customWidth="1"/>
    <col min="13326" max="13326" width="6.625" style="430" bestFit="1" customWidth="1"/>
    <col min="13327" max="13327" width="9.125" style="430" customWidth="1"/>
    <col min="13328" max="13328" width="6.125" style="430" bestFit="1" customWidth="1"/>
    <col min="13329" max="13329" width="9.375" style="430" bestFit="1" customWidth="1"/>
    <col min="13330" max="13330" width="10.375" style="430" bestFit="1" customWidth="1"/>
    <col min="13331" max="13563" width="8.75" style="430"/>
    <col min="13564" max="13564" width="6.125" style="430" bestFit="1" customWidth="1"/>
    <col min="13565" max="13565" width="14.375" style="430" bestFit="1" customWidth="1"/>
    <col min="13566" max="13566" width="21.75" style="430" bestFit="1" customWidth="1"/>
    <col min="13567" max="13567" width="0" style="430" hidden="1" customWidth="1"/>
    <col min="13568" max="13568" width="16.375" style="430" bestFit="1" customWidth="1"/>
    <col min="13569" max="13569" width="14" style="430" bestFit="1" customWidth="1"/>
    <col min="13570" max="13570" width="15.375" style="430" bestFit="1" customWidth="1"/>
    <col min="13571" max="13571" width="9.75" style="430" bestFit="1" customWidth="1"/>
    <col min="13572" max="13572" width="8.75" style="430" bestFit="1" customWidth="1"/>
    <col min="13573" max="13573" width="11.375" style="430" bestFit="1" customWidth="1"/>
    <col min="13574" max="13574" width="10.375" style="430" bestFit="1" customWidth="1"/>
    <col min="13575" max="13575" width="11.375" style="430" bestFit="1" customWidth="1"/>
    <col min="13576" max="13576" width="12.375" style="430" bestFit="1" customWidth="1"/>
    <col min="13577" max="13577" width="9.125" style="430" bestFit="1" customWidth="1"/>
    <col min="13578" max="13578" width="12.375" style="430" bestFit="1" customWidth="1"/>
    <col min="13579" max="13579" width="16.375" style="430" bestFit="1" customWidth="1"/>
    <col min="13580" max="13580" width="13.75" style="430" bestFit="1" customWidth="1"/>
    <col min="13581" max="13581" width="8.625" style="430" bestFit="1" customWidth="1"/>
    <col min="13582" max="13582" width="6.625" style="430" bestFit="1" customWidth="1"/>
    <col min="13583" max="13583" width="9.125" style="430" customWidth="1"/>
    <col min="13584" max="13584" width="6.125" style="430" bestFit="1" customWidth="1"/>
    <col min="13585" max="13585" width="9.375" style="430" bestFit="1" customWidth="1"/>
    <col min="13586" max="13586" width="10.375" style="430" bestFit="1" customWidth="1"/>
    <col min="13587" max="13819" width="8.75" style="430"/>
    <col min="13820" max="13820" width="6.125" style="430" bestFit="1" customWidth="1"/>
    <col min="13821" max="13821" width="14.375" style="430" bestFit="1" customWidth="1"/>
    <col min="13822" max="13822" width="21.75" style="430" bestFit="1" customWidth="1"/>
    <col min="13823" max="13823" width="0" style="430" hidden="1" customWidth="1"/>
    <col min="13824" max="13824" width="16.375" style="430" bestFit="1" customWidth="1"/>
    <col min="13825" max="13825" width="14" style="430" bestFit="1" customWidth="1"/>
    <col min="13826" max="13826" width="15.375" style="430" bestFit="1" customWidth="1"/>
    <col min="13827" max="13827" width="9.75" style="430" bestFit="1" customWidth="1"/>
    <col min="13828" max="13828" width="8.75" style="430" bestFit="1" customWidth="1"/>
    <col min="13829" max="13829" width="11.375" style="430" bestFit="1" customWidth="1"/>
    <col min="13830" max="13830" width="10.375" style="430" bestFit="1" customWidth="1"/>
    <col min="13831" max="13831" width="11.375" style="430" bestFit="1" customWidth="1"/>
    <col min="13832" max="13832" width="12.375" style="430" bestFit="1" customWidth="1"/>
    <col min="13833" max="13833" width="9.125" style="430" bestFit="1" customWidth="1"/>
    <col min="13834" max="13834" width="12.375" style="430" bestFit="1" customWidth="1"/>
    <col min="13835" max="13835" width="16.375" style="430" bestFit="1" customWidth="1"/>
    <col min="13836" max="13836" width="13.75" style="430" bestFit="1" customWidth="1"/>
    <col min="13837" max="13837" width="8.625" style="430" bestFit="1" customWidth="1"/>
    <col min="13838" max="13838" width="6.625" style="430" bestFit="1" customWidth="1"/>
    <col min="13839" max="13839" width="9.125" style="430" customWidth="1"/>
    <col min="13840" max="13840" width="6.125" style="430" bestFit="1" customWidth="1"/>
    <col min="13841" max="13841" width="9.375" style="430" bestFit="1" customWidth="1"/>
    <col min="13842" max="13842" width="10.375" style="430" bestFit="1" customWidth="1"/>
    <col min="13843" max="14075" width="8.75" style="430"/>
    <col min="14076" max="14076" width="6.125" style="430" bestFit="1" customWidth="1"/>
    <col min="14077" max="14077" width="14.375" style="430" bestFit="1" customWidth="1"/>
    <col min="14078" max="14078" width="21.75" style="430" bestFit="1" customWidth="1"/>
    <col min="14079" max="14079" width="0" style="430" hidden="1" customWidth="1"/>
    <col min="14080" max="14080" width="16.375" style="430" bestFit="1" customWidth="1"/>
    <col min="14081" max="14081" width="14" style="430" bestFit="1" customWidth="1"/>
    <col min="14082" max="14082" width="15.375" style="430" bestFit="1" customWidth="1"/>
    <col min="14083" max="14083" width="9.75" style="430" bestFit="1" customWidth="1"/>
    <col min="14084" max="14084" width="8.75" style="430" bestFit="1" customWidth="1"/>
    <col min="14085" max="14085" width="11.375" style="430" bestFit="1" customWidth="1"/>
    <col min="14086" max="14086" width="10.375" style="430" bestFit="1" customWidth="1"/>
    <col min="14087" max="14087" width="11.375" style="430" bestFit="1" customWidth="1"/>
    <col min="14088" max="14088" width="12.375" style="430" bestFit="1" customWidth="1"/>
    <col min="14089" max="14089" width="9.125" style="430" bestFit="1" customWidth="1"/>
    <col min="14090" max="14090" width="12.375" style="430" bestFit="1" customWidth="1"/>
    <col min="14091" max="14091" width="16.375" style="430" bestFit="1" customWidth="1"/>
    <col min="14092" max="14092" width="13.75" style="430" bestFit="1" customWidth="1"/>
    <col min="14093" max="14093" width="8.625" style="430" bestFit="1" customWidth="1"/>
    <col min="14094" max="14094" width="6.625" style="430" bestFit="1" customWidth="1"/>
    <col min="14095" max="14095" width="9.125" style="430" customWidth="1"/>
    <col min="14096" max="14096" width="6.125" style="430" bestFit="1" customWidth="1"/>
    <col min="14097" max="14097" width="9.375" style="430" bestFit="1" customWidth="1"/>
    <col min="14098" max="14098" width="10.375" style="430" bestFit="1" customWidth="1"/>
    <col min="14099" max="14331" width="8.75" style="430"/>
    <col min="14332" max="14332" width="6.125" style="430" bestFit="1" customWidth="1"/>
    <col min="14333" max="14333" width="14.375" style="430" bestFit="1" customWidth="1"/>
    <col min="14334" max="14334" width="21.75" style="430" bestFit="1" customWidth="1"/>
    <col min="14335" max="14335" width="0" style="430" hidden="1" customWidth="1"/>
    <col min="14336" max="14336" width="16.375" style="430" bestFit="1" customWidth="1"/>
    <col min="14337" max="14337" width="14" style="430" bestFit="1" customWidth="1"/>
    <col min="14338" max="14338" width="15.375" style="430" bestFit="1" customWidth="1"/>
    <col min="14339" max="14339" width="9.75" style="430" bestFit="1" customWidth="1"/>
    <col min="14340" max="14340" width="8.75" style="430" bestFit="1" customWidth="1"/>
    <col min="14341" max="14341" width="11.375" style="430" bestFit="1" customWidth="1"/>
    <col min="14342" max="14342" width="10.375" style="430" bestFit="1" customWidth="1"/>
    <col min="14343" max="14343" width="11.375" style="430" bestFit="1" customWidth="1"/>
    <col min="14344" max="14344" width="12.375" style="430" bestFit="1" customWidth="1"/>
    <col min="14345" max="14345" width="9.125" style="430" bestFit="1" customWidth="1"/>
    <col min="14346" max="14346" width="12.375" style="430" bestFit="1" customWidth="1"/>
    <col min="14347" max="14347" width="16.375" style="430" bestFit="1" customWidth="1"/>
    <col min="14348" max="14348" width="13.75" style="430" bestFit="1" customWidth="1"/>
    <col min="14349" max="14349" width="8.625" style="430" bestFit="1" customWidth="1"/>
    <col min="14350" max="14350" width="6.625" style="430" bestFit="1" customWidth="1"/>
    <col min="14351" max="14351" width="9.125" style="430" customWidth="1"/>
    <col min="14352" max="14352" width="6.125" style="430" bestFit="1" customWidth="1"/>
    <col min="14353" max="14353" width="9.375" style="430" bestFit="1" customWidth="1"/>
    <col min="14354" max="14354" width="10.375" style="430" bestFit="1" customWidth="1"/>
    <col min="14355" max="14587" width="8.75" style="430"/>
    <col min="14588" max="14588" width="6.125" style="430" bestFit="1" customWidth="1"/>
    <col min="14589" max="14589" width="14.375" style="430" bestFit="1" customWidth="1"/>
    <col min="14590" max="14590" width="21.75" style="430" bestFit="1" customWidth="1"/>
    <col min="14591" max="14591" width="0" style="430" hidden="1" customWidth="1"/>
    <col min="14592" max="14592" width="16.375" style="430" bestFit="1" customWidth="1"/>
    <col min="14593" max="14593" width="14" style="430" bestFit="1" customWidth="1"/>
    <col min="14594" max="14594" width="15.375" style="430" bestFit="1" customWidth="1"/>
    <col min="14595" max="14595" width="9.75" style="430" bestFit="1" customWidth="1"/>
    <col min="14596" max="14596" width="8.75" style="430" bestFit="1" customWidth="1"/>
    <col min="14597" max="14597" width="11.375" style="430" bestFit="1" customWidth="1"/>
    <col min="14598" max="14598" width="10.375" style="430" bestFit="1" customWidth="1"/>
    <col min="14599" max="14599" width="11.375" style="430" bestFit="1" customWidth="1"/>
    <col min="14600" max="14600" width="12.375" style="430" bestFit="1" customWidth="1"/>
    <col min="14601" max="14601" width="9.125" style="430" bestFit="1" customWidth="1"/>
    <col min="14602" max="14602" width="12.375" style="430" bestFit="1" customWidth="1"/>
    <col min="14603" max="14603" width="16.375" style="430" bestFit="1" customWidth="1"/>
    <col min="14604" max="14604" width="13.75" style="430" bestFit="1" customWidth="1"/>
    <col min="14605" max="14605" width="8.625" style="430" bestFit="1" customWidth="1"/>
    <col min="14606" max="14606" width="6.625" style="430" bestFit="1" customWidth="1"/>
    <col min="14607" max="14607" width="9.125" style="430" customWidth="1"/>
    <col min="14608" max="14608" width="6.125" style="430" bestFit="1" customWidth="1"/>
    <col min="14609" max="14609" width="9.375" style="430" bestFit="1" customWidth="1"/>
    <col min="14610" max="14610" width="10.375" style="430" bestFit="1" customWidth="1"/>
    <col min="14611" max="14843" width="8.75" style="430"/>
    <col min="14844" max="14844" width="6.125" style="430" bestFit="1" customWidth="1"/>
    <col min="14845" max="14845" width="14.375" style="430" bestFit="1" customWidth="1"/>
    <col min="14846" max="14846" width="21.75" style="430" bestFit="1" customWidth="1"/>
    <col min="14847" max="14847" width="0" style="430" hidden="1" customWidth="1"/>
    <col min="14848" max="14848" width="16.375" style="430" bestFit="1" customWidth="1"/>
    <col min="14849" max="14849" width="14" style="430" bestFit="1" customWidth="1"/>
    <col min="14850" max="14850" width="15.375" style="430" bestFit="1" customWidth="1"/>
    <col min="14851" max="14851" width="9.75" style="430" bestFit="1" customWidth="1"/>
    <col min="14852" max="14852" width="8.75" style="430" bestFit="1" customWidth="1"/>
    <col min="14853" max="14853" width="11.375" style="430" bestFit="1" customWidth="1"/>
    <col min="14854" max="14854" width="10.375" style="430" bestFit="1" customWidth="1"/>
    <col min="14855" max="14855" width="11.375" style="430" bestFit="1" customWidth="1"/>
    <col min="14856" max="14856" width="12.375" style="430" bestFit="1" customWidth="1"/>
    <col min="14857" max="14857" width="9.125" style="430" bestFit="1" customWidth="1"/>
    <col min="14858" max="14858" width="12.375" style="430" bestFit="1" customWidth="1"/>
    <col min="14859" max="14859" width="16.375" style="430" bestFit="1" customWidth="1"/>
    <col min="14860" max="14860" width="13.75" style="430" bestFit="1" customWidth="1"/>
    <col min="14861" max="14861" width="8.625" style="430" bestFit="1" customWidth="1"/>
    <col min="14862" max="14862" width="6.625" style="430" bestFit="1" customWidth="1"/>
    <col min="14863" max="14863" width="9.125" style="430" customWidth="1"/>
    <col min="14864" max="14864" width="6.125" style="430" bestFit="1" customWidth="1"/>
    <col min="14865" max="14865" width="9.375" style="430" bestFit="1" customWidth="1"/>
    <col min="14866" max="14866" width="10.375" style="430" bestFit="1" customWidth="1"/>
    <col min="14867" max="15099" width="8.75" style="430"/>
    <col min="15100" max="15100" width="6.125" style="430" bestFit="1" customWidth="1"/>
    <col min="15101" max="15101" width="14.375" style="430" bestFit="1" customWidth="1"/>
    <col min="15102" max="15102" width="21.75" style="430" bestFit="1" customWidth="1"/>
    <col min="15103" max="15103" width="0" style="430" hidden="1" customWidth="1"/>
    <col min="15104" max="15104" width="16.375" style="430" bestFit="1" customWidth="1"/>
    <col min="15105" max="15105" width="14" style="430" bestFit="1" customWidth="1"/>
    <col min="15106" max="15106" width="15.375" style="430" bestFit="1" customWidth="1"/>
    <col min="15107" max="15107" width="9.75" style="430" bestFit="1" customWidth="1"/>
    <col min="15108" max="15108" width="8.75" style="430" bestFit="1" customWidth="1"/>
    <col min="15109" max="15109" width="11.375" style="430" bestFit="1" customWidth="1"/>
    <col min="15110" max="15110" width="10.375" style="430" bestFit="1" customWidth="1"/>
    <col min="15111" max="15111" width="11.375" style="430" bestFit="1" customWidth="1"/>
    <col min="15112" max="15112" width="12.375" style="430" bestFit="1" customWidth="1"/>
    <col min="15113" max="15113" width="9.125" style="430" bestFit="1" customWidth="1"/>
    <col min="15114" max="15114" width="12.375" style="430" bestFit="1" customWidth="1"/>
    <col min="15115" max="15115" width="16.375" style="430" bestFit="1" customWidth="1"/>
    <col min="15116" max="15116" width="13.75" style="430" bestFit="1" customWidth="1"/>
    <col min="15117" max="15117" width="8.625" style="430" bestFit="1" customWidth="1"/>
    <col min="15118" max="15118" width="6.625" style="430" bestFit="1" customWidth="1"/>
    <col min="15119" max="15119" width="9.125" style="430" customWidth="1"/>
    <col min="15120" max="15120" width="6.125" style="430" bestFit="1" customWidth="1"/>
    <col min="15121" max="15121" width="9.375" style="430" bestFit="1" customWidth="1"/>
    <col min="15122" max="15122" width="10.375" style="430" bestFit="1" customWidth="1"/>
    <col min="15123" max="15355" width="8.75" style="430"/>
    <col min="15356" max="15356" width="6.125" style="430" bestFit="1" customWidth="1"/>
    <col min="15357" max="15357" width="14.375" style="430" bestFit="1" customWidth="1"/>
    <col min="15358" max="15358" width="21.75" style="430" bestFit="1" customWidth="1"/>
    <col min="15359" max="15359" width="0" style="430" hidden="1" customWidth="1"/>
    <col min="15360" max="15360" width="16.375" style="430" bestFit="1" customWidth="1"/>
    <col min="15361" max="15361" width="14" style="430" bestFit="1" customWidth="1"/>
    <col min="15362" max="15362" width="15.375" style="430" bestFit="1" customWidth="1"/>
    <col min="15363" max="15363" width="9.75" style="430" bestFit="1" customWidth="1"/>
    <col min="15364" max="15364" width="8.75" style="430" bestFit="1" customWidth="1"/>
    <col min="15365" max="15365" width="11.375" style="430" bestFit="1" customWidth="1"/>
    <col min="15366" max="15366" width="10.375" style="430" bestFit="1" customWidth="1"/>
    <col min="15367" max="15367" width="11.375" style="430" bestFit="1" customWidth="1"/>
    <col min="15368" max="15368" width="12.375" style="430" bestFit="1" customWidth="1"/>
    <col min="15369" max="15369" width="9.125" style="430" bestFit="1" customWidth="1"/>
    <col min="15370" max="15370" width="12.375" style="430" bestFit="1" customWidth="1"/>
    <col min="15371" max="15371" width="16.375" style="430" bestFit="1" customWidth="1"/>
    <col min="15372" max="15372" width="13.75" style="430" bestFit="1" customWidth="1"/>
    <col min="15373" max="15373" width="8.625" style="430" bestFit="1" customWidth="1"/>
    <col min="15374" max="15374" width="6.625" style="430" bestFit="1" customWidth="1"/>
    <col min="15375" max="15375" width="9.125" style="430" customWidth="1"/>
    <col min="15376" max="15376" width="6.125" style="430" bestFit="1" customWidth="1"/>
    <col min="15377" max="15377" width="9.375" style="430" bestFit="1" customWidth="1"/>
    <col min="15378" max="15378" width="10.375" style="430" bestFit="1" customWidth="1"/>
    <col min="15379" max="15611" width="8.75" style="430"/>
    <col min="15612" max="15612" width="6.125" style="430" bestFit="1" customWidth="1"/>
    <col min="15613" max="15613" width="14.375" style="430" bestFit="1" customWidth="1"/>
    <col min="15614" max="15614" width="21.75" style="430" bestFit="1" customWidth="1"/>
    <col min="15615" max="15615" width="0" style="430" hidden="1" customWidth="1"/>
    <col min="15616" max="15616" width="16.375" style="430" bestFit="1" customWidth="1"/>
    <col min="15617" max="15617" width="14" style="430" bestFit="1" customWidth="1"/>
    <col min="15618" max="15618" width="15.375" style="430" bestFit="1" customWidth="1"/>
    <col min="15619" max="15619" width="9.75" style="430" bestFit="1" customWidth="1"/>
    <col min="15620" max="15620" width="8.75" style="430" bestFit="1" customWidth="1"/>
    <col min="15621" max="15621" width="11.375" style="430" bestFit="1" customWidth="1"/>
    <col min="15622" max="15622" width="10.375" style="430" bestFit="1" customWidth="1"/>
    <col min="15623" max="15623" width="11.375" style="430" bestFit="1" customWidth="1"/>
    <col min="15624" max="15624" width="12.375" style="430" bestFit="1" customWidth="1"/>
    <col min="15625" max="15625" width="9.125" style="430" bestFit="1" customWidth="1"/>
    <col min="15626" max="15626" width="12.375" style="430" bestFit="1" customWidth="1"/>
    <col min="15627" max="15627" width="16.375" style="430" bestFit="1" customWidth="1"/>
    <col min="15628" max="15628" width="13.75" style="430" bestFit="1" customWidth="1"/>
    <col min="15629" max="15629" width="8.625" style="430" bestFit="1" customWidth="1"/>
    <col min="15630" max="15630" width="6.625" style="430" bestFit="1" customWidth="1"/>
    <col min="15631" max="15631" width="9.125" style="430" customWidth="1"/>
    <col min="15632" max="15632" width="6.125" style="430" bestFit="1" customWidth="1"/>
    <col min="15633" max="15633" width="9.375" style="430" bestFit="1" customWidth="1"/>
    <col min="15634" max="15634" width="10.375" style="430" bestFit="1" customWidth="1"/>
    <col min="15635" max="15867" width="8.75" style="430"/>
    <col min="15868" max="15868" width="6.125" style="430" bestFit="1" customWidth="1"/>
    <col min="15869" max="15869" width="14.375" style="430" bestFit="1" customWidth="1"/>
    <col min="15870" max="15870" width="21.75" style="430" bestFit="1" customWidth="1"/>
    <col min="15871" max="15871" width="0" style="430" hidden="1" customWidth="1"/>
    <col min="15872" max="15872" width="16.375" style="430" bestFit="1" customWidth="1"/>
    <col min="15873" max="15873" width="14" style="430" bestFit="1" customWidth="1"/>
    <col min="15874" max="15874" width="15.375" style="430" bestFit="1" customWidth="1"/>
    <col min="15875" max="15875" width="9.75" style="430" bestFit="1" customWidth="1"/>
    <col min="15876" max="15876" width="8.75" style="430" bestFit="1" customWidth="1"/>
    <col min="15877" max="15877" width="11.375" style="430" bestFit="1" customWidth="1"/>
    <col min="15878" max="15878" width="10.375" style="430" bestFit="1" customWidth="1"/>
    <col min="15879" max="15879" width="11.375" style="430" bestFit="1" customWidth="1"/>
    <col min="15880" max="15880" width="12.375" style="430" bestFit="1" customWidth="1"/>
    <col min="15881" max="15881" width="9.125" style="430" bestFit="1" customWidth="1"/>
    <col min="15882" max="15882" width="12.375" style="430" bestFit="1" customWidth="1"/>
    <col min="15883" max="15883" width="16.375" style="430" bestFit="1" customWidth="1"/>
    <col min="15884" max="15884" width="13.75" style="430" bestFit="1" customWidth="1"/>
    <col min="15885" max="15885" width="8.625" style="430" bestFit="1" customWidth="1"/>
    <col min="15886" max="15886" width="6.625" style="430" bestFit="1" customWidth="1"/>
    <col min="15887" max="15887" width="9.125" style="430" customWidth="1"/>
    <col min="15888" max="15888" width="6.125" style="430" bestFit="1" customWidth="1"/>
    <col min="15889" max="15889" width="9.375" style="430" bestFit="1" customWidth="1"/>
    <col min="15890" max="15890" width="10.375" style="430" bestFit="1" customWidth="1"/>
    <col min="15891" max="16123" width="8.75" style="430"/>
    <col min="16124" max="16124" width="6.125" style="430" bestFit="1" customWidth="1"/>
    <col min="16125" max="16125" width="14.375" style="430" bestFit="1" customWidth="1"/>
    <col min="16126" max="16126" width="21.75" style="430" bestFit="1" customWidth="1"/>
    <col min="16127" max="16127" width="0" style="430" hidden="1" customWidth="1"/>
    <col min="16128" max="16128" width="16.375" style="430" bestFit="1" customWidth="1"/>
    <col min="16129" max="16129" width="14" style="430" bestFit="1" customWidth="1"/>
    <col min="16130" max="16130" width="15.375" style="430" bestFit="1" customWidth="1"/>
    <col min="16131" max="16131" width="9.75" style="430" bestFit="1" customWidth="1"/>
    <col min="16132" max="16132" width="8.75" style="430" bestFit="1" customWidth="1"/>
    <col min="16133" max="16133" width="11.375" style="430" bestFit="1" customWidth="1"/>
    <col min="16134" max="16134" width="10.375" style="430" bestFit="1" customWidth="1"/>
    <col min="16135" max="16135" width="11.375" style="430" bestFit="1" customWidth="1"/>
    <col min="16136" max="16136" width="12.375" style="430" bestFit="1" customWidth="1"/>
    <col min="16137" max="16137" width="9.125" style="430" bestFit="1" customWidth="1"/>
    <col min="16138" max="16138" width="12.375" style="430" bestFit="1" customWidth="1"/>
    <col min="16139" max="16139" width="16.375" style="430" bestFit="1" customWidth="1"/>
    <col min="16140" max="16140" width="13.75" style="430" bestFit="1" customWidth="1"/>
    <col min="16141" max="16141" width="8.625" style="430" bestFit="1" customWidth="1"/>
    <col min="16142" max="16142" width="6.625" style="430" bestFit="1" customWidth="1"/>
    <col min="16143" max="16143" width="9.125" style="430" customWidth="1"/>
    <col min="16144" max="16144" width="6.125" style="430" bestFit="1" customWidth="1"/>
    <col min="16145" max="16145" width="9.375" style="430" bestFit="1" customWidth="1"/>
    <col min="16146" max="16146" width="10.375" style="430" bestFit="1" customWidth="1"/>
    <col min="16147" max="16384" width="8.75" style="430"/>
  </cols>
  <sheetData>
    <row r="1" spans="1:28" x14ac:dyDescent="0.2">
      <c r="A1" s="146">
        <v>1</v>
      </c>
      <c r="B1" s="146">
        <f>+A1+1</f>
        <v>2</v>
      </c>
      <c r="C1" s="146">
        <f t="shared" ref="C1:Z1" si="0">+B1+1</f>
        <v>3</v>
      </c>
      <c r="D1" s="428">
        <f t="shared" si="0"/>
        <v>4</v>
      </c>
      <c r="E1" s="428">
        <f t="shared" si="0"/>
        <v>5</v>
      </c>
      <c r="F1" s="428">
        <f t="shared" si="0"/>
        <v>6</v>
      </c>
      <c r="G1" s="428">
        <f t="shared" si="0"/>
        <v>7</v>
      </c>
      <c r="H1" s="146">
        <f t="shared" si="0"/>
        <v>8</v>
      </c>
      <c r="I1" s="146">
        <f t="shared" si="0"/>
        <v>9</v>
      </c>
      <c r="J1" s="146">
        <f t="shared" si="0"/>
        <v>10</v>
      </c>
      <c r="K1" s="146">
        <f t="shared" si="0"/>
        <v>11</v>
      </c>
      <c r="L1" s="146">
        <f t="shared" si="0"/>
        <v>12</v>
      </c>
      <c r="M1" s="146">
        <f t="shared" si="0"/>
        <v>13</v>
      </c>
      <c r="N1" s="146">
        <f t="shared" si="0"/>
        <v>14</v>
      </c>
      <c r="O1" s="429">
        <f t="shared" si="0"/>
        <v>15</v>
      </c>
      <c r="P1" s="146">
        <f t="shared" si="0"/>
        <v>16</v>
      </c>
      <c r="Q1" s="146">
        <f t="shared" si="0"/>
        <v>17</v>
      </c>
      <c r="R1" s="146">
        <f t="shared" si="0"/>
        <v>18</v>
      </c>
      <c r="S1" s="146">
        <f t="shared" si="0"/>
        <v>19</v>
      </c>
      <c r="T1" s="146">
        <f t="shared" si="0"/>
        <v>20</v>
      </c>
      <c r="U1" s="146">
        <f t="shared" si="0"/>
        <v>21</v>
      </c>
      <c r="V1" s="146">
        <f t="shared" si="0"/>
        <v>22</v>
      </c>
      <c r="W1" s="146">
        <f t="shared" si="0"/>
        <v>23</v>
      </c>
      <c r="X1" s="428">
        <f t="shared" si="0"/>
        <v>24</v>
      </c>
      <c r="Y1" s="428">
        <f t="shared" si="0"/>
        <v>25</v>
      </c>
      <c r="Z1" s="428">
        <f t="shared" si="0"/>
        <v>26</v>
      </c>
    </row>
    <row r="2" spans="1:28" ht="38.25" x14ac:dyDescent="0.2">
      <c r="A2" s="431" t="s">
        <v>58</v>
      </c>
      <c r="B2" s="431" t="s">
        <v>59</v>
      </c>
      <c r="C2" s="431" t="s">
        <v>60</v>
      </c>
      <c r="D2" s="432" t="s">
        <v>61</v>
      </c>
      <c r="E2" s="432" t="s">
        <v>62</v>
      </c>
      <c r="F2" s="432" t="s">
        <v>63</v>
      </c>
      <c r="G2" s="432" t="s">
        <v>74</v>
      </c>
      <c r="H2" s="433" t="s">
        <v>80</v>
      </c>
      <c r="I2" s="433" t="s">
        <v>81</v>
      </c>
      <c r="J2" s="434" t="s">
        <v>64</v>
      </c>
      <c r="K2" s="435" t="s">
        <v>65</v>
      </c>
      <c r="L2" s="435" t="s">
        <v>66</v>
      </c>
      <c r="M2" s="435" t="s">
        <v>67</v>
      </c>
      <c r="N2" s="434" t="s">
        <v>68</v>
      </c>
      <c r="O2" s="436" t="s">
        <v>69</v>
      </c>
      <c r="P2" s="431" t="s">
        <v>70</v>
      </c>
      <c r="Q2" s="437" t="s">
        <v>26</v>
      </c>
      <c r="R2" s="438" t="s">
        <v>78</v>
      </c>
      <c r="S2" s="438" t="s">
        <v>75</v>
      </c>
      <c r="T2" s="439" t="s">
        <v>76</v>
      </c>
      <c r="U2" s="439" t="s">
        <v>546</v>
      </c>
      <c r="V2" s="439" t="s">
        <v>77</v>
      </c>
      <c r="W2" s="439" t="s">
        <v>79</v>
      </c>
      <c r="X2" s="440" t="s">
        <v>71</v>
      </c>
      <c r="Y2" s="440" t="s">
        <v>72</v>
      </c>
      <c r="Z2" s="440" t="s">
        <v>73</v>
      </c>
    </row>
    <row r="3" spans="1:28" x14ac:dyDescent="0.2">
      <c r="A3" s="441" t="s">
        <v>28</v>
      </c>
      <c r="B3" s="442" t="s">
        <v>82</v>
      </c>
      <c r="C3" s="443" t="s">
        <v>700</v>
      </c>
      <c r="D3" s="444">
        <v>1247474010</v>
      </c>
      <c r="E3" s="444">
        <v>31066349</v>
      </c>
      <c r="F3" s="444">
        <v>1216407661</v>
      </c>
      <c r="G3" s="445">
        <v>210550.34</v>
      </c>
      <c r="H3" s="446">
        <v>27</v>
      </c>
      <c r="I3" s="447">
        <v>0</v>
      </c>
      <c r="J3" s="443">
        <v>27</v>
      </c>
      <c r="K3" s="448">
        <v>0</v>
      </c>
      <c r="L3" s="449">
        <v>0</v>
      </c>
      <c r="M3" s="448">
        <v>0.17599999999999999</v>
      </c>
      <c r="N3" s="443">
        <v>0</v>
      </c>
      <c r="O3" s="450">
        <v>15.913</v>
      </c>
      <c r="P3" s="448">
        <v>0.17299999999999999</v>
      </c>
      <c r="Q3" s="451">
        <v>43.262</v>
      </c>
      <c r="R3" s="447">
        <v>9.952</v>
      </c>
      <c r="S3" s="449">
        <v>0</v>
      </c>
      <c r="T3" s="449">
        <v>0</v>
      </c>
      <c r="U3" s="449">
        <v>0</v>
      </c>
      <c r="V3" s="449">
        <v>0</v>
      </c>
      <c r="W3" s="447">
        <v>53.213999999999999</v>
      </c>
      <c r="X3" s="444">
        <v>58.731000000000002</v>
      </c>
      <c r="Y3" s="444">
        <v>77934324.75</v>
      </c>
      <c r="Z3" s="444">
        <v>42605214.162999995</v>
      </c>
      <c r="AB3" s="430" t="str">
        <f>CONCATENATE("UPDATE mill_levy SET cert_per_hb201418 = ",H3,",cert_hb201418_tax_credit = ",I3,",certified_catbuy_mill_levy = ",K3,",cert_tot_prog_reserve_fund = ",L3,",certified_hh_mill_levy = ",M3,",certified_override_mill_levy = ",O3,",certified_abate_mill_levy = ",P3,",certified_bond_mill_levy = ",R3,",certified_transport_mill_levy = ",S3,",certified_sbt_mill_levy = ",T3,",cert_supp_cap_construction = ",U3,",certified_other_mill_levy = ",V3,",full_funding_mill_levy = ",X3,",state_funding = ",Z3," WHERE district_number = '",A3,"' AND fiscal_year = 20222023;")</f>
        <v>UPDATE mill_levy SET cert_per_hb201418 = 27,cert_hb201418_tax_credit = 0,certified_catbuy_mill_levy = 0,cert_tot_prog_reserve_fund = 0,certified_hh_mill_levy = 0.176,certified_override_mill_levy = 15.913,certified_abate_mill_levy = 0.173,certified_bond_mill_levy = 9.952,certified_transport_mill_levy = 0,certified_sbt_mill_levy = 0,cert_supp_cap_construction = 0,certified_other_mill_levy = 0,full_funding_mill_levy = 58.731,state_funding = 42605214.163 WHERE district_number = '0010' AND fiscal_year = 20222023;</v>
      </c>
    </row>
    <row r="4" spans="1:28" x14ac:dyDescent="0.2">
      <c r="A4" s="441" t="s">
        <v>84</v>
      </c>
      <c r="B4" s="442" t="s">
        <v>82</v>
      </c>
      <c r="C4" s="443" t="s">
        <v>701</v>
      </c>
      <c r="D4" s="444">
        <v>4632016070</v>
      </c>
      <c r="E4" s="444">
        <v>513756679</v>
      </c>
      <c r="F4" s="444">
        <v>4118259391</v>
      </c>
      <c r="G4" s="445">
        <v>1171511</v>
      </c>
      <c r="H4" s="446">
        <v>27</v>
      </c>
      <c r="I4" s="447">
        <v>0</v>
      </c>
      <c r="J4" s="443">
        <v>27</v>
      </c>
      <c r="K4" s="448">
        <v>0</v>
      </c>
      <c r="L4" s="449">
        <v>0</v>
      </c>
      <c r="M4" s="448">
        <v>0</v>
      </c>
      <c r="N4" s="443">
        <v>0</v>
      </c>
      <c r="O4" s="450">
        <v>16.756</v>
      </c>
      <c r="P4" s="448">
        <v>0.28399999999999997</v>
      </c>
      <c r="Q4" s="451">
        <v>44.04</v>
      </c>
      <c r="R4" s="447">
        <v>18.664999999999999</v>
      </c>
      <c r="S4" s="449">
        <v>0</v>
      </c>
      <c r="T4" s="449">
        <v>0</v>
      </c>
      <c r="U4" s="449">
        <v>0</v>
      </c>
      <c r="V4" s="449">
        <v>0</v>
      </c>
      <c r="W4" s="447">
        <v>62.704999999999998</v>
      </c>
      <c r="X4" s="444">
        <v>94.313000000000002</v>
      </c>
      <c r="Y4" s="444">
        <v>443315646.52999997</v>
      </c>
      <c r="Z4" s="444">
        <v>326400447.76300001</v>
      </c>
      <c r="AB4" s="430" t="str">
        <f t="shared" ref="AB4:AB67" si="1">CONCATENATE("UPDATE mill_levy SET cert_per_hb201418 = ",H4,",cert_hb201418_tax_credit = ",I4,",certified_catbuy_mill_levy = ",K4,",cert_tot_prog_reserve_fund = ",L4,",certified_hh_mill_levy = ",M4,",certified_override_mill_levy = ",O4,",certified_abate_mill_levy = ",P4,",certified_bond_mill_levy = ",R4,",certified_transport_mill_levy = ",S4,",certified_sbt_mill_levy = ",T4,",cert_supp_cap_construction = ",U4,",certified_other_mill_levy = ",V4,",full_funding_mill_levy = ",X4,",state_funding = ",Z4," WHERE district_number = '",A4,"' AND fiscal_year = 20222023;")</f>
        <v>UPDATE mill_levy SET cert_per_hb201418 = 27,cert_hb201418_tax_credit = 0,certified_catbuy_mill_levy = 0,cert_tot_prog_reserve_fund = 0,certified_hh_mill_levy = 0,certified_override_mill_levy = 16.756,certified_abate_mill_levy = 0.284,certified_bond_mill_levy = 18.665,certified_transport_mill_levy = 0,certified_sbt_mill_levy = 0,cert_supp_cap_construction = 0,certified_other_mill_levy = 0,full_funding_mill_levy = 94.313,state_funding = 326400447.763 WHERE district_number = '0020' AND fiscal_year = 20222023;</v>
      </c>
    </row>
    <row r="5" spans="1:28" x14ac:dyDescent="0.2">
      <c r="A5" s="441" t="s">
        <v>86</v>
      </c>
      <c r="B5" s="442" t="s">
        <v>82</v>
      </c>
      <c r="C5" s="443" t="s">
        <v>702</v>
      </c>
      <c r="D5" s="444">
        <v>1257148630</v>
      </c>
      <c r="E5" s="444">
        <v>10535492</v>
      </c>
      <c r="F5" s="444">
        <v>1246613138</v>
      </c>
      <c r="G5" s="445">
        <v>196259</v>
      </c>
      <c r="H5" s="446">
        <v>27</v>
      </c>
      <c r="I5" s="447">
        <v>0</v>
      </c>
      <c r="J5" s="443">
        <v>27</v>
      </c>
      <c r="K5" s="448">
        <v>0</v>
      </c>
      <c r="L5" s="449">
        <v>0</v>
      </c>
      <c r="M5" s="448">
        <v>0</v>
      </c>
      <c r="N5" s="443">
        <v>0</v>
      </c>
      <c r="O5" s="450">
        <v>11.944000000000001</v>
      </c>
      <c r="P5" s="448">
        <v>0.157</v>
      </c>
      <c r="Q5" s="451">
        <v>39.100999999999999</v>
      </c>
      <c r="R5" s="447">
        <v>9.66</v>
      </c>
      <c r="S5" s="449">
        <v>0</v>
      </c>
      <c r="T5" s="449">
        <v>0</v>
      </c>
      <c r="U5" s="449">
        <v>0</v>
      </c>
      <c r="V5" s="449">
        <v>0</v>
      </c>
      <c r="W5" s="447">
        <v>48.761000000000003</v>
      </c>
      <c r="X5" s="444">
        <v>54.253999999999998</v>
      </c>
      <c r="Y5" s="444">
        <v>71206914.790000007</v>
      </c>
      <c r="Z5" s="444">
        <v>36059438.404000014</v>
      </c>
      <c r="AB5" s="430" t="str">
        <f t="shared" si="1"/>
        <v>UPDATE mill_levy SET cert_per_hb201418 = 27,cert_hb201418_tax_credit = 0,certified_catbuy_mill_levy = 0,cert_tot_prog_reserve_fund = 0,certified_hh_mill_levy = 0,certified_override_mill_levy = 11.944,certified_abate_mill_levy = 0.157,certified_bond_mill_levy = 9.66,certified_transport_mill_levy = 0,certified_sbt_mill_levy = 0,cert_supp_cap_construction = 0,certified_other_mill_levy = 0,full_funding_mill_levy = 54.254,state_funding = 36059438.404 WHERE district_number = '0030' AND fiscal_year = 20222023;</v>
      </c>
    </row>
    <row r="6" spans="1:28" x14ac:dyDescent="0.2">
      <c r="A6" s="441" t="s">
        <v>88</v>
      </c>
      <c r="B6" s="452" t="s">
        <v>82</v>
      </c>
      <c r="C6" s="453" t="s">
        <v>703</v>
      </c>
      <c r="D6" s="444">
        <v>3491646580</v>
      </c>
      <c r="E6" s="444">
        <v>280548192</v>
      </c>
      <c r="F6" s="444">
        <v>3211098388</v>
      </c>
      <c r="G6" s="445">
        <v>1371501.77</v>
      </c>
      <c r="H6" s="446">
        <v>27</v>
      </c>
      <c r="I6" s="447">
        <v>0</v>
      </c>
      <c r="J6" s="443">
        <v>27</v>
      </c>
      <c r="K6" s="448">
        <v>0</v>
      </c>
      <c r="L6" s="449">
        <v>0</v>
      </c>
      <c r="M6" s="448">
        <v>0</v>
      </c>
      <c r="N6" s="443">
        <v>0</v>
      </c>
      <c r="O6" s="450">
        <v>8.2330000000000005</v>
      </c>
      <c r="P6" s="448">
        <v>0.42699999999999999</v>
      </c>
      <c r="Q6" s="451">
        <v>35.659999999999997</v>
      </c>
      <c r="R6" s="447">
        <v>20.984000000000002</v>
      </c>
      <c r="S6" s="449">
        <v>0</v>
      </c>
      <c r="T6" s="449">
        <v>0</v>
      </c>
      <c r="U6" s="449">
        <v>0</v>
      </c>
      <c r="V6" s="449">
        <v>0</v>
      </c>
      <c r="W6" s="447">
        <v>56.643999999999998</v>
      </c>
      <c r="X6" s="444">
        <v>73.143000000000001</v>
      </c>
      <c r="Y6" s="444">
        <v>268471199.26999998</v>
      </c>
      <c r="Z6" s="444">
        <v>173400728.15399998</v>
      </c>
      <c r="AB6" s="430" t="str">
        <f t="shared" si="1"/>
        <v>UPDATE mill_levy SET cert_per_hb201418 = 27,cert_hb201418_tax_credit = 0,certified_catbuy_mill_levy = 0,cert_tot_prog_reserve_fund = 0,certified_hh_mill_levy = 0,certified_override_mill_levy = 8.233,certified_abate_mill_levy = 0.427,certified_bond_mill_levy = 20.984,certified_transport_mill_levy = 0,certified_sbt_mill_levy = 0,cert_supp_cap_construction = 0,certified_other_mill_levy = 0,full_funding_mill_levy = 73.143,state_funding = 173400728.154 WHERE district_number = '0040' AND fiscal_year = 20222023;</v>
      </c>
    </row>
    <row r="7" spans="1:28" x14ac:dyDescent="0.2">
      <c r="A7" s="441" t="s">
        <v>90</v>
      </c>
      <c r="B7" s="442" t="s">
        <v>82</v>
      </c>
      <c r="C7" s="443" t="s">
        <v>704</v>
      </c>
      <c r="D7" s="444">
        <v>457393352</v>
      </c>
      <c r="E7" s="444">
        <v>0</v>
      </c>
      <c r="F7" s="444">
        <v>457393352</v>
      </c>
      <c r="G7" s="445">
        <v>28857.57</v>
      </c>
      <c r="H7" s="446">
        <v>25.265000000000001</v>
      </c>
      <c r="I7" s="447">
        <v>0</v>
      </c>
      <c r="J7" s="443">
        <v>25.265000000000001</v>
      </c>
      <c r="K7" s="448">
        <v>0</v>
      </c>
      <c r="L7" s="449">
        <v>0</v>
      </c>
      <c r="M7" s="448">
        <v>0</v>
      </c>
      <c r="N7" s="443">
        <v>0</v>
      </c>
      <c r="O7" s="450">
        <v>0</v>
      </c>
      <c r="P7" s="448">
        <v>6.3E-2</v>
      </c>
      <c r="Q7" s="451">
        <v>25.327999999999999</v>
      </c>
      <c r="R7" s="447">
        <v>0</v>
      </c>
      <c r="S7" s="449">
        <v>0</v>
      </c>
      <c r="T7" s="449">
        <v>0</v>
      </c>
      <c r="U7" s="449">
        <v>0</v>
      </c>
      <c r="V7" s="449">
        <v>0</v>
      </c>
      <c r="W7" s="447">
        <v>25.327999999999999</v>
      </c>
      <c r="X7" s="444">
        <v>26.891999999999999</v>
      </c>
      <c r="Y7" s="444">
        <v>20172478.309999999</v>
      </c>
      <c r="Z7" s="444">
        <v>8027112.5817200001</v>
      </c>
      <c r="AB7" s="430" t="str">
        <f t="shared" si="1"/>
        <v>UPDATE mill_levy SET cert_per_hb201418 = 25.265,cert_hb201418_tax_credit = 0,certified_catbuy_mill_levy = 0,cert_tot_prog_reserve_fund = 0,certified_hh_mill_levy = 0,certified_override_mill_levy = 0,certified_abate_mill_levy = 0.063,certified_bond_mill_levy = 0,certified_transport_mill_levy = 0,certified_sbt_mill_levy = 0,cert_supp_cap_construction = 0,certified_other_mill_levy = 0,full_funding_mill_levy = 26.892,state_funding = 8027112.58172 WHERE district_number = '0050' AND fiscal_year = 20222023;</v>
      </c>
    </row>
    <row r="8" spans="1:28" x14ac:dyDescent="0.2">
      <c r="A8" s="441" t="s">
        <v>92</v>
      </c>
      <c r="B8" s="442" t="s">
        <v>82</v>
      </c>
      <c r="C8" s="443" t="s">
        <v>705</v>
      </c>
      <c r="D8" s="444">
        <v>130921375</v>
      </c>
      <c r="E8" s="444">
        <v>0</v>
      </c>
      <c r="F8" s="444">
        <v>130921375</v>
      </c>
      <c r="G8" s="445">
        <v>1309</v>
      </c>
      <c r="H8" s="446">
        <v>27</v>
      </c>
      <c r="I8" s="447">
        <v>0</v>
      </c>
      <c r="J8" s="443">
        <v>27</v>
      </c>
      <c r="K8" s="448">
        <v>0</v>
      </c>
      <c r="L8" s="449">
        <v>0</v>
      </c>
      <c r="M8" s="448">
        <v>0</v>
      </c>
      <c r="N8" s="443">
        <v>0</v>
      </c>
      <c r="O8" s="450">
        <v>2.2909999999999999</v>
      </c>
      <c r="P8" s="448">
        <v>0.01</v>
      </c>
      <c r="Q8" s="451">
        <v>29.300999999999998</v>
      </c>
      <c r="R8" s="447">
        <v>11.457000000000001</v>
      </c>
      <c r="S8" s="449">
        <v>0</v>
      </c>
      <c r="T8" s="449">
        <v>0</v>
      </c>
      <c r="U8" s="449">
        <v>0</v>
      </c>
      <c r="V8" s="449">
        <v>0</v>
      </c>
      <c r="W8" s="447">
        <v>40.758000000000003</v>
      </c>
      <c r="X8" s="444">
        <v>90.808999999999997</v>
      </c>
      <c r="Y8" s="444">
        <v>13187782.6</v>
      </c>
      <c r="Z8" s="444">
        <v>9599031.3550000004</v>
      </c>
      <c r="AB8" s="430" t="str">
        <f t="shared" si="1"/>
        <v>UPDATE mill_levy SET cert_per_hb201418 = 27,cert_hb201418_tax_credit = 0,certified_catbuy_mill_levy = 0,cert_tot_prog_reserve_fund = 0,certified_hh_mill_levy = 0,certified_override_mill_levy = 2.291,certified_abate_mill_levy = 0.01,certified_bond_mill_levy = 11.457,certified_transport_mill_levy = 0,certified_sbt_mill_levy = 0,cert_supp_cap_construction = 0,certified_other_mill_levy = 0,full_funding_mill_levy = 90.809,state_funding = 9599031.355 WHERE district_number = '0060' AND fiscal_year = 20222023;</v>
      </c>
    </row>
    <row r="9" spans="1:28" x14ac:dyDescent="0.2">
      <c r="A9" s="441" t="s">
        <v>94</v>
      </c>
      <c r="B9" s="442" t="s">
        <v>82</v>
      </c>
      <c r="C9" s="443" t="s">
        <v>706</v>
      </c>
      <c r="D9" s="444">
        <v>1116020050</v>
      </c>
      <c r="E9" s="444">
        <v>1342349</v>
      </c>
      <c r="F9" s="444">
        <v>1114677701</v>
      </c>
      <c r="G9" s="445">
        <v>289917.71999999997</v>
      </c>
      <c r="H9" s="446">
        <v>27</v>
      </c>
      <c r="I9" s="447">
        <v>0</v>
      </c>
      <c r="J9" s="443">
        <v>27</v>
      </c>
      <c r="K9" s="448">
        <v>0</v>
      </c>
      <c r="L9" s="449">
        <v>0</v>
      </c>
      <c r="M9" s="448">
        <v>0.46500000000000002</v>
      </c>
      <c r="N9" s="443">
        <v>0</v>
      </c>
      <c r="O9" s="450">
        <v>25.012</v>
      </c>
      <c r="P9" s="448">
        <v>0.19500000000000001</v>
      </c>
      <c r="Q9" s="451">
        <v>52.671999999999997</v>
      </c>
      <c r="R9" s="447">
        <v>7.4459999999999997</v>
      </c>
      <c r="S9" s="449">
        <v>0</v>
      </c>
      <c r="T9" s="449">
        <v>0</v>
      </c>
      <c r="U9" s="449">
        <v>0</v>
      </c>
      <c r="V9" s="449">
        <v>0</v>
      </c>
      <c r="W9" s="447">
        <v>60.118000000000002</v>
      </c>
      <c r="X9" s="444">
        <v>81.93</v>
      </c>
      <c r="Y9" s="444">
        <v>98683103.170000002</v>
      </c>
      <c r="Z9" s="444">
        <v>66984611.163000003</v>
      </c>
      <c r="AB9" s="430" t="str">
        <f t="shared" si="1"/>
        <v>UPDATE mill_levy SET cert_per_hb201418 = 27,cert_hb201418_tax_credit = 0,certified_catbuy_mill_levy = 0,cert_tot_prog_reserve_fund = 0,certified_hh_mill_levy = 0.465,certified_override_mill_levy = 25.012,certified_abate_mill_levy = 0.195,certified_bond_mill_levy = 7.446,certified_transport_mill_levy = 0,certified_sbt_mill_levy = 0,cert_supp_cap_construction = 0,certified_other_mill_levy = 0,full_funding_mill_levy = 81.93,state_funding = 66984611.163 WHERE district_number = '0070' AND fiscal_year = 20222023;</v>
      </c>
    </row>
    <row r="10" spans="1:28" x14ac:dyDescent="0.2">
      <c r="A10" s="441" t="s">
        <v>96</v>
      </c>
      <c r="B10" s="442" t="s">
        <v>97</v>
      </c>
      <c r="C10" s="443" t="s">
        <v>707</v>
      </c>
      <c r="D10" s="444">
        <v>165593285</v>
      </c>
      <c r="E10" s="444">
        <v>0</v>
      </c>
      <c r="F10" s="444">
        <v>165593285</v>
      </c>
      <c r="G10" s="445">
        <v>3773</v>
      </c>
      <c r="H10" s="446">
        <v>27</v>
      </c>
      <c r="I10" s="447">
        <v>0</v>
      </c>
      <c r="J10" s="443">
        <v>27</v>
      </c>
      <c r="K10" s="448">
        <v>0</v>
      </c>
      <c r="L10" s="449">
        <v>0</v>
      </c>
      <c r="M10" s="448">
        <v>0</v>
      </c>
      <c r="N10" s="443">
        <v>0</v>
      </c>
      <c r="O10" s="450">
        <v>0</v>
      </c>
      <c r="P10" s="448">
        <v>2.3E-2</v>
      </c>
      <c r="Q10" s="451">
        <v>27.023</v>
      </c>
      <c r="R10" s="447">
        <v>0</v>
      </c>
      <c r="S10" s="449">
        <v>0</v>
      </c>
      <c r="T10" s="449">
        <v>0</v>
      </c>
      <c r="U10" s="449">
        <v>0</v>
      </c>
      <c r="V10" s="449">
        <v>0</v>
      </c>
      <c r="W10" s="447">
        <v>27.023</v>
      </c>
      <c r="X10" s="444">
        <v>126.002</v>
      </c>
      <c r="Y10" s="444">
        <v>24300142.899999999</v>
      </c>
      <c r="Z10" s="444">
        <v>19297232.034999996</v>
      </c>
      <c r="AB10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0.023,certified_bond_mill_levy = 0,certified_transport_mill_levy = 0,certified_sbt_mill_levy = 0,cert_supp_cap_construction = 0,certified_other_mill_levy = 0,full_funding_mill_levy = 126.002,state_funding = 19297232.035 WHERE district_number = '0100' AND fiscal_year = 20222023;</v>
      </c>
    </row>
    <row r="11" spans="1:28" x14ac:dyDescent="0.2">
      <c r="A11" s="441" t="s">
        <v>98</v>
      </c>
      <c r="B11" s="442" t="s">
        <v>97</v>
      </c>
      <c r="C11" s="443" t="s">
        <v>708</v>
      </c>
      <c r="D11" s="444">
        <v>48539258</v>
      </c>
      <c r="E11" s="444">
        <v>0</v>
      </c>
      <c r="F11" s="444">
        <v>48539258</v>
      </c>
      <c r="G11" s="445">
        <v>54.11</v>
      </c>
      <c r="H11" s="446">
        <v>27</v>
      </c>
      <c r="I11" s="447">
        <v>0</v>
      </c>
      <c r="J11" s="443">
        <v>27</v>
      </c>
      <c r="K11" s="448">
        <v>0</v>
      </c>
      <c r="L11" s="449">
        <v>0</v>
      </c>
      <c r="M11" s="448">
        <v>0</v>
      </c>
      <c r="N11" s="443">
        <v>0</v>
      </c>
      <c r="O11" s="450">
        <v>0</v>
      </c>
      <c r="P11" s="448">
        <v>0</v>
      </c>
      <c r="Q11" s="451">
        <v>27</v>
      </c>
      <c r="R11" s="447">
        <v>6.6</v>
      </c>
      <c r="S11" s="449">
        <v>0</v>
      </c>
      <c r="T11" s="449">
        <v>0</v>
      </c>
      <c r="U11" s="449">
        <v>0</v>
      </c>
      <c r="V11" s="449">
        <v>0</v>
      </c>
      <c r="W11" s="447">
        <v>33.6</v>
      </c>
      <c r="X11" s="444">
        <v>77.784000000000006</v>
      </c>
      <c r="Y11" s="444">
        <v>4257003.24</v>
      </c>
      <c r="Z11" s="444">
        <v>2801695.9840000002</v>
      </c>
      <c r="AB11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0,certified_bond_mill_levy = 6.6,certified_transport_mill_levy = 0,certified_sbt_mill_levy = 0,cert_supp_cap_construction = 0,certified_other_mill_levy = 0,full_funding_mill_levy = 77.784,state_funding = 2801695.984 WHERE district_number = '0110' AND fiscal_year = 20222023;</v>
      </c>
    </row>
    <row r="12" spans="1:28" x14ac:dyDescent="0.2">
      <c r="A12" s="441" t="s">
        <v>100</v>
      </c>
      <c r="B12" s="442" t="s">
        <v>101</v>
      </c>
      <c r="C12" s="443" t="s">
        <v>709</v>
      </c>
      <c r="D12" s="444">
        <v>904528672</v>
      </c>
      <c r="E12" s="444">
        <v>64915330</v>
      </c>
      <c r="F12" s="444">
        <v>839613342</v>
      </c>
      <c r="G12" s="445">
        <v>214941</v>
      </c>
      <c r="H12" s="446">
        <v>27</v>
      </c>
      <c r="I12" s="447">
        <v>1.105</v>
      </c>
      <c r="J12" s="443">
        <v>25.895</v>
      </c>
      <c r="K12" s="448">
        <v>0</v>
      </c>
      <c r="L12" s="449">
        <v>0</v>
      </c>
      <c r="M12" s="448">
        <v>0</v>
      </c>
      <c r="N12" s="443">
        <v>0</v>
      </c>
      <c r="O12" s="450">
        <v>7.3319999999999999</v>
      </c>
      <c r="P12" s="448">
        <v>0.25600000000000001</v>
      </c>
      <c r="Q12" s="451">
        <v>33.482999999999997</v>
      </c>
      <c r="R12" s="447">
        <v>10.769</v>
      </c>
      <c r="S12" s="449">
        <v>0</v>
      </c>
      <c r="T12" s="449">
        <v>0</v>
      </c>
      <c r="U12" s="449">
        <v>5.819</v>
      </c>
      <c r="V12" s="449">
        <v>0</v>
      </c>
      <c r="W12" s="447">
        <v>50.070999999999998</v>
      </c>
      <c r="X12" s="444">
        <v>27.728999999999999</v>
      </c>
      <c r="Y12" s="444">
        <v>26143620</v>
      </c>
      <c r="Z12" s="444">
        <v>2937069.7689100001</v>
      </c>
      <c r="AB12" s="430" t="str">
        <f t="shared" si="1"/>
        <v>UPDATE mill_levy SET cert_per_hb201418 = 27,cert_hb201418_tax_credit = 1.105,certified_catbuy_mill_levy = 0,cert_tot_prog_reserve_fund = 0,certified_hh_mill_levy = 0,certified_override_mill_levy = 7.332,certified_abate_mill_levy = 0.256,certified_bond_mill_levy = 10.769,certified_transport_mill_levy = 0,certified_sbt_mill_levy = 0,cert_supp_cap_construction = 5.819,certified_other_mill_levy = 0,full_funding_mill_levy = 27.729,state_funding = 2937069.76891 WHERE district_number = '0120' AND fiscal_year = 20222023;</v>
      </c>
    </row>
    <row r="13" spans="1:28" x14ac:dyDescent="0.2">
      <c r="A13" s="441" t="s">
        <v>103</v>
      </c>
      <c r="B13" s="442" t="s">
        <v>101</v>
      </c>
      <c r="C13" s="443" t="s">
        <v>710</v>
      </c>
      <c r="D13" s="444">
        <v>370130614</v>
      </c>
      <c r="E13" s="444">
        <v>37619492</v>
      </c>
      <c r="F13" s="444">
        <v>332511122</v>
      </c>
      <c r="G13" s="445">
        <v>104899</v>
      </c>
      <c r="H13" s="446">
        <v>27</v>
      </c>
      <c r="I13" s="447">
        <v>2.0529999999999999</v>
      </c>
      <c r="J13" s="443">
        <v>24.946999999999999</v>
      </c>
      <c r="K13" s="448">
        <v>0</v>
      </c>
      <c r="L13" s="449">
        <v>0</v>
      </c>
      <c r="M13" s="448">
        <v>0</v>
      </c>
      <c r="N13" s="443">
        <v>0</v>
      </c>
      <c r="O13" s="450">
        <v>11.561999999999999</v>
      </c>
      <c r="P13" s="448">
        <v>0.315</v>
      </c>
      <c r="Q13" s="451">
        <v>36.823999999999998</v>
      </c>
      <c r="R13" s="447">
        <v>4.3860000000000001</v>
      </c>
      <c r="S13" s="449">
        <v>0</v>
      </c>
      <c r="T13" s="449">
        <v>0</v>
      </c>
      <c r="U13" s="449">
        <v>0</v>
      </c>
      <c r="V13" s="449">
        <v>0</v>
      </c>
      <c r="W13" s="447">
        <v>41.21</v>
      </c>
      <c r="X13" s="444">
        <v>38.283000000000001</v>
      </c>
      <c r="Y13" s="444">
        <v>13714030.619999999</v>
      </c>
      <c r="Z13" s="444">
        <v>4936293.9994659992</v>
      </c>
      <c r="AB13" s="430" t="str">
        <f t="shared" si="1"/>
        <v>UPDATE mill_levy SET cert_per_hb201418 = 27,cert_hb201418_tax_credit = 2.053,certified_catbuy_mill_levy = 0,cert_tot_prog_reserve_fund = 0,certified_hh_mill_levy = 0,certified_override_mill_levy = 11.562,certified_abate_mill_levy = 0.315,certified_bond_mill_levy = 4.386,certified_transport_mill_levy = 0,certified_sbt_mill_levy = 0,cert_supp_cap_construction = 0,certified_other_mill_levy = 0,full_funding_mill_levy = 38.283,state_funding = 4936293.999466 WHERE district_number = '0123' AND fiscal_year = 20222023;</v>
      </c>
    </row>
    <row r="14" spans="1:28" x14ac:dyDescent="0.2">
      <c r="A14" s="454" t="s">
        <v>105</v>
      </c>
      <c r="B14" s="442" t="s">
        <v>101</v>
      </c>
      <c r="C14" s="443" t="s">
        <v>711</v>
      </c>
      <c r="D14" s="444">
        <v>8989744310</v>
      </c>
      <c r="E14" s="444">
        <v>64435585</v>
      </c>
      <c r="F14" s="444">
        <v>8925308725</v>
      </c>
      <c r="G14" s="445">
        <v>0</v>
      </c>
      <c r="H14" s="446">
        <v>18.756</v>
      </c>
      <c r="I14" s="447">
        <v>0</v>
      </c>
      <c r="J14" s="443">
        <v>18.756</v>
      </c>
      <c r="K14" s="448">
        <v>0</v>
      </c>
      <c r="L14" s="449">
        <v>0</v>
      </c>
      <c r="M14" s="448">
        <v>0.72399999999999998</v>
      </c>
      <c r="N14" s="443">
        <v>4.2999999999999997E-2</v>
      </c>
      <c r="O14" s="450">
        <v>16.994</v>
      </c>
      <c r="P14" s="448">
        <v>0.249</v>
      </c>
      <c r="Q14" s="451">
        <v>36.765999999999998</v>
      </c>
      <c r="R14" s="447">
        <v>12.141</v>
      </c>
      <c r="S14" s="449">
        <v>0</v>
      </c>
      <c r="T14" s="449">
        <v>0</v>
      </c>
      <c r="U14" s="449">
        <v>5.0549999999999997</v>
      </c>
      <c r="V14" s="449">
        <v>0</v>
      </c>
      <c r="W14" s="447">
        <v>53.962000000000003</v>
      </c>
      <c r="X14" s="444">
        <v>58.149000000000001</v>
      </c>
      <c r="Y14" s="444">
        <v>585173577.00999999</v>
      </c>
      <c r="Z14" s="444">
        <v>405133487.72390002</v>
      </c>
      <c r="AB14" s="430" t="str">
        <f t="shared" si="1"/>
        <v>UPDATE mill_levy SET cert_per_hb201418 = 18.756,cert_hb201418_tax_credit = 0,certified_catbuy_mill_levy = 0,cert_tot_prog_reserve_fund = 0,certified_hh_mill_levy = 0.724,certified_override_mill_levy = 16.994,certified_abate_mill_levy = 0.249,certified_bond_mill_levy = 12.141,certified_transport_mill_levy = 0,certified_sbt_mill_levy = 0,cert_supp_cap_construction = 5.055,certified_other_mill_levy = 0,full_funding_mill_levy = 58.149,state_funding = 405133487.7239 WHERE district_number = '0130' AND fiscal_year = 20222023;</v>
      </c>
    </row>
    <row r="15" spans="1:28" x14ac:dyDescent="0.2">
      <c r="A15" s="441" t="s">
        <v>107</v>
      </c>
      <c r="B15" s="442" t="s">
        <v>101</v>
      </c>
      <c r="C15" s="443" t="s">
        <v>712</v>
      </c>
      <c r="D15" s="444">
        <v>2520476453</v>
      </c>
      <c r="E15" s="444">
        <v>32221521</v>
      </c>
      <c r="F15" s="444">
        <v>2488254932</v>
      </c>
      <c r="G15" s="445">
        <v>914033</v>
      </c>
      <c r="H15" s="446">
        <v>27</v>
      </c>
      <c r="I15" s="447">
        <v>0</v>
      </c>
      <c r="J15" s="443">
        <v>27</v>
      </c>
      <c r="K15" s="448">
        <v>0</v>
      </c>
      <c r="L15" s="449">
        <v>0</v>
      </c>
      <c r="M15" s="448">
        <v>0.93100000000000005</v>
      </c>
      <c r="N15" s="443">
        <v>0</v>
      </c>
      <c r="O15" s="450">
        <v>10.648999999999999</v>
      </c>
      <c r="P15" s="448">
        <v>0.36699999999999999</v>
      </c>
      <c r="Q15" s="451">
        <v>38.947000000000003</v>
      </c>
      <c r="R15" s="447">
        <v>15.846</v>
      </c>
      <c r="S15" s="449">
        <v>0</v>
      </c>
      <c r="T15" s="449">
        <v>10</v>
      </c>
      <c r="U15" s="449">
        <v>0</v>
      </c>
      <c r="V15" s="449">
        <v>0</v>
      </c>
      <c r="W15" s="447">
        <v>64.793000000000006</v>
      </c>
      <c r="X15" s="444">
        <v>51.186</v>
      </c>
      <c r="Y15" s="444">
        <v>144033827.53</v>
      </c>
      <c r="Z15" s="444">
        <v>71479750.915999994</v>
      </c>
      <c r="AB15" s="430" t="str">
        <f t="shared" si="1"/>
        <v>UPDATE mill_levy SET cert_per_hb201418 = 27,cert_hb201418_tax_credit = 0,certified_catbuy_mill_levy = 0,cert_tot_prog_reserve_fund = 0,certified_hh_mill_levy = 0.931,certified_override_mill_levy = 10.649,certified_abate_mill_levy = 0.367,certified_bond_mill_levy = 15.846,certified_transport_mill_levy = 0,certified_sbt_mill_levy = 10,cert_supp_cap_construction = 0,certified_other_mill_levy = 0,full_funding_mill_levy = 51.186,state_funding = 71479750.916 WHERE district_number = '0140' AND fiscal_year = 20222023;</v>
      </c>
    </row>
    <row r="16" spans="1:28" x14ac:dyDescent="0.2">
      <c r="A16" s="441" t="s">
        <v>109</v>
      </c>
      <c r="B16" s="442" t="s">
        <v>101</v>
      </c>
      <c r="C16" s="443" t="s">
        <v>713</v>
      </c>
      <c r="D16" s="444">
        <v>53122774</v>
      </c>
      <c r="E16" s="444">
        <v>0</v>
      </c>
      <c r="F16" s="444">
        <v>53122774</v>
      </c>
      <c r="G16" s="445">
        <v>0</v>
      </c>
      <c r="H16" s="446">
        <v>27</v>
      </c>
      <c r="I16" s="447">
        <v>0</v>
      </c>
      <c r="J16" s="443">
        <v>27</v>
      </c>
      <c r="K16" s="448">
        <v>0</v>
      </c>
      <c r="L16" s="449">
        <v>0</v>
      </c>
      <c r="M16" s="448">
        <v>0.123</v>
      </c>
      <c r="N16" s="443">
        <v>0</v>
      </c>
      <c r="O16" s="450">
        <v>0</v>
      </c>
      <c r="P16" s="448">
        <v>0</v>
      </c>
      <c r="Q16" s="451">
        <v>27.123000000000001</v>
      </c>
      <c r="R16" s="447">
        <v>9.9440000000000008</v>
      </c>
      <c r="S16" s="449">
        <v>0</v>
      </c>
      <c r="T16" s="449">
        <v>0</v>
      </c>
      <c r="U16" s="449">
        <v>0</v>
      </c>
      <c r="V16" s="449">
        <v>0</v>
      </c>
      <c r="W16" s="447">
        <v>37.067</v>
      </c>
      <c r="X16" s="444">
        <v>79.424000000000007</v>
      </c>
      <c r="Y16" s="444">
        <v>5187379.51</v>
      </c>
      <c r="Z16" s="444">
        <v>3667377.5019999999</v>
      </c>
      <c r="AB16" s="430" t="str">
        <f t="shared" si="1"/>
        <v>UPDATE mill_levy SET cert_per_hb201418 = 27,cert_hb201418_tax_credit = 0,certified_catbuy_mill_levy = 0,cert_tot_prog_reserve_fund = 0,certified_hh_mill_levy = 0.123,certified_override_mill_levy = 0,certified_abate_mill_levy = 0,certified_bond_mill_levy = 9.944,certified_transport_mill_levy = 0,certified_sbt_mill_levy = 0,cert_supp_cap_construction = 0,certified_other_mill_levy = 0,full_funding_mill_levy = 79.424,state_funding = 3667377.502 WHERE district_number = '0170' AND fiscal_year = 20222023;</v>
      </c>
    </row>
    <row r="17" spans="1:28" x14ac:dyDescent="0.2">
      <c r="A17" s="441" t="s">
        <v>111</v>
      </c>
      <c r="B17" s="442" t="s">
        <v>101</v>
      </c>
      <c r="C17" s="443" t="s">
        <v>714</v>
      </c>
      <c r="D17" s="444">
        <v>5728903707</v>
      </c>
      <c r="E17" s="444">
        <v>157227096</v>
      </c>
      <c r="F17" s="444">
        <v>5571676611</v>
      </c>
      <c r="G17" s="445">
        <v>2966617.18</v>
      </c>
      <c r="H17" s="446">
        <v>27</v>
      </c>
      <c r="I17" s="447">
        <v>0</v>
      </c>
      <c r="J17" s="443">
        <v>27</v>
      </c>
      <c r="K17" s="448">
        <v>0</v>
      </c>
      <c r="L17" s="449">
        <v>0</v>
      </c>
      <c r="M17" s="448">
        <v>0</v>
      </c>
      <c r="N17" s="443">
        <v>0</v>
      </c>
      <c r="O17" s="450">
        <v>22.513999999999999</v>
      </c>
      <c r="P17" s="448">
        <v>0.53200000000000003</v>
      </c>
      <c r="Q17" s="451">
        <v>50.045999999999999</v>
      </c>
      <c r="R17" s="447">
        <v>15.901</v>
      </c>
      <c r="S17" s="449">
        <v>0</v>
      </c>
      <c r="T17" s="449">
        <v>0</v>
      </c>
      <c r="U17" s="449">
        <v>5.3840000000000003</v>
      </c>
      <c r="V17" s="449">
        <v>0</v>
      </c>
      <c r="W17" s="447">
        <v>71.331000000000003</v>
      </c>
      <c r="X17" s="444">
        <v>76.611000000000004</v>
      </c>
      <c r="Y17" s="444">
        <v>482037533.19999999</v>
      </c>
      <c r="Z17" s="444">
        <v>322192826.84299994</v>
      </c>
      <c r="AB17" s="430" t="str">
        <f t="shared" si="1"/>
        <v>UPDATE mill_levy SET cert_per_hb201418 = 27,cert_hb201418_tax_credit = 0,certified_catbuy_mill_levy = 0,cert_tot_prog_reserve_fund = 0,certified_hh_mill_levy = 0,certified_override_mill_levy = 22.514,certified_abate_mill_levy = 0.532,certified_bond_mill_levy = 15.901,certified_transport_mill_levy = 0,certified_sbt_mill_levy = 0,cert_supp_cap_construction = 5.384,certified_other_mill_levy = 0,full_funding_mill_levy = 76.611,state_funding = 322192826.843 WHERE district_number = '0180' AND fiscal_year = 20222023;</v>
      </c>
    </row>
    <row r="18" spans="1:28" x14ac:dyDescent="0.2">
      <c r="A18" s="441" t="s">
        <v>113</v>
      </c>
      <c r="B18" s="452" t="s">
        <v>101</v>
      </c>
      <c r="C18" s="453" t="s">
        <v>715</v>
      </c>
      <c r="D18" s="444">
        <v>69685447</v>
      </c>
      <c r="E18" s="444">
        <v>0</v>
      </c>
      <c r="F18" s="444">
        <v>69685447</v>
      </c>
      <c r="G18" s="445">
        <v>14076</v>
      </c>
      <c r="H18" s="446">
        <v>27</v>
      </c>
      <c r="I18" s="447">
        <v>0</v>
      </c>
      <c r="J18" s="443">
        <v>27</v>
      </c>
      <c r="K18" s="448">
        <v>0</v>
      </c>
      <c r="L18" s="449">
        <v>0</v>
      </c>
      <c r="M18" s="448">
        <v>0</v>
      </c>
      <c r="N18" s="443">
        <v>0</v>
      </c>
      <c r="O18" s="450">
        <v>3.4449999999999998</v>
      </c>
      <c r="P18" s="448">
        <v>0.20200000000000001</v>
      </c>
      <c r="Q18" s="451">
        <v>30.646999999999998</v>
      </c>
      <c r="R18" s="447">
        <v>0</v>
      </c>
      <c r="S18" s="449">
        <v>0</v>
      </c>
      <c r="T18" s="449">
        <v>0</v>
      </c>
      <c r="U18" s="449">
        <v>0</v>
      </c>
      <c r="V18" s="449">
        <v>0</v>
      </c>
      <c r="W18" s="447">
        <v>30.646999999999998</v>
      </c>
      <c r="X18" s="444">
        <v>741.23400000000004</v>
      </c>
      <c r="Y18" s="444">
        <v>72495287.170000002</v>
      </c>
      <c r="Z18" s="444">
        <v>70508953.880999997</v>
      </c>
      <c r="AB18" s="430" t="str">
        <f t="shared" si="1"/>
        <v>UPDATE mill_levy SET cert_per_hb201418 = 27,cert_hb201418_tax_credit = 0,certified_catbuy_mill_levy = 0,cert_tot_prog_reserve_fund = 0,certified_hh_mill_levy = 0,certified_override_mill_levy = 3.445,certified_abate_mill_levy = 0.202,certified_bond_mill_levy = 0,certified_transport_mill_levy = 0,certified_sbt_mill_levy = 0,cert_supp_cap_construction = 0,certified_other_mill_levy = 0,full_funding_mill_levy = 741.234,state_funding = 70508953.881 WHERE district_number = '0190' AND fiscal_year = 20222023;</v>
      </c>
    </row>
    <row r="19" spans="1:28" x14ac:dyDescent="0.2">
      <c r="A19" s="441" t="s">
        <v>115</v>
      </c>
      <c r="B19" s="442" t="s">
        <v>116</v>
      </c>
      <c r="C19" s="443" t="s">
        <v>716</v>
      </c>
      <c r="D19" s="444">
        <v>568803620</v>
      </c>
      <c r="E19" s="444">
        <v>0</v>
      </c>
      <c r="F19" s="444">
        <v>568803620</v>
      </c>
      <c r="G19" s="445">
        <v>54501</v>
      </c>
      <c r="H19" s="446">
        <v>27</v>
      </c>
      <c r="I19" s="447">
        <v>1.986</v>
      </c>
      <c r="J19" s="443">
        <v>25.013999999999999</v>
      </c>
      <c r="K19" s="448">
        <v>0</v>
      </c>
      <c r="L19" s="449">
        <v>0</v>
      </c>
      <c r="M19" s="448">
        <v>0</v>
      </c>
      <c r="N19" s="443">
        <v>0</v>
      </c>
      <c r="O19" s="450">
        <v>2.9889999999999999</v>
      </c>
      <c r="P19" s="448">
        <v>9.6000000000000002E-2</v>
      </c>
      <c r="Q19" s="451">
        <v>28.099</v>
      </c>
      <c r="R19" s="447">
        <v>0</v>
      </c>
      <c r="S19" s="449">
        <v>0</v>
      </c>
      <c r="T19" s="449">
        <v>0</v>
      </c>
      <c r="U19" s="449">
        <v>0</v>
      </c>
      <c r="V19" s="449">
        <v>0</v>
      </c>
      <c r="W19" s="447">
        <v>28.099</v>
      </c>
      <c r="X19" s="444">
        <v>28.763000000000002</v>
      </c>
      <c r="Y19" s="444">
        <v>18990331.129999999</v>
      </c>
      <c r="Z19" s="444">
        <v>3703577.8093199972</v>
      </c>
      <c r="AB19" s="430" t="str">
        <f t="shared" si="1"/>
        <v>UPDATE mill_levy SET cert_per_hb201418 = 27,cert_hb201418_tax_credit = 1.986,certified_catbuy_mill_levy = 0,cert_tot_prog_reserve_fund = 0,certified_hh_mill_levy = 0,certified_override_mill_levy = 2.989,certified_abate_mill_levy = 0.096,certified_bond_mill_levy = 0,certified_transport_mill_levy = 0,certified_sbt_mill_levy = 0,cert_supp_cap_construction = 0,certified_other_mill_levy = 0,full_funding_mill_levy = 28.763,state_funding = 3703577.80932 WHERE district_number = '0220' AND fiscal_year = 20222023;</v>
      </c>
    </row>
    <row r="20" spans="1:28" x14ac:dyDescent="0.2">
      <c r="A20" s="441" t="s">
        <v>117</v>
      </c>
      <c r="B20" s="452" t="s">
        <v>118</v>
      </c>
      <c r="C20" s="453" t="s">
        <v>717</v>
      </c>
      <c r="D20" s="444">
        <v>26392787</v>
      </c>
      <c r="E20" s="444">
        <v>0</v>
      </c>
      <c r="F20" s="444">
        <v>26392787</v>
      </c>
      <c r="G20" s="445">
        <v>354</v>
      </c>
      <c r="H20" s="446">
        <v>27</v>
      </c>
      <c r="I20" s="447">
        <v>4.6989999999999998</v>
      </c>
      <c r="J20" s="443">
        <v>22.300999999999998</v>
      </c>
      <c r="K20" s="448">
        <v>0</v>
      </c>
      <c r="L20" s="449">
        <v>0</v>
      </c>
      <c r="M20" s="448">
        <v>0</v>
      </c>
      <c r="N20" s="443">
        <v>0</v>
      </c>
      <c r="O20" s="450">
        <v>5</v>
      </c>
      <c r="P20" s="448">
        <v>1.2999999999999999E-2</v>
      </c>
      <c r="Q20" s="451">
        <v>27.314</v>
      </c>
      <c r="R20" s="447">
        <v>13.64</v>
      </c>
      <c r="S20" s="449">
        <v>0</v>
      </c>
      <c r="T20" s="449">
        <v>0</v>
      </c>
      <c r="U20" s="449">
        <v>0</v>
      </c>
      <c r="V20" s="449">
        <v>0</v>
      </c>
      <c r="W20" s="447">
        <v>40.954000000000001</v>
      </c>
      <c r="X20" s="444">
        <v>107.938</v>
      </c>
      <c r="Y20" s="444">
        <v>3247356.85</v>
      </c>
      <c r="Z20" s="444">
        <v>2624581.7201130004</v>
      </c>
      <c r="AB20" s="430" t="str">
        <f t="shared" si="1"/>
        <v>UPDATE mill_levy SET cert_per_hb201418 = 27,cert_hb201418_tax_credit = 4.699,certified_catbuy_mill_levy = 0,cert_tot_prog_reserve_fund = 0,certified_hh_mill_levy = 0,certified_override_mill_levy = 5,certified_abate_mill_levy = 0.013,certified_bond_mill_levy = 13.64,certified_transport_mill_levy = 0,certified_sbt_mill_levy = 0,cert_supp_cap_construction = 0,certified_other_mill_levy = 0,full_funding_mill_levy = 107.938,state_funding = 2624581.720113 WHERE district_number = '0230' AND fiscal_year = 20222023;</v>
      </c>
    </row>
    <row r="21" spans="1:28" x14ac:dyDescent="0.2">
      <c r="A21" s="441" t="s">
        <v>120</v>
      </c>
      <c r="B21" s="442" t="s">
        <v>118</v>
      </c>
      <c r="C21" s="443" t="s">
        <v>718</v>
      </c>
      <c r="D21" s="444">
        <v>31799533</v>
      </c>
      <c r="E21" s="444">
        <v>0</v>
      </c>
      <c r="F21" s="444">
        <v>31799533</v>
      </c>
      <c r="G21" s="445">
        <v>0</v>
      </c>
      <c r="H21" s="446">
        <v>26.992000000000001</v>
      </c>
      <c r="I21" s="447">
        <v>4.1909999999999998</v>
      </c>
      <c r="J21" s="443">
        <v>22.800999999999998</v>
      </c>
      <c r="K21" s="448">
        <v>0</v>
      </c>
      <c r="L21" s="449">
        <v>0</v>
      </c>
      <c r="M21" s="448">
        <v>0</v>
      </c>
      <c r="N21" s="443">
        <v>0</v>
      </c>
      <c r="O21" s="450">
        <v>0</v>
      </c>
      <c r="P21" s="448">
        <v>0</v>
      </c>
      <c r="Q21" s="451">
        <v>22.800999999999998</v>
      </c>
      <c r="R21" s="447">
        <v>0</v>
      </c>
      <c r="S21" s="449">
        <v>0</v>
      </c>
      <c r="T21" s="449">
        <v>0</v>
      </c>
      <c r="U21" s="449">
        <v>0</v>
      </c>
      <c r="V21" s="449">
        <v>0</v>
      </c>
      <c r="W21" s="447">
        <v>22.800999999999998</v>
      </c>
      <c r="X21" s="444">
        <v>36.712000000000003</v>
      </c>
      <c r="Y21" s="444">
        <v>1414949.22</v>
      </c>
      <c r="Z21" s="444">
        <v>619857.40806699987</v>
      </c>
      <c r="AB21" s="430" t="str">
        <f t="shared" si="1"/>
        <v>UPDATE mill_levy SET cert_per_hb201418 = 26.992,cert_hb201418_tax_credit = 4.191,certified_catbuy_mill_levy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36.712,state_funding = 619857.408067 WHERE district_number = '0240' AND fiscal_year = 20222023;</v>
      </c>
    </row>
    <row r="22" spans="1:28" x14ac:dyDescent="0.2">
      <c r="A22" s="441" t="s">
        <v>122</v>
      </c>
      <c r="B22" s="442" t="s">
        <v>118</v>
      </c>
      <c r="C22" s="443" t="s">
        <v>719</v>
      </c>
      <c r="D22" s="444">
        <v>33293699</v>
      </c>
      <c r="E22" s="444">
        <v>0</v>
      </c>
      <c r="F22" s="444">
        <v>33293699</v>
      </c>
      <c r="G22" s="445">
        <v>0</v>
      </c>
      <c r="H22" s="446">
        <v>27</v>
      </c>
      <c r="I22" s="447">
        <v>0</v>
      </c>
      <c r="J22" s="443">
        <v>27</v>
      </c>
      <c r="K22" s="448">
        <v>0</v>
      </c>
      <c r="L22" s="449">
        <v>0</v>
      </c>
      <c r="M22" s="448">
        <v>0</v>
      </c>
      <c r="N22" s="443">
        <v>0</v>
      </c>
      <c r="O22" s="450">
        <v>0</v>
      </c>
      <c r="P22" s="448">
        <v>0</v>
      </c>
      <c r="Q22" s="451">
        <v>27</v>
      </c>
      <c r="R22" s="447">
        <v>11.375</v>
      </c>
      <c r="S22" s="449">
        <v>0</v>
      </c>
      <c r="T22" s="449">
        <v>0</v>
      </c>
      <c r="U22" s="449">
        <v>0</v>
      </c>
      <c r="V22" s="449">
        <v>0</v>
      </c>
      <c r="W22" s="447">
        <v>38.375</v>
      </c>
      <c r="X22" s="444">
        <v>110.672</v>
      </c>
      <c r="Y22" s="444">
        <v>4216256.3899999997</v>
      </c>
      <c r="Z22" s="444">
        <v>3231123.7269999995</v>
      </c>
      <c r="AB22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0,certified_bond_mill_levy = 11.375,certified_transport_mill_levy = 0,certified_sbt_mill_levy = 0,cert_supp_cap_construction = 0,certified_other_mill_levy = 0,full_funding_mill_levy = 110.672,state_funding = 3231123.727 WHERE district_number = '0250' AND fiscal_year = 20222023;</v>
      </c>
    </row>
    <row r="23" spans="1:28" x14ac:dyDescent="0.2">
      <c r="A23" s="441" t="s">
        <v>124</v>
      </c>
      <c r="B23" s="442" t="s">
        <v>118</v>
      </c>
      <c r="C23" s="443" t="s">
        <v>720</v>
      </c>
      <c r="D23" s="444">
        <v>6723056</v>
      </c>
      <c r="E23" s="444">
        <v>0</v>
      </c>
      <c r="F23" s="444">
        <v>6723056</v>
      </c>
      <c r="G23" s="445">
        <v>114</v>
      </c>
      <c r="H23" s="446">
        <v>27</v>
      </c>
      <c r="I23" s="447">
        <v>0</v>
      </c>
      <c r="J23" s="443">
        <v>27</v>
      </c>
      <c r="K23" s="448">
        <v>0</v>
      </c>
      <c r="L23" s="449">
        <v>0</v>
      </c>
      <c r="M23" s="448">
        <v>0</v>
      </c>
      <c r="N23" s="443">
        <v>0</v>
      </c>
      <c r="O23" s="450">
        <v>0</v>
      </c>
      <c r="P23" s="448">
        <v>1.7000000000000001E-2</v>
      </c>
      <c r="Q23" s="451">
        <v>27.016999999999999</v>
      </c>
      <c r="R23" s="447">
        <v>0</v>
      </c>
      <c r="S23" s="449">
        <v>0</v>
      </c>
      <c r="T23" s="449">
        <v>0</v>
      </c>
      <c r="U23" s="449">
        <v>0</v>
      </c>
      <c r="V23" s="449">
        <v>0</v>
      </c>
      <c r="W23" s="447">
        <v>27.016999999999999</v>
      </c>
      <c r="X23" s="444">
        <v>373.803</v>
      </c>
      <c r="Y23" s="444">
        <v>2801531.69</v>
      </c>
      <c r="Z23" s="444">
        <v>2601605.3279999997</v>
      </c>
      <c r="AB23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0.017,certified_bond_mill_levy = 0,certified_transport_mill_levy = 0,certified_sbt_mill_levy = 0,cert_supp_cap_construction = 0,certified_other_mill_levy = 0,full_funding_mill_levy = 373.803,state_funding = 2601605.328 WHERE district_number = '0260' AND fiscal_year = 20222023;</v>
      </c>
    </row>
    <row r="24" spans="1:28" x14ac:dyDescent="0.2">
      <c r="A24" s="441" t="s">
        <v>126</v>
      </c>
      <c r="B24" s="452" t="s">
        <v>118</v>
      </c>
      <c r="C24" s="453" t="s">
        <v>721</v>
      </c>
      <c r="D24" s="444">
        <v>18666814</v>
      </c>
      <c r="E24" s="444">
        <v>0</v>
      </c>
      <c r="F24" s="444">
        <v>18666814</v>
      </c>
      <c r="G24" s="445">
        <v>0</v>
      </c>
      <c r="H24" s="446">
        <v>18.3</v>
      </c>
      <c r="I24" s="447">
        <v>3.544</v>
      </c>
      <c r="J24" s="443">
        <v>14.756</v>
      </c>
      <c r="K24" s="448">
        <v>0</v>
      </c>
      <c r="L24" s="449">
        <v>0</v>
      </c>
      <c r="M24" s="448">
        <v>0.249</v>
      </c>
      <c r="N24" s="443">
        <v>0</v>
      </c>
      <c r="O24" s="450">
        <v>8.0359999999999996</v>
      </c>
      <c r="P24" s="448">
        <v>0</v>
      </c>
      <c r="Q24" s="451">
        <v>23.041</v>
      </c>
      <c r="R24" s="447">
        <v>0</v>
      </c>
      <c r="S24" s="449">
        <v>0</v>
      </c>
      <c r="T24" s="449">
        <v>0</v>
      </c>
      <c r="U24" s="449">
        <v>0</v>
      </c>
      <c r="V24" s="449">
        <v>0</v>
      </c>
      <c r="W24" s="447">
        <v>23.041</v>
      </c>
      <c r="X24" s="444">
        <v>56.634999999999998</v>
      </c>
      <c r="Y24" s="444">
        <v>1234890.77</v>
      </c>
      <c r="Z24" s="444">
        <v>933874.06261599995</v>
      </c>
      <c r="AB24" s="430" t="str">
        <f t="shared" si="1"/>
        <v>UPDATE mill_levy SET cert_per_hb201418 = 18.3,cert_hb201418_tax_credit = 3.544,certified_catbuy_mill_levy = 0,cert_tot_prog_reserve_fund = 0,certified_hh_mill_levy = 0.249,certified_override_mill_levy = 8.036,certified_abate_mill_levy = 0,certified_bond_mill_levy = 0,certified_transport_mill_levy = 0,certified_sbt_mill_levy = 0,cert_supp_cap_construction = 0,certified_other_mill_levy = 0,full_funding_mill_levy = 56.635,state_funding = 933874.062616 WHERE district_number = '0270' AND fiscal_year = 20222023;</v>
      </c>
    </row>
    <row r="25" spans="1:28" x14ac:dyDescent="0.2">
      <c r="A25" s="441" t="s">
        <v>128</v>
      </c>
      <c r="B25" s="442" t="s">
        <v>129</v>
      </c>
      <c r="C25" s="443" t="s">
        <v>722</v>
      </c>
      <c r="D25" s="444">
        <v>71753360</v>
      </c>
      <c r="E25" s="444">
        <v>0</v>
      </c>
      <c r="F25" s="444">
        <v>71753360</v>
      </c>
      <c r="G25" s="445">
        <v>0</v>
      </c>
      <c r="H25" s="446">
        <v>27</v>
      </c>
      <c r="I25" s="447">
        <v>3.5019999999999998</v>
      </c>
      <c r="J25" s="443">
        <v>23.498000000000001</v>
      </c>
      <c r="K25" s="448">
        <v>0</v>
      </c>
      <c r="L25" s="449">
        <v>0</v>
      </c>
      <c r="M25" s="448">
        <v>0</v>
      </c>
      <c r="N25" s="443">
        <v>0</v>
      </c>
      <c r="O25" s="450">
        <v>0</v>
      </c>
      <c r="P25" s="448">
        <v>8.9999999999999993E-3</v>
      </c>
      <c r="Q25" s="451">
        <v>23.507000000000001</v>
      </c>
      <c r="R25" s="447">
        <v>0</v>
      </c>
      <c r="S25" s="449">
        <v>0</v>
      </c>
      <c r="T25" s="449">
        <v>0</v>
      </c>
      <c r="U25" s="449">
        <v>0</v>
      </c>
      <c r="V25" s="449">
        <v>0</v>
      </c>
      <c r="W25" s="447">
        <v>23.507000000000001</v>
      </c>
      <c r="X25" s="444">
        <v>112.17100000000001</v>
      </c>
      <c r="Y25" s="444">
        <v>11015686.68</v>
      </c>
      <c r="Z25" s="444">
        <v>9192617.256719999</v>
      </c>
      <c r="AB25" s="430" t="str">
        <f t="shared" si="1"/>
        <v>UPDATE mill_levy SET cert_per_hb201418 = 27,cert_hb201418_tax_credit = 3.502,certified_catbuy_mill_levy = 0,cert_tot_prog_reserve_fund = 0,certified_hh_mill_levy = 0,certified_override_mill_levy = 0,certified_abate_mill_levy = 0.009,certified_bond_mill_levy = 0,certified_transport_mill_levy = 0,certified_sbt_mill_levy = 0,cert_supp_cap_construction = 0,certified_other_mill_levy = 0,full_funding_mill_levy = 112.171,state_funding = 9192617.25672 WHERE district_number = '0290' AND fiscal_year = 20222023;</v>
      </c>
    </row>
    <row r="26" spans="1:28" x14ac:dyDescent="0.2">
      <c r="A26" s="441" t="s">
        <v>131</v>
      </c>
      <c r="B26" s="442" t="s">
        <v>129</v>
      </c>
      <c r="C26" s="443" t="s">
        <v>723</v>
      </c>
      <c r="D26" s="444">
        <v>26542970</v>
      </c>
      <c r="E26" s="444">
        <v>0</v>
      </c>
      <c r="F26" s="444">
        <v>26542970</v>
      </c>
      <c r="G26" s="445">
        <v>2289</v>
      </c>
      <c r="H26" s="446">
        <v>23.59</v>
      </c>
      <c r="I26" s="447">
        <v>0.67500000000000004</v>
      </c>
      <c r="J26" s="443">
        <v>22.914999999999999</v>
      </c>
      <c r="K26" s="448">
        <v>0</v>
      </c>
      <c r="L26" s="449">
        <v>0</v>
      </c>
      <c r="M26" s="448">
        <v>4.7389999999999999</v>
      </c>
      <c r="N26" s="443">
        <v>0</v>
      </c>
      <c r="O26" s="450">
        <v>0</v>
      </c>
      <c r="P26" s="448">
        <v>8.5999999999999993E-2</v>
      </c>
      <c r="Q26" s="451">
        <v>27.74</v>
      </c>
      <c r="R26" s="447">
        <v>17.896000000000001</v>
      </c>
      <c r="S26" s="449">
        <v>0</v>
      </c>
      <c r="T26" s="449">
        <v>0</v>
      </c>
      <c r="U26" s="449">
        <v>0</v>
      </c>
      <c r="V26" s="449">
        <v>0</v>
      </c>
      <c r="W26" s="447">
        <v>45.636000000000003</v>
      </c>
      <c r="X26" s="444">
        <v>125.68899999999999</v>
      </c>
      <c r="Y26" s="444">
        <v>3811868.72</v>
      </c>
      <c r="Z26" s="444">
        <v>3141106.5724499999</v>
      </c>
      <c r="AB26" s="430" t="str">
        <f t="shared" si="1"/>
        <v>UPDATE mill_levy SET cert_per_hb201418 = 23.59,cert_hb201418_tax_credit = 0.675,certified_catbuy_mill_levy = 0,cert_tot_prog_reserve_fund = 0,certified_hh_mill_levy = 4.739,certified_override_mill_levy = 0,certified_abate_mill_levy = 0.086,certified_bond_mill_levy = 17.896,certified_transport_mill_levy = 0,certified_sbt_mill_levy = 0,cert_supp_cap_construction = 0,certified_other_mill_levy = 0,full_funding_mill_levy = 125.689,state_funding = 3141106.57245 WHERE district_number = '0310' AND fiscal_year = 20222023;</v>
      </c>
    </row>
    <row r="27" spans="1:28" x14ac:dyDescent="0.2">
      <c r="A27" s="441" t="s">
        <v>133</v>
      </c>
      <c r="B27" s="452" t="s">
        <v>134</v>
      </c>
      <c r="C27" s="453" t="s">
        <v>724</v>
      </c>
      <c r="D27" s="444">
        <v>5750713673</v>
      </c>
      <c r="E27" s="444">
        <v>404797065</v>
      </c>
      <c r="F27" s="444">
        <v>5345916608</v>
      </c>
      <c r="G27" s="445">
        <v>1077366</v>
      </c>
      <c r="H27" s="446">
        <v>27</v>
      </c>
      <c r="I27" s="447">
        <v>0</v>
      </c>
      <c r="J27" s="443">
        <v>27</v>
      </c>
      <c r="K27" s="448">
        <v>0</v>
      </c>
      <c r="L27" s="449">
        <v>0</v>
      </c>
      <c r="M27" s="448">
        <v>0</v>
      </c>
      <c r="N27" s="443">
        <v>0</v>
      </c>
      <c r="O27" s="450">
        <v>13.238</v>
      </c>
      <c r="P27" s="448">
        <v>0.20200000000000001</v>
      </c>
      <c r="Q27" s="451">
        <v>40.44</v>
      </c>
      <c r="R27" s="447">
        <v>16.728000000000002</v>
      </c>
      <c r="S27" s="449">
        <v>0</v>
      </c>
      <c r="T27" s="449">
        <v>0</v>
      </c>
      <c r="U27" s="449">
        <v>0</v>
      </c>
      <c r="V27" s="449">
        <v>0</v>
      </c>
      <c r="W27" s="447">
        <v>57.167999999999999</v>
      </c>
      <c r="X27" s="444">
        <v>50.197000000000003</v>
      </c>
      <c r="Y27" s="444">
        <v>345304198.10000002</v>
      </c>
      <c r="Z27" s="444">
        <v>194137605.12400001</v>
      </c>
      <c r="AB27" s="430" t="str">
        <f t="shared" si="1"/>
        <v>UPDATE mill_levy SET cert_per_hb201418 = 27,cert_hb201418_tax_credit = 0,certified_catbuy_mill_levy = 0,cert_tot_prog_reserve_fund = 0,certified_hh_mill_levy = 0,certified_override_mill_levy = 13.238,certified_abate_mill_levy = 0.202,certified_bond_mill_levy = 16.728,certified_transport_mill_levy = 0,certified_sbt_mill_levy = 0,cert_supp_cap_construction = 0,certified_other_mill_levy = 0,full_funding_mill_levy = 50.197,state_funding = 194137605.124 WHERE district_number = '0470' AND fiscal_year = 20222023;</v>
      </c>
    </row>
    <row r="28" spans="1:28" x14ac:dyDescent="0.2">
      <c r="A28" s="454" t="s">
        <v>136</v>
      </c>
      <c r="B28" s="452" t="s">
        <v>134</v>
      </c>
      <c r="C28" s="453" t="s">
        <v>725</v>
      </c>
      <c r="D28" s="444">
        <v>9756839470</v>
      </c>
      <c r="E28" s="444">
        <v>161968306</v>
      </c>
      <c r="F28" s="444">
        <v>9594871164</v>
      </c>
      <c r="G28" s="445">
        <v>3016670</v>
      </c>
      <c r="H28" s="446">
        <v>27</v>
      </c>
      <c r="I28" s="447">
        <v>0</v>
      </c>
      <c r="J28" s="443">
        <v>27</v>
      </c>
      <c r="K28" s="448">
        <v>0</v>
      </c>
      <c r="L28" s="449">
        <v>0</v>
      </c>
      <c r="M28" s="448">
        <v>0</v>
      </c>
      <c r="N28" s="443">
        <v>0</v>
      </c>
      <c r="O28" s="450">
        <v>8.6020000000000003</v>
      </c>
      <c r="P28" s="448">
        <v>0.314</v>
      </c>
      <c r="Q28" s="451">
        <v>35.915999999999997</v>
      </c>
      <c r="R28" s="447">
        <v>7.4980000000000002</v>
      </c>
      <c r="S28" s="449">
        <v>0.76100000000000001</v>
      </c>
      <c r="T28" s="449">
        <v>0</v>
      </c>
      <c r="U28" s="449">
        <v>4</v>
      </c>
      <c r="V28" s="449">
        <v>0</v>
      </c>
      <c r="W28" s="447">
        <v>48.174999999999997</v>
      </c>
      <c r="X28" s="444">
        <v>28.071999999999999</v>
      </c>
      <c r="Y28" s="444">
        <v>308280109.13999999</v>
      </c>
      <c r="Z28" s="444">
        <v>36515370.181999981</v>
      </c>
      <c r="AB28" s="430" t="str">
        <f t="shared" si="1"/>
        <v>UPDATE mill_levy SET cert_per_hb201418 = 27,cert_hb201418_tax_credit = 0,certified_catbuy_mill_levy = 0,cert_tot_prog_reserve_fund = 0,certified_hh_mill_levy = 0,certified_override_mill_levy = 8.602,certified_abate_mill_levy = 0.314,certified_bond_mill_levy = 7.498,certified_transport_mill_levy = 0.761,certified_sbt_mill_levy = 0,cert_supp_cap_construction = 4,certified_other_mill_levy = 0,full_funding_mill_levy = 28.072,state_funding = 36515370.182 WHERE district_number = '0480' AND fiscal_year = 20222023;</v>
      </c>
    </row>
    <row r="29" spans="1:28" x14ac:dyDescent="0.2">
      <c r="A29" s="442" t="s">
        <v>137</v>
      </c>
      <c r="B29" s="452" t="s">
        <v>138</v>
      </c>
      <c r="C29" s="453" t="s">
        <v>726</v>
      </c>
      <c r="D29" s="444">
        <v>414850080</v>
      </c>
      <c r="E29" s="444">
        <v>0</v>
      </c>
      <c r="F29" s="444">
        <v>414850080</v>
      </c>
      <c r="G29" s="445">
        <v>25931</v>
      </c>
      <c r="H29" s="446">
        <v>23.149000000000001</v>
      </c>
      <c r="I29" s="447">
        <v>3.1669999999999998</v>
      </c>
      <c r="J29" s="443">
        <v>19.981999999999999</v>
      </c>
      <c r="K29" s="448">
        <v>0</v>
      </c>
      <c r="L29" s="449">
        <v>0</v>
      </c>
      <c r="M29" s="448">
        <v>0</v>
      </c>
      <c r="N29" s="443">
        <v>0</v>
      </c>
      <c r="O29" s="450">
        <v>8.1549999999999994</v>
      </c>
      <c r="P29" s="448">
        <v>6.2E-2</v>
      </c>
      <c r="Q29" s="451">
        <v>28.199000000000002</v>
      </c>
      <c r="R29" s="447">
        <v>5.94</v>
      </c>
      <c r="S29" s="449">
        <v>0</v>
      </c>
      <c r="T29" s="449">
        <v>0</v>
      </c>
      <c r="U29" s="449">
        <v>0</v>
      </c>
      <c r="V29" s="449">
        <v>0</v>
      </c>
      <c r="W29" s="447">
        <v>34.139000000000003</v>
      </c>
      <c r="X29" s="444">
        <v>22.533999999999999</v>
      </c>
      <c r="Y29" s="444">
        <v>11163774.59</v>
      </c>
      <c r="Z29" s="444">
        <v>2141151.9014399997</v>
      </c>
      <c r="AB29" s="430" t="str">
        <f t="shared" si="1"/>
        <v>UPDATE mill_levy SET cert_per_hb201418 = 23.149,cert_hb201418_tax_credit = 3.167,certified_catbuy_mill_levy = 0,cert_tot_prog_reserve_fund = 0,certified_hh_mill_levy = 0,certified_override_mill_levy = 8.155,certified_abate_mill_levy = 0.062,certified_bond_mill_levy = 5.94,certified_transport_mill_levy = 0,certified_sbt_mill_levy = 0,cert_supp_cap_construction = 0,certified_other_mill_levy = 0,full_funding_mill_levy = 22.534,state_funding = 2141151.90144 WHERE district_number = '0490' AND fiscal_year = 20222023;</v>
      </c>
    </row>
    <row r="30" spans="1:28" x14ac:dyDescent="0.2">
      <c r="A30" s="441" t="s">
        <v>140</v>
      </c>
      <c r="B30" s="442" t="s">
        <v>138</v>
      </c>
      <c r="C30" s="443" t="s">
        <v>727</v>
      </c>
      <c r="D30" s="444">
        <v>464476928</v>
      </c>
      <c r="E30" s="444">
        <v>0</v>
      </c>
      <c r="F30" s="444">
        <v>464476928</v>
      </c>
      <c r="G30" s="445">
        <v>35416</v>
      </c>
      <c r="H30" s="446">
        <v>24.792999999999999</v>
      </c>
      <c r="I30" s="447">
        <v>6.1</v>
      </c>
      <c r="J30" s="443">
        <v>18.693000000000001</v>
      </c>
      <c r="K30" s="448">
        <v>0</v>
      </c>
      <c r="L30" s="449">
        <v>0</v>
      </c>
      <c r="M30" s="448">
        <v>0</v>
      </c>
      <c r="N30" s="443">
        <v>0</v>
      </c>
      <c r="O30" s="450">
        <v>6.2569999999999997</v>
      </c>
      <c r="P30" s="448">
        <v>2.1000000000000001E-2</v>
      </c>
      <c r="Q30" s="451">
        <v>24.971</v>
      </c>
      <c r="R30" s="447">
        <v>4.1980000000000004</v>
      </c>
      <c r="S30" s="449">
        <v>0</v>
      </c>
      <c r="T30" s="449">
        <v>0</v>
      </c>
      <c r="U30" s="449">
        <v>0</v>
      </c>
      <c r="V30" s="449">
        <v>0</v>
      </c>
      <c r="W30" s="447">
        <v>29.169</v>
      </c>
      <c r="X30" s="444">
        <v>28.722999999999999</v>
      </c>
      <c r="Y30" s="444">
        <v>16140566.92</v>
      </c>
      <c r="Z30" s="444">
        <v>6692760.7248959988</v>
      </c>
      <c r="AB30" s="430" t="str">
        <f t="shared" si="1"/>
        <v>UPDATE mill_levy SET cert_per_hb201418 = 24.793,cert_hb201418_tax_credit = 6.1,certified_catbuy_mill_levy = 0,cert_tot_prog_reserve_fund = 0,certified_hh_mill_levy = 0,certified_override_mill_levy = 6.257,certified_abate_mill_levy = 0.021,certified_bond_mill_levy = 4.198,certified_transport_mill_levy = 0,certified_sbt_mill_levy = 0,cert_supp_cap_construction = 0,certified_other_mill_levy = 0,full_funding_mill_levy = 28.723,state_funding = 6692760.724896 WHERE district_number = '0500' AND fiscal_year = 20222023;</v>
      </c>
    </row>
    <row r="31" spans="1:28" x14ac:dyDescent="0.2">
      <c r="A31" s="441" t="s">
        <v>142</v>
      </c>
      <c r="B31" s="442" t="s">
        <v>143</v>
      </c>
      <c r="C31" s="443" t="s">
        <v>728</v>
      </c>
      <c r="D31" s="444">
        <v>49186117</v>
      </c>
      <c r="E31" s="444">
        <v>0</v>
      </c>
      <c r="F31" s="444">
        <v>49186117</v>
      </c>
      <c r="G31" s="445">
        <v>492</v>
      </c>
      <c r="H31" s="446">
        <v>17.88</v>
      </c>
      <c r="I31" s="447">
        <v>6.0659999999999998</v>
      </c>
      <c r="J31" s="443">
        <v>11.814</v>
      </c>
      <c r="K31" s="448">
        <v>0</v>
      </c>
      <c r="L31" s="449">
        <v>0</v>
      </c>
      <c r="M31" s="448">
        <v>1.492</v>
      </c>
      <c r="N31" s="443">
        <v>0</v>
      </c>
      <c r="O31" s="450">
        <v>7.1159999999999997</v>
      </c>
      <c r="P31" s="448">
        <v>0.01</v>
      </c>
      <c r="Q31" s="451">
        <v>20.431999999999999</v>
      </c>
      <c r="R31" s="447">
        <v>12.503</v>
      </c>
      <c r="S31" s="449">
        <v>0</v>
      </c>
      <c r="T31" s="449">
        <v>0</v>
      </c>
      <c r="U31" s="449">
        <v>0</v>
      </c>
      <c r="V31" s="449">
        <v>0</v>
      </c>
      <c r="W31" s="447">
        <v>32.935000000000002</v>
      </c>
      <c r="X31" s="444">
        <v>34.302</v>
      </c>
      <c r="Y31" s="444">
        <v>2193244.6800000002</v>
      </c>
      <c r="Z31" s="444">
        <v>1549829.1472580002</v>
      </c>
      <c r="AB31" s="430" t="str">
        <f t="shared" si="1"/>
        <v>UPDATE mill_levy SET cert_per_hb201418 = 17.88,cert_hb201418_tax_credit = 6.066,certified_catbuy_mill_levy = 0,cert_tot_prog_reserve_fund = 0,certified_hh_mill_levy = 1.492,certified_override_mill_levy = 7.116,certified_abate_mill_levy = 0.01,certified_bond_mill_levy = 12.503,certified_transport_mill_levy = 0,certified_sbt_mill_levy = 0,cert_supp_cap_construction = 0,certified_other_mill_levy = 0,full_funding_mill_levy = 34.302,state_funding = 1549829.147258 WHERE district_number = '0510' AND fiscal_year = 20222023;</v>
      </c>
    </row>
    <row r="32" spans="1:28" x14ac:dyDescent="0.2">
      <c r="A32" s="441" t="s">
        <v>145</v>
      </c>
      <c r="B32" s="442" t="s">
        <v>143</v>
      </c>
      <c r="C32" s="443" t="s">
        <v>729</v>
      </c>
      <c r="D32" s="444">
        <v>91483897</v>
      </c>
      <c r="E32" s="444">
        <v>0</v>
      </c>
      <c r="F32" s="444">
        <v>91483897</v>
      </c>
      <c r="G32" s="445">
        <v>0</v>
      </c>
      <c r="H32" s="446">
        <v>15.558</v>
      </c>
      <c r="I32" s="447">
        <v>4.8840000000000003</v>
      </c>
      <c r="J32" s="443">
        <v>10.673999999999999</v>
      </c>
      <c r="K32" s="448">
        <v>0</v>
      </c>
      <c r="L32" s="449">
        <v>0</v>
      </c>
      <c r="M32" s="448">
        <v>0</v>
      </c>
      <c r="N32" s="443">
        <v>0</v>
      </c>
      <c r="O32" s="450">
        <v>8.4819999999999993</v>
      </c>
      <c r="P32" s="448">
        <v>7.0000000000000001E-3</v>
      </c>
      <c r="Q32" s="451">
        <v>19.163</v>
      </c>
      <c r="R32" s="447">
        <v>0</v>
      </c>
      <c r="S32" s="449">
        <v>0</v>
      </c>
      <c r="T32" s="449">
        <v>0</v>
      </c>
      <c r="U32" s="449">
        <v>0</v>
      </c>
      <c r="V32" s="449">
        <v>0</v>
      </c>
      <c r="W32" s="447">
        <v>19.163</v>
      </c>
      <c r="X32" s="444">
        <v>30.581</v>
      </c>
      <c r="Y32" s="444">
        <v>3367995.65</v>
      </c>
      <c r="Z32" s="444">
        <v>2294875.6834219997</v>
      </c>
      <c r="AB32" s="430" t="str">
        <f t="shared" si="1"/>
        <v>UPDATE mill_levy SET cert_per_hb201418 = 15.558,cert_hb201418_tax_credit = 4.884,certified_catbuy_mill_levy = 0,cert_tot_prog_reserve_fund = 0,certified_hh_mill_levy = 0,certified_override_mill_levy = 8.482,certified_abate_mill_levy = 0.007,certified_bond_mill_levy = 0,certified_transport_mill_levy = 0,certified_sbt_mill_levy = 0,cert_supp_cap_construction = 0,certified_other_mill_levy = 0,full_funding_mill_levy = 30.581,state_funding = 2294875.683422 WHERE district_number = '0520' AND fiscal_year = 20222023;</v>
      </c>
    </row>
    <row r="33" spans="1:28" x14ac:dyDescent="0.2">
      <c r="A33" s="441" t="s">
        <v>146</v>
      </c>
      <c r="B33" s="442" t="s">
        <v>147</v>
      </c>
      <c r="C33" s="443" t="s">
        <v>730</v>
      </c>
      <c r="D33" s="444">
        <v>338887490</v>
      </c>
      <c r="E33" s="444">
        <v>0</v>
      </c>
      <c r="F33" s="444">
        <v>338887490</v>
      </c>
      <c r="G33" s="445">
        <v>0</v>
      </c>
      <c r="H33" s="446">
        <v>12.484999999999999</v>
      </c>
      <c r="I33" s="447">
        <v>0</v>
      </c>
      <c r="J33" s="443">
        <v>12.484999999999999</v>
      </c>
      <c r="K33" s="448">
        <v>0</v>
      </c>
      <c r="L33" s="449">
        <v>0</v>
      </c>
      <c r="M33" s="448">
        <v>0</v>
      </c>
      <c r="N33" s="443">
        <v>0</v>
      </c>
      <c r="O33" s="450">
        <v>8.7050000000000001</v>
      </c>
      <c r="P33" s="448">
        <v>3.0000000000000001E-3</v>
      </c>
      <c r="Q33" s="451">
        <v>21.193000000000001</v>
      </c>
      <c r="R33" s="447">
        <v>6.9409999999999998</v>
      </c>
      <c r="S33" s="449">
        <v>0</v>
      </c>
      <c r="T33" s="449">
        <v>0</v>
      </c>
      <c r="U33" s="449">
        <v>0</v>
      </c>
      <c r="V33" s="449">
        <v>0</v>
      </c>
      <c r="W33" s="447">
        <v>28.134</v>
      </c>
      <c r="X33" s="444">
        <v>20.96</v>
      </c>
      <c r="Y33" s="444">
        <v>7965433.3600000003</v>
      </c>
      <c r="Z33" s="444">
        <v>3402128.8773500007</v>
      </c>
      <c r="AB33" s="430" t="str">
        <f t="shared" si="1"/>
        <v>UPDATE mill_levy SET cert_per_hb201418 = 12.485,cert_hb201418_tax_credit = 0,certified_catbuy_mill_levy = 0,cert_tot_prog_reserve_fund = 0,certified_hh_mill_levy = 0,certified_override_mill_levy = 8.705,certified_abate_mill_levy = 0.003,certified_bond_mill_levy = 6.941,certified_transport_mill_levy = 0,certified_sbt_mill_levy = 0,cert_supp_cap_construction = 0,certified_other_mill_levy = 0,full_funding_mill_levy = 20.96,state_funding = 3402128.87735 WHERE district_number = '0540' AND fiscal_year = 20222023;</v>
      </c>
    </row>
    <row r="34" spans="1:28" x14ac:dyDescent="0.2">
      <c r="A34" s="441" t="s">
        <v>148</v>
      </c>
      <c r="B34" s="442" t="s">
        <v>149</v>
      </c>
      <c r="C34" s="443" t="s">
        <v>731</v>
      </c>
      <c r="D34" s="444">
        <v>38645460</v>
      </c>
      <c r="E34" s="444">
        <v>0</v>
      </c>
      <c r="F34" s="444">
        <v>38645460</v>
      </c>
      <c r="G34" s="445">
        <v>10088.57</v>
      </c>
      <c r="H34" s="446">
        <v>23.405999999999999</v>
      </c>
      <c r="I34" s="447">
        <v>2.2829999999999999</v>
      </c>
      <c r="J34" s="443">
        <v>21.123000000000001</v>
      </c>
      <c r="K34" s="448">
        <v>0</v>
      </c>
      <c r="L34" s="449">
        <v>0</v>
      </c>
      <c r="M34" s="448">
        <v>4.9130000000000003</v>
      </c>
      <c r="N34" s="443">
        <v>0</v>
      </c>
      <c r="O34" s="450">
        <v>0</v>
      </c>
      <c r="P34" s="448">
        <v>0.26100000000000001</v>
      </c>
      <c r="Q34" s="451">
        <v>26.297000000000001</v>
      </c>
      <c r="R34" s="447">
        <v>10.404</v>
      </c>
      <c r="S34" s="449">
        <v>0</v>
      </c>
      <c r="T34" s="449">
        <v>0</v>
      </c>
      <c r="U34" s="449">
        <v>0</v>
      </c>
      <c r="V34" s="449">
        <v>0</v>
      </c>
      <c r="W34" s="447">
        <v>36.701000000000001</v>
      </c>
      <c r="X34" s="444">
        <v>249.92400000000001</v>
      </c>
      <c r="Y34" s="444">
        <v>11661458.9</v>
      </c>
      <c r="Z34" s="444">
        <v>10682276.58842</v>
      </c>
      <c r="AB34" s="430" t="str">
        <f t="shared" si="1"/>
        <v>UPDATE mill_levy SET cert_per_hb201418 = 23.406,cert_hb201418_tax_credit = 2.283,certified_catbuy_mill_levy = 0,cert_tot_prog_reserve_fund = 0,certified_hh_mill_levy = 4.913,certified_override_mill_levy = 0,certified_abate_mill_levy = 0.261,certified_bond_mill_levy = 10.404,certified_transport_mill_levy = 0,certified_sbt_mill_levy = 0,cert_supp_cap_construction = 0,certified_other_mill_levy = 0,full_funding_mill_levy = 249.924,state_funding = 10682276.58842 WHERE district_number = '0550' AND fiscal_year = 20222023;</v>
      </c>
    </row>
    <row r="35" spans="1:28" x14ac:dyDescent="0.2">
      <c r="A35" s="441" t="s">
        <v>151</v>
      </c>
      <c r="B35" s="442" t="s">
        <v>149</v>
      </c>
      <c r="C35" s="442" t="s">
        <v>732</v>
      </c>
      <c r="D35" s="444">
        <v>10053790</v>
      </c>
      <c r="E35" s="444">
        <v>0</v>
      </c>
      <c r="F35" s="444">
        <v>10053790</v>
      </c>
      <c r="G35" s="445">
        <v>0</v>
      </c>
      <c r="H35" s="446">
        <v>27</v>
      </c>
      <c r="I35" s="447">
        <v>0</v>
      </c>
      <c r="J35" s="443">
        <v>27</v>
      </c>
      <c r="K35" s="448">
        <v>0</v>
      </c>
      <c r="L35" s="449">
        <v>0</v>
      </c>
      <c r="M35" s="448">
        <v>0</v>
      </c>
      <c r="N35" s="443">
        <v>0</v>
      </c>
      <c r="O35" s="450">
        <v>0</v>
      </c>
      <c r="P35" s="448">
        <v>0</v>
      </c>
      <c r="Q35" s="451">
        <v>27</v>
      </c>
      <c r="R35" s="447">
        <v>8.952</v>
      </c>
      <c r="S35" s="449">
        <v>0</v>
      </c>
      <c r="T35" s="449">
        <v>0</v>
      </c>
      <c r="U35" s="449">
        <v>0</v>
      </c>
      <c r="V35" s="449">
        <v>0</v>
      </c>
      <c r="W35" s="447">
        <v>35.951999999999998</v>
      </c>
      <c r="X35" s="444">
        <v>414.90300000000002</v>
      </c>
      <c r="Y35" s="444">
        <v>5298820.47</v>
      </c>
      <c r="Z35" s="444">
        <v>4971316.3999999994</v>
      </c>
      <c r="AB35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0,certified_bond_mill_levy = 8.952,certified_transport_mill_levy = 0,certified_sbt_mill_levy = 0,cert_supp_cap_construction = 0,certified_other_mill_levy = 0,full_funding_mill_levy = 414.903,state_funding = 4971316.4 WHERE district_number = '0560' AND fiscal_year = 20222023;</v>
      </c>
    </row>
    <row r="36" spans="1:28" x14ac:dyDescent="0.2">
      <c r="A36" s="441" t="s">
        <v>153</v>
      </c>
      <c r="B36" s="442" t="s">
        <v>149</v>
      </c>
      <c r="C36" s="443" t="s">
        <v>733</v>
      </c>
      <c r="D36" s="444">
        <v>34109874</v>
      </c>
      <c r="E36" s="444">
        <v>0</v>
      </c>
      <c r="F36" s="444">
        <v>34109874</v>
      </c>
      <c r="G36" s="445">
        <v>2844.1</v>
      </c>
      <c r="H36" s="446">
        <v>27</v>
      </c>
      <c r="I36" s="447">
        <v>4.2119999999999997</v>
      </c>
      <c r="J36" s="443">
        <v>22.788</v>
      </c>
      <c r="K36" s="448">
        <v>0</v>
      </c>
      <c r="L36" s="449">
        <v>0</v>
      </c>
      <c r="M36" s="448">
        <v>0</v>
      </c>
      <c r="N36" s="443">
        <v>0</v>
      </c>
      <c r="O36" s="450">
        <v>0</v>
      </c>
      <c r="P36" s="448">
        <v>8.3000000000000004E-2</v>
      </c>
      <c r="Q36" s="451">
        <v>22.870999999999999</v>
      </c>
      <c r="R36" s="447">
        <v>11.9537</v>
      </c>
      <c r="S36" s="449">
        <v>0</v>
      </c>
      <c r="T36" s="449">
        <v>0</v>
      </c>
      <c r="U36" s="449">
        <v>0</v>
      </c>
      <c r="V36" s="449">
        <v>0</v>
      </c>
      <c r="W36" s="447">
        <v>34.8247</v>
      </c>
      <c r="X36" s="444">
        <v>74.701999999999998</v>
      </c>
      <c r="Y36" s="444">
        <v>3562680.05</v>
      </c>
      <c r="Z36" s="444">
        <v>2645688.0812879996</v>
      </c>
      <c r="AB36" s="430" t="str">
        <f t="shared" si="1"/>
        <v>UPDATE mill_levy SET cert_per_hb201418 = 27,cert_hb201418_tax_credit = 4.212,certified_catbuy_mill_levy = 0,cert_tot_prog_reserve_fund = 0,certified_hh_mill_levy = 0,certified_override_mill_levy = 0,certified_abate_mill_levy = 0.083,certified_bond_mill_levy = 11.9537,certified_transport_mill_levy = 0,certified_sbt_mill_levy = 0,cert_supp_cap_construction = 0,certified_other_mill_levy = 0,full_funding_mill_levy = 74.702,state_funding = 2645688.081288 WHERE district_number = '0580' AND fiscal_year = 20222023;</v>
      </c>
    </row>
    <row r="37" spans="1:28" x14ac:dyDescent="0.2">
      <c r="A37" s="441" t="s">
        <v>155</v>
      </c>
      <c r="B37" s="452" t="s">
        <v>156</v>
      </c>
      <c r="C37" s="453" t="s">
        <v>734</v>
      </c>
      <c r="D37" s="444">
        <v>66955798</v>
      </c>
      <c r="E37" s="444">
        <v>0</v>
      </c>
      <c r="F37" s="444">
        <v>66955798</v>
      </c>
      <c r="G37" s="445">
        <v>0</v>
      </c>
      <c r="H37" s="446">
        <v>27</v>
      </c>
      <c r="I37" s="447">
        <v>6.72</v>
      </c>
      <c r="J37" s="443">
        <v>20.28</v>
      </c>
      <c r="K37" s="448">
        <v>0</v>
      </c>
      <c r="L37" s="449">
        <v>0</v>
      </c>
      <c r="M37" s="448">
        <v>0</v>
      </c>
      <c r="N37" s="443">
        <v>0</v>
      </c>
      <c r="O37" s="450">
        <v>0</v>
      </c>
      <c r="P37" s="448">
        <v>0.38700000000000001</v>
      </c>
      <c r="Q37" s="451">
        <v>20.667000000000002</v>
      </c>
      <c r="R37" s="447">
        <v>7.0519999999999996</v>
      </c>
      <c r="S37" s="449">
        <v>0</v>
      </c>
      <c r="T37" s="449">
        <v>0</v>
      </c>
      <c r="U37" s="449">
        <v>0</v>
      </c>
      <c r="V37" s="449">
        <v>0</v>
      </c>
      <c r="W37" s="447">
        <v>27.719000000000001</v>
      </c>
      <c r="X37" s="444">
        <v>46.107999999999997</v>
      </c>
      <c r="Y37" s="444">
        <v>3453526.17</v>
      </c>
      <c r="Z37" s="444">
        <v>2045509.4965599999</v>
      </c>
      <c r="AB37" s="430" t="str">
        <f t="shared" si="1"/>
        <v>UPDATE mill_levy SET cert_per_hb201418 = 27,cert_hb201418_tax_credit = 6.72,certified_catbuy_mill_levy = 0,cert_tot_prog_reserve_fund = 0,certified_hh_mill_levy = 0,certified_override_mill_levy = 0,certified_abate_mill_levy = 0.387,certified_bond_mill_levy = 7.052,certified_transport_mill_levy = 0,certified_sbt_mill_levy = 0,cert_supp_cap_construction = 0,certified_other_mill_levy = 0,full_funding_mill_levy = 46.108,state_funding = 2045509.49656 WHERE district_number = '0640' AND fiscal_year = 20222023;</v>
      </c>
    </row>
    <row r="38" spans="1:28" x14ac:dyDescent="0.2">
      <c r="A38" s="441" t="s">
        <v>158</v>
      </c>
      <c r="B38" s="442" t="s">
        <v>156</v>
      </c>
      <c r="C38" s="443" t="s">
        <v>735</v>
      </c>
      <c r="D38" s="444">
        <v>90829478</v>
      </c>
      <c r="E38" s="444">
        <v>0</v>
      </c>
      <c r="F38" s="444">
        <v>90829478</v>
      </c>
      <c r="G38" s="445">
        <v>7019.11</v>
      </c>
      <c r="H38" s="446">
        <v>27</v>
      </c>
      <c r="I38" s="447">
        <v>0</v>
      </c>
      <c r="J38" s="443">
        <v>27</v>
      </c>
      <c r="K38" s="448">
        <v>0</v>
      </c>
      <c r="L38" s="449">
        <v>0</v>
      </c>
      <c r="M38" s="448">
        <v>0</v>
      </c>
      <c r="N38" s="443">
        <v>0</v>
      </c>
      <c r="O38" s="450">
        <v>5.09</v>
      </c>
      <c r="P38" s="448">
        <v>0</v>
      </c>
      <c r="Q38" s="451">
        <v>32.090000000000003</v>
      </c>
      <c r="R38" s="447">
        <v>11.12</v>
      </c>
      <c r="S38" s="449">
        <v>0</v>
      </c>
      <c r="T38" s="449">
        <v>0</v>
      </c>
      <c r="U38" s="449">
        <v>0</v>
      </c>
      <c r="V38" s="449">
        <v>0</v>
      </c>
      <c r="W38" s="447">
        <v>43.21</v>
      </c>
      <c r="X38" s="444">
        <v>43.061999999999998</v>
      </c>
      <c r="Y38" s="444">
        <v>4583460.9400000004</v>
      </c>
      <c r="Z38" s="444">
        <v>1994586.6240000005</v>
      </c>
      <c r="AB38" s="430" t="str">
        <f t="shared" si="1"/>
        <v>UPDATE mill_levy SET cert_per_hb201418 = 27,cert_hb201418_tax_credit = 0,certified_catbuy_mill_levy = 0,cert_tot_prog_reserve_fund = 0,certified_hh_mill_levy = 0,certified_override_mill_levy = 5.09,certified_abate_mill_levy = 0,certified_bond_mill_levy = 11.12,certified_transport_mill_levy = 0,certified_sbt_mill_levy = 0,cert_supp_cap_construction = 0,certified_other_mill_levy = 0,full_funding_mill_levy = 43.062,state_funding = 1994586.624 WHERE district_number = '0740' AND fiscal_year = 20222023;</v>
      </c>
    </row>
    <row r="39" spans="1:28" x14ac:dyDescent="0.2">
      <c r="A39" s="441" t="s">
        <v>160</v>
      </c>
      <c r="B39" s="442" t="s">
        <v>161</v>
      </c>
      <c r="C39" s="443" t="s">
        <v>736</v>
      </c>
      <c r="D39" s="444">
        <v>59608092</v>
      </c>
      <c r="E39" s="444">
        <v>0</v>
      </c>
      <c r="F39" s="444">
        <v>59608092</v>
      </c>
      <c r="G39" s="445">
        <v>0</v>
      </c>
      <c r="H39" s="446">
        <v>27</v>
      </c>
      <c r="I39" s="447">
        <v>6.5510000000000002</v>
      </c>
      <c r="J39" s="443">
        <v>20.449000000000002</v>
      </c>
      <c r="K39" s="448">
        <v>0</v>
      </c>
      <c r="L39" s="449">
        <v>0</v>
      </c>
      <c r="M39" s="448">
        <v>0</v>
      </c>
      <c r="N39" s="443">
        <v>0</v>
      </c>
      <c r="O39" s="450">
        <v>6</v>
      </c>
      <c r="P39" s="448">
        <v>0</v>
      </c>
      <c r="Q39" s="451">
        <v>26.449000000000002</v>
      </c>
      <c r="R39" s="447">
        <v>0</v>
      </c>
      <c r="S39" s="449">
        <v>0</v>
      </c>
      <c r="T39" s="449">
        <v>0</v>
      </c>
      <c r="U39" s="449">
        <v>0</v>
      </c>
      <c r="V39" s="449">
        <v>0</v>
      </c>
      <c r="W39" s="447">
        <v>26.449000000000002</v>
      </c>
      <c r="X39" s="444">
        <v>80.918999999999997</v>
      </c>
      <c r="Y39" s="444">
        <v>5291522.8600000003</v>
      </c>
      <c r="Z39" s="444">
        <v>3963842.576692</v>
      </c>
      <c r="AB39" s="430" t="str">
        <f t="shared" si="1"/>
        <v>UPDATE mill_levy SET cert_per_hb201418 = 27,cert_hb201418_tax_credit = 6.551,certified_catbuy_mill_levy = 0,cert_tot_prog_reserve_fund = 0,certified_hh_mill_levy = 0,certified_override_mill_levy = 6,certified_abate_mill_levy = 0,certified_bond_mill_levy = 0,certified_transport_mill_levy = 0,certified_sbt_mill_levy = 0,cert_supp_cap_construction = 0,certified_other_mill_levy = 0,full_funding_mill_levy = 80.919,state_funding = 3963842.576692 WHERE district_number = '0770' AND fiscal_year = 20222023;</v>
      </c>
    </row>
    <row r="40" spans="1:28" x14ac:dyDescent="0.2">
      <c r="A40" s="441" t="s">
        <v>162</v>
      </c>
      <c r="B40" s="442" t="s">
        <v>163</v>
      </c>
      <c r="C40" s="442" t="s">
        <v>737</v>
      </c>
      <c r="D40" s="444">
        <v>154762230</v>
      </c>
      <c r="E40" s="444">
        <v>0</v>
      </c>
      <c r="F40" s="444">
        <v>154762230</v>
      </c>
      <c r="G40" s="445">
        <v>619</v>
      </c>
      <c r="H40" s="446">
        <v>27</v>
      </c>
      <c r="I40" s="447">
        <v>0.246</v>
      </c>
      <c r="J40" s="443">
        <v>26.754000000000001</v>
      </c>
      <c r="K40" s="448">
        <v>0</v>
      </c>
      <c r="L40" s="449">
        <v>0</v>
      </c>
      <c r="M40" s="448">
        <v>0</v>
      </c>
      <c r="N40" s="443">
        <v>0</v>
      </c>
      <c r="O40" s="450">
        <v>0</v>
      </c>
      <c r="P40" s="448">
        <v>4.0000000000000001E-3</v>
      </c>
      <c r="Q40" s="451">
        <v>26.757999999999999</v>
      </c>
      <c r="R40" s="447">
        <v>3.08</v>
      </c>
      <c r="S40" s="449">
        <v>0</v>
      </c>
      <c r="T40" s="449">
        <v>0</v>
      </c>
      <c r="U40" s="449">
        <v>0</v>
      </c>
      <c r="V40" s="449">
        <v>0</v>
      </c>
      <c r="W40" s="447">
        <v>29.838000000000001</v>
      </c>
      <c r="X40" s="444">
        <v>25.754000000000001</v>
      </c>
      <c r="Y40" s="444">
        <v>4805109.58</v>
      </c>
      <c r="Z40" s="444">
        <v>122887.37630999991</v>
      </c>
      <c r="AB40" s="430" t="str">
        <f t="shared" si="1"/>
        <v>UPDATE mill_levy SET cert_per_hb201418 = 27,cert_hb201418_tax_credit = 0.246,certified_catbuy_mill_levy = 0,cert_tot_prog_reserve_fund = 0,certified_hh_mill_levy = 0,certified_override_mill_levy = 0,certified_abate_mill_levy = 0.004,certified_bond_mill_levy = 3.08,certified_transport_mill_levy = 0,certified_sbt_mill_levy = 0,cert_supp_cap_construction = 0,certified_other_mill_levy = 0,full_funding_mill_levy = 25.754,state_funding = 122887.37631 WHERE district_number = '0860' AND fiscal_year = 20222023;</v>
      </c>
    </row>
    <row r="41" spans="1:28" x14ac:dyDescent="0.2">
      <c r="A41" s="441" t="s">
        <v>165</v>
      </c>
      <c r="B41" s="452" t="s">
        <v>166</v>
      </c>
      <c r="C41" s="452" t="s">
        <v>738</v>
      </c>
      <c r="D41" s="444">
        <v>499467760</v>
      </c>
      <c r="E41" s="444">
        <v>751870</v>
      </c>
      <c r="F41" s="444">
        <v>498715890</v>
      </c>
      <c r="G41" s="445">
        <v>31252</v>
      </c>
      <c r="H41" s="446">
        <v>27</v>
      </c>
      <c r="I41" s="447">
        <v>0.34399999999999997</v>
      </c>
      <c r="J41" s="443">
        <v>26.655999999999999</v>
      </c>
      <c r="K41" s="448">
        <v>0</v>
      </c>
      <c r="L41" s="449">
        <v>0</v>
      </c>
      <c r="M41" s="448">
        <v>0</v>
      </c>
      <c r="N41" s="443">
        <v>0</v>
      </c>
      <c r="O41" s="450">
        <v>0</v>
      </c>
      <c r="P41" s="448">
        <v>6.3E-2</v>
      </c>
      <c r="Q41" s="451">
        <v>26.719000000000001</v>
      </c>
      <c r="R41" s="447">
        <v>3.9239999999999999</v>
      </c>
      <c r="S41" s="449">
        <v>0</v>
      </c>
      <c r="T41" s="449">
        <v>0</v>
      </c>
      <c r="U41" s="449">
        <v>0</v>
      </c>
      <c r="V41" s="449">
        <v>0</v>
      </c>
      <c r="W41" s="447">
        <v>30.643000000000001</v>
      </c>
      <c r="X41" s="444">
        <v>83.001999999999995</v>
      </c>
      <c r="Y41" s="444">
        <v>51205864.93</v>
      </c>
      <c r="Z41" s="444">
        <v>36175172.046160005</v>
      </c>
      <c r="AB41" s="430" t="str">
        <f t="shared" si="1"/>
        <v>UPDATE mill_levy SET cert_per_hb201418 = 27,cert_hb201418_tax_credit = 0.344,certified_catbuy_mill_levy = 0,cert_tot_prog_reserve_fund = 0,certified_hh_mill_levy = 0,certified_override_mill_levy = 0,certified_abate_mill_levy = 0.063,certified_bond_mill_levy = 3.924,certified_transport_mill_levy = 0,certified_sbt_mill_levy = 0,cert_supp_cap_construction = 0,certified_other_mill_levy = 0,full_funding_mill_levy = 83.002,state_funding = 36175172.04616 WHERE district_number = '0870' AND fiscal_year = 20222023;</v>
      </c>
    </row>
    <row r="42" spans="1:28" x14ac:dyDescent="0.2">
      <c r="A42" s="454" t="s">
        <v>167</v>
      </c>
      <c r="B42" s="442" t="s">
        <v>168</v>
      </c>
      <c r="C42" s="443" t="s">
        <v>739</v>
      </c>
      <c r="D42" s="444">
        <v>27061848360</v>
      </c>
      <c r="E42" s="444">
        <v>1752982653</v>
      </c>
      <c r="F42" s="444">
        <v>25308865707</v>
      </c>
      <c r="G42" s="445">
        <v>16891312</v>
      </c>
      <c r="H42" s="446">
        <v>27</v>
      </c>
      <c r="I42" s="447">
        <v>0</v>
      </c>
      <c r="J42" s="443">
        <v>27</v>
      </c>
      <c r="K42" s="448">
        <v>0</v>
      </c>
      <c r="L42" s="449">
        <v>0</v>
      </c>
      <c r="M42" s="448">
        <v>0</v>
      </c>
      <c r="N42" s="443">
        <v>0</v>
      </c>
      <c r="O42" s="450">
        <v>10.801</v>
      </c>
      <c r="P42" s="448">
        <v>0.66700000000000004</v>
      </c>
      <c r="Q42" s="451">
        <v>38.468000000000004</v>
      </c>
      <c r="R42" s="447">
        <v>9.843</v>
      </c>
      <c r="S42" s="449">
        <v>0</v>
      </c>
      <c r="T42" s="449">
        <v>0</v>
      </c>
      <c r="U42" s="449">
        <v>4</v>
      </c>
      <c r="V42" s="449">
        <v>0</v>
      </c>
      <c r="W42" s="447">
        <v>52.311</v>
      </c>
      <c r="X42" s="444">
        <v>34.933</v>
      </c>
      <c r="Y42" s="444">
        <v>1002592494.67</v>
      </c>
      <c r="Z42" s="444">
        <v>282834019.171</v>
      </c>
      <c r="AB42" s="430" t="str">
        <f t="shared" si="1"/>
        <v>UPDATE mill_levy SET cert_per_hb201418 = 27,cert_hb201418_tax_credit = 0,certified_catbuy_mill_levy = 0,cert_tot_prog_reserve_fund = 0,certified_hh_mill_levy = 0,certified_override_mill_levy = 10.801,certified_abate_mill_levy = 0.667,certified_bond_mill_levy = 9.843,certified_transport_mill_levy = 0,certified_sbt_mill_levy = 0,cert_supp_cap_construction = 4,certified_other_mill_levy = 0,full_funding_mill_levy = 34.933,state_funding = 282834019.171 WHERE district_number = '0880' AND fiscal_year = 20222023;</v>
      </c>
    </row>
    <row r="43" spans="1:28" x14ac:dyDescent="0.2">
      <c r="A43" s="441" t="s">
        <v>169</v>
      </c>
      <c r="B43" s="455" t="s">
        <v>170</v>
      </c>
      <c r="C43" s="456" t="s">
        <v>740</v>
      </c>
      <c r="D43" s="444">
        <v>95020039</v>
      </c>
      <c r="E43" s="444">
        <v>0</v>
      </c>
      <c r="F43" s="444">
        <v>95020039</v>
      </c>
      <c r="G43" s="445">
        <v>479</v>
      </c>
      <c r="H43" s="446">
        <v>18.684999999999999</v>
      </c>
      <c r="I43" s="447">
        <v>0</v>
      </c>
      <c r="J43" s="443">
        <v>18.684999999999999</v>
      </c>
      <c r="K43" s="448">
        <v>0</v>
      </c>
      <c r="L43" s="449">
        <v>0</v>
      </c>
      <c r="M43" s="448">
        <v>0</v>
      </c>
      <c r="N43" s="443">
        <v>0</v>
      </c>
      <c r="O43" s="450">
        <v>3</v>
      </c>
      <c r="P43" s="448">
        <v>5.0000000000000001E-3</v>
      </c>
      <c r="Q43" s="451">
        <v>21.69</v>
      </c>
      <c r="R43" s="447">
        <v>8.2949999999999999</v>
      </c>
      <c r="S43" s="449">
        <v>0</v>
      </c>
      <c r="T43" s="449">
        <v>0</v>
      </c>
      <c r="U43" s="449">
        <v>0</v>
      </c>
      <c r="V43" s="449">
        <v>0</v>
      </c>
      <c r="W43" s="447">
        <v>29.984999999999999</v>
      </c>
      <c r="X43" s="444">
        <v>33.027999999999999</v>
      </c>
      <c r="Y43" s="444">
        <v>4322713.3099999996</v>
      </c>
      <c r="Z43" s="444">
        <v>2433109.7312849998</v>
      </c>
      <c r="AB43" s="430" t="str">
        <f t="shared" si="1"/>
        <v>UPDATE mill_levy SET cert_per_hb201418 = 18.685,cert_hb201418_tax_credit = 0,certified_catbuy_mill_levy = 0,cert_tot_prog_reserve_fund = 0,certified_hh_mill_levy = 0,certified_override_mill_levy = 3,certified_abate_mill_levy = 0.005,certified_bond_mill_levy = 8.295,certified_transport_mill_levy = 0,certified_sbt_mill_levy = 0,cert_supp_cap_construction = 0,certified_other_mill_levy = 0,full_funding_mill_levy = 33.028,state_funding = 2433109.731285 WHERE district_number = '0890' AND fiscal_year = 20222023;</v>
      </c>
    </row>
    <row r="44" spans="1:28" x14ac:dyDescent="0.2">
      <c r="A44" s="441" t="s">
        <v>171</v>
      </c>
      <c r="B44" s="442" t="s">
        <v>172</v>
      </c>
      <c r="C44" s="443" t="s">
        <v>741</v>
      </c>
      <c r="D44" s="444">
        <v>10681362940</v>
      </c>
      <c r="E44" s="444">
        <v>105549800</v>
      </c>
      <c r="F44" s="444">
        <v>10575813140</v>
      </c>
      <c r="G44" s="445">
        <v>1209988.3899999999</v>
      </c>
      <c r="H44" s="446">
        <v>27</v>
      </c>
      <c r="I44" s="447">
        <v>0</v>
      </c>
      <c r="J44" s="443">
        <v>27</v>
      </c>
      <c r="K44" s="448">
        <v>0</v>
      </c>
      <c r="L44" s="449">
        <v>0</v>
      </c>
      <c r="M44" s="448">
        <v>0</v>
      </c>
      <c r="N44" s="443">
        <v>0</v>
      </c>
      <c r="O44" s="450">
        <v>13.21</v>
      </c>
      <c r="P44" s="448">
        <v>0.114</v>
      </c>
      <c r="Q44" s="451">
        <v>40.323999999999998</v>
      </c>
      <c r="R44" s="447">
        <v>5.2039999999999997</v>
      </c>
      <c r="S44" s="449">
        <v>0</v>
      </c>
      <c r="T44" s="449">
        <v>0</v>
      </c>
      <c r="U44" s="449">
        <v>0</v>
      </c>
      <c r="V44" s="449">
        <v>0</v>
      </c>
      <c r="W44" s="447">
        <v>45.527999999999999</v>
      </c>
      <c r="X44" s="444">
        <v>59.542000000000002</v>
      </c>
      <c r="Y44" s="444">
        <v>687519750.25</v>
      </c>
      <c r="Z44" s="444">
        <v>381729324.67199999</v>
      </c>
      <c r="AB44" s="430" t="str">
        <f t="shared" si="1"/>
        <v>UPDATE mill_levy SET cert_per_hb201418 = 27,cert_hb201418_tax_credit = 0,certified_catbuy_mill_levy = 0,cert_tot_prog_reserve_fund = 0,certified_hh_mill_levy = 0,certified_override_mill_levy = 13.21,certified_abate_mill_levy = 0.114,certified_bond_mill_levy = 5.204,certified_transport_mill_levy = 0,certified_sbt_mill_levy = 0,cert_supp_cap_construction = 0,certified_other_mill_levy = 0,full_funding_mill_levy = 59.542,state_funding = 381729324.672 WHERE district_number = '0900' AND fiscal_year = 20222023;</v>
      </c>
    </row>
    <row r="45" spans="1:28" x14ac:dyDescent="0.2">
      <c r="A45" s="441" t="s">
        <v>173</v>
      </c>
      <c r="B45" s="442" t="s">
        <v>174</v>
      </c>
      <c r="C45" s="443" t="s">
        <v>742</v>
      </c>
      <c r="D45" s="444">
        <v>4788999750</v>
      </c>
      <c r="E45" s="444">
        <v>188716720</v>
      </c>
      <c r="F45" s="444">
        <v>4600283030</v>
      </c>
      <c r="G45" s="445">
        <v>916832.53</v>
      </c>
      <c r="H45" s="446">
        <v>12.138</v>
      </c>
      <c r="I45" s="447">
        <v>0</v>
      </c>
      <c r="J45" s="443">
        <v>12.138</v>
      </c>
      <c r="K45" s="448">
        <v>0</v>
      </c>
      <c r="L45" s="449">
        <v>0</v>
      </c>
      <c r="M45" s="448">
        <v>0.46</v>
      </c>
      <c r="N45" s="443">
        <v>0</v>
      </c>
      <c r="O45" s="450">
        <v>3.6120000000000001</v>
      </c>
      <c r="P45" s="448">
        <v>0.19900000000000001</v>
      </c>
      <c r="Q45" s="451">
        <v>16.408999999999999</v>
      </c>
      <c r="R45" s="447">
        <v>4.9880000000000004</v>
      </c>
      <c r="S45" s="449">
        <v>0.217</v>
      </c>
      <c r="T45" s="449">
        <v>0</v>
      </c>
      <c r="U45" s="449">
        <v>0</v>
      </c>
      <c r="V45" s="449">
        <v>0</v>
      </c>
      <c r="W45" s="447">
        <v>21.614000000000001</v>
      </c>
      <c r="X45" s="444">
        <v>15.615</v>
      </c>
      <c r="Y45" s="444">
        <v>78695008.840000004</v>
      </c>
      <c r="Z45" s="444">
        <v>19844642.711860009</v>
      </c>
      <c r="AB45" s="430" t="str">
        <f t="shared" si="1"/>
        <v>UPDATE mill_levy SET cert_per_hb201418 = 12.138,cert_hb201418_tax_credit = 0,certified_catbuy_mill_levy = 0,cert_tot_prog_reserve_fund = 0,certified_hh_mill_levy = 0.46,certified_override_mill_levy = 3.612,certified_abate_mill_levy = 0.199,certified_bond_mill_levy = 4.988,certified_transport_mill_levy = 0.217,certified_sbt_mill_levy = 0,cert_supp_cap_construction = 0,certified_other_mill_levy = 0,full_funding_mill_levy = 15.615,state_funding = 19844642.71186 WHERE district_number = '0910' AND fiscal_year = 20222023;</v>
      </c>
    </row>
    <row r="46" spans="1:28" x14ac:dyDescent="0.2">
      <c r="A46" s="441" t="s">
        <v>175</v>
      </c>
      <c r="B46" s="452" t="s">
        <v>176</v>
      </c>
      <c r="C46" s="453" t="s">
        <v>743</v>
      </c>
      <c r="D46" s="444">
        <v>394622810</v>
      </c>
      <c r="E46" s="444">
        <v>0</v>
      </c>
      <c r="F46" s="444">
        <v>394622810</v>
      </c>
      <c r="G46" s="445">
        <v>7365</v>
      </c>
      <c r="H46" s="446">
        <v>27</v>
      </c>
      <c r="I46" s="447">
        <v>0</v>
      </c>
      <c r="J46" s="443">
        <v>27</v>
      </c>
      <c r="K46" s="448">
        <v>0</v>
      </c>
      <c r="L46" s="449">
        <v>0</v>
      </c>
      <c r="M46" s="448">
        <v>0</v>
      </c>
      <c r="N46" s="443">
        <v>0</v>
      </c>
      <c r="O46" s="450">
        <v>4.0289999999999999</v>
      </c>
      <c r="P46" s="448">
        <v>1.9E-2</v>
      </c>
      <c r="Q46" s="451">
        <v>31.047999999999998</v>
      </c>
      <c r="R46" s="447">
        <v>0</v>
      </c>
      <c r="S46" s="449">
        <v>0</v>
      </c>
      <c r="T46" s="449">
        <v>0</v>
      </c>
      <c r="U46" s="449">
        <v>0</v>
      </c>
      <c r="V46" s="449">
        <v>0</v>
      </c>
      <c r="W46" s="447">
        <v>31.047999999999998</v>
      </c>
      <c r="X46" s="444">
        <v>61.298000000000002</v>
      </c>
      <c r="Y46" s="444">
        <v>26702572.199999999</v>
      </c>
      <c r="Z46" s="444">
        <v>14916664.01</v>
      </c>
      <c r="AB46" s="430" t="str">
        <f t="shared" si="1"/>
        <v>UPDATE mill_levy SET cert_per_hb201418 = 27,cert_hb201418_tax_credit = 0,certified_catbuy_mill_levy = 0,cert_tot_prog_reserve_fund = 0,certified_hh_mill_levy = 0,certified_override_mill_levy = 4.029,certified_abate_mill_levy = 0.019,certified_bond_mill_levy = 0,certified_transport_mill_levy = 0,certified_sbt_mill_levy = 0,cert_supp_cap_construction = 0,certified_other_mill_levy = 0,full_funding_mill_levy = 61.298,state_funding = 14916664.01 WHERE district_number = '0920' AND fiscal_year = 20222023;</v>
      </c>
    </row>
    <row r="47" spans="1:28" x14ac:dyDescent="0.2">
      <c r="A47" s="441" t="s">
        <v>178</v>
      </c>
      <c r="B47" s="442" t="s">
        <v>176</v>
      </c>
      <c r="C47" s="443" t="s">
        <v>744</v>
      </c>
      <c r="D47" s="444">
        <v>71518009</v>
      </c>
      <c r="E47" s="444">
        <v>0</v>
      </c>
      <c r="F47" s="444">
        <v>71518009</v>
      </c>
      <c r="G47" s="445">
        <v>0</v>
      </c>
      <c r="H47" s="446">
        <v>27</v>
      </c>
      <c r="I47" s="447">
        <v>3.8119999999999998</v>
      </c>
      <c r="J47" s="443">
        <v>23.187999999999999</v>
      </c>
      <c r="K47" s="448">
        <v>0</v>
      </c>
      <c r="L47" s="449">
        <v>0</v>
      </c>
      <c r="M47" s="448">
        <v>0</v>
      </c>
      <c r="N47" s="443">
        <v>0</v>
      </c>
      <c r="O47" s="450">
        <v>0</v>
      </c>
      <c r="P47" s="448">
        <v>0.42399999999999999</v>
      </c>
      <c r="Q47" s="451">
        <v>23.611999999999998</v>
      </c>
      <c r="R47" s="447">
        <v>0</v>
      </c>
      <c r="S47" s="449">
        <v>0</v>
      </c>
      <c r="T47" s="449">
        <v>0</v>
      </c>
      <c r="U47" s="449">
        <v>0</v>
      </c>
      <c r="V47" s="449">
        <v>0</v>
      </c>
      <c r="W47" s="447">
        <v>23.611999999999998</v>
      </c>
      <c r="X47" s="444">
        <v>58.634999999999998</v>
      </c>
      <c r="Y47" s="444">
        <v>4579745.74</v>
      </c>
      <c r="Z47" s="444">
        <v>2727811.6673080004</v>
      </c>
      <c r="AB47" s="430" t="str">
        <f t="shared" si="1"/>
        <v>UPDATE mill_levy SET cert_per_hb201418 = 27,cert_hb201418_tax_credit = 3.812,certified_catbuy_mill_levy = 0,cert_tot_prog_reserve_fund = 0,certified_hh_mill_levy = 0,certified_override_mill_levy = 0,certified_abate_mill_levy = 0.424,certified_bond_mill_levy = 0,certified_transport_mill_levy = 0,certified_sbt_mill_levy = 0,cert_supp_cap_construction = 0,certified_other_mill_levy = 0,full_funding_mill_levy = 58.635,state_funding = 2727811.667308 WHERE district_number = '0930' AND fiscal_year = 20222023;</v>
      </c>
    </row>
    <row r="48" spans="1:28" x14ac:dyDescent="0.2">
      <c r="A48" s="441" t="s">
        <v>180</v>
      </c>
      <c r="B48" s="442" t="s">
        <v>176</v>
      </c>
      <c r="C48" s="443" t="s">
        <v>745</v>
      </c>
      <c r="D48" s="444">
        <v>44382363</v>
      </c>
      <c r="E48" s="444">
        <v>0</v>
      </c>
      <c r="F48" s="444">
        <v>44382363</v>
      </c>
      <c r="G48" s="445">
        <v>4305</v>
      </c>
      <c r="H48" s="446">
        <v>27</v>
      </c>
      <c r="I48" s="447">
        <v>0</v>
      </c>
      <c r="J48" s="443">
        <v>27</v>
      </c>
      <c r="K48" s="448">
        <v>0</v>
      </c>
      <c r="L48" s="449">
        <v>0</v>
      </c>
      <c r="M48" s="448">
        <v>0</v>
      </c>
      <c r="N48" s="443">
        <v>0</v>
      </c>
      <c r="O48" s="450">
        <v>0</v>
      </c>
      <c r="P48" s="448">
        <v>9.7000000000000003E-2</v>
      </c>
      <c r="Q48" s="451">
        <v>27.097000000000001</v>
      </c>
      <c r="R48" s="447">
        <v>4.484</v>
      </c>
      <c r="S48" s="449">
        <v>0</v>
      </c>
      <c r="T48" s="449">
        <v>0</v>
      </c>
      <c r="U48" s="449">
        <v>0</v>
      </c>
      <c r="V48" s="449">
        <v>0</v>
      </c>
      <c r="W48" s="447">
        <v>31.581</v>
      </c>
      <c r="X48" s="444">
        <v>104.253</v>
      </c>
      <c r="Y48" s="444">
        <v>5039228.38</v>
      </c>
      <c r="Z48" s="444">
        <v>3675523.8789999997</v>
      </c>
      <c r="AB48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0.097,certified_bond_mill_levy = 4.484,certified_transport_mill_levy = 0,certified_sbt_mill_levy = 0,cert_supp_cap_construction = 0,certified_other_mill_levy = 0,full_funding_mill_levy = 104.253,state_funding = 3675523.879 WHERE district_number = '0940' AND fiscal_year = 20222023;</v>
      </c>
    </row>
    <row r="49" spans="1:28" x14ac:dyDescent="0.2">
      <c r="A49" s="441" t="s">
        <v>182</v>
      </c>
      <c r="B49" s="442" t="s">
        <v>176</v>
      </c>
      <c r="C49" s="443" t="s">
        <v>746</v>
      </c>
      <c r="D49" s="444">
        <v>38529160</v>
      </c>
      <c r="E49" s="444">
        <v>0</v>
      </c>
      <c r="F49" s="444">
        <v>38529160</v>
      </c>
      <c r="G49" s="445">
        <v>7742</v>
      </c>
      <c r="H49" s="446">
        <v>24.431000000000001</v>
      </c>
      <c r="I49" s="447">
        <v>0</v>
      </c>
      <c r="J49" s="443">
        <v>24.431000000000001</v>
      </c>
      <c r="K49" s="448">
        <v>0</v>
      </c>
      <c r="L49" s="449">
        <v>0</v>
      </c>
      <c r="M49" s="448">
        <v>0</v>
      </c>
      <c r="N49" s="443">
        <v>0</v>
      </c>
      <c r="O49" s="450">
        <v>0</v>
      </c>
      <c r="P49" s="448">
        <v>0.20100000000000001</v>
      </c>
      <c r="Q49" s="451">
        <v>24.632000000000001</v>
      </c>
      <c r="R49" s="447">
        <v>5.1660000000000004</v>
      </c>
      <c r="S49" s="449">
        <v>0</v>
      </c>
      <c r="T49" s="449">
        <v>0</v>
      </c>
      <c r="U49" s="449">
        <v>0</v>
      </c>
      <c r="V49" s="449">
        <v>0</v>
      </c>
      <c r="W49" s="447">
        <v>29.797999999999998</v>
      </c>
      <c r="X49" s="444">
        <v>99.86</v>
      </c>
      <c r="Y49" s="444">
        <v>4395372.24</v>
      </c>
      <c r="Z49" s="444">
        <v>3341156.9220400001</v>
      </c>
      <c r="AB49" s="430" t="str">
        <f t="shared" si="1"/>
        <v>UPDATE mill_levy SET cert_per_hb201418 = 24.431,cert_hb201418_tax_credit = 0,certified_catbuy_mill_levy = 0,cert_tot_prog_reserve_fund = 0,certified_hh_mill_levy = 0,certified_override_mill_levy = 0,certified_abate_mill_levy = 0.201,certified_bond_mill_levy = 5.166,certified_transport_mill_levy = 0,certified_sbt_mill_levy = 0,cert_supp_cap_construction = 0,certified_other_mill_levy = 0,full_funding_mill_levy = 99.86,state_funding = 3341156.92204 WHERE district_number = '0950' AND fiscal_year = 20222023;</v>
      </c>
    </row>
    <row r="50" spans="1:28" x14ac:dyDescent="0.2">
      <c r="A50" s="441" t="s">
        <v>183</v>
      </c>
      <c r="B50" s="452" t="s">
        <v>176</v>
      </c>
      <c r="C50" s="453" t="s">
        <v>747</v>
      </c>
      <c r="D50" s="444">
        <v>30684030</v>
      </c>
      <c r="E50" s="444">
        <v>0</v>
      </c>
      <c r="F50" s="444">
        <v>30684030</v>
      </c>
      <c r="G50" s="445">
        <v>0</v>
      </c>
      <c r="H50" s="446">
        <v>27</v>
      </c>
      <c r="I50" s="447">
        <v>6.202</v>
      </c>
      <c r="J50" s="443">
        <v>20.797999999999998</v>
      </c>
      <c r="K50" s="448">
        <v>0</v>
      </c>
      <c r="L50" s="449">
        <v>0</v>
      </c>
      <c r="M50" s="448">
        <v>0</v>
      </c>
      <c r="N50" s="443">
        <v>0</v>
      </c>
      <c r="O50" s="450">
        <v>0</v>
      </c>
      <c r="P50" s="448">
        <v>1.6E-2</v>
      </c>
      <c r="Q50" s="451">
        <v>20.814</v>
      </c>
      <c r="R50" s="447">
        <v>0</v>
      </c>
      <c r="S50" s="449">
        <v>0</v>
      </c>
      <c r="T50" s="449">
        <v>0</v>
      </c>
      <c r="U50" s="449">
        <v>0</v>
      </c>
      <c r="V50" s="449">
        <v>0</v>
      </c>
      <c r="W50" s="447">
        <v>20.814</v>
      </c>
      <c r="X50" s="444">
        <v>47.862000000000002</v>
      </c>
      <c r="Y50" s="444">
        <v>1848104.72</v>
      </c>
      <c r="Z50" s="444">
        <v>1128107.2340599999</v>
      </c>
      <c r="AB50" s="430" t="str">
        <f t="shared" si="1"/>
        <v>UPDATE mill_levy SET cert_per_hb201418 = 27,cert_hb201418_tax_credit = 6.202,certified_catbuy_mill_levy = 0,cert_tot_prog_reserve_fund = 0,certified_hh_mill_levy = 0,certified_override_mill_levy = 0,certified_abate_mill_levy = 0.016,certified_bond_mill_levy = 0,certified_transport_mill_levy = 0,certified_sbt_mill_levy = 0,cert_supp_cap_construction = 0,certified_other_mill_levy = 0,full_funding_mill_levy = 47.862,state_funding = 1128107.23406 WHERE district_number = '0960' AND fiscal_year = 20222023;</v>
      </c>
    </row>
    <row r="51" spans="1:28" x14ac:dyDescent="0.2">
      <c r="A51" s="441" t="s">
        <v>185</v>
      </c>
      <c r="B51" s="452" t="s">
        <v>186</v>
      </c>
      <c r="C51" s="453" t="s">
        <v>748</v>
      </c>
      <c r="D51" s="444">
        <v>58711670</v>
      </c>
      <c r="E51" s="444">
        <v>0</v>
      </c>
      <c r="F51" s="444">
        <v>58711670</v>
      </c>
      <c r="G51" s="445">
        <v>0</v>
      </c>
      <c r="H51" s="446">
        <v>27</v>
      </c>
      <c r="I51" s="447">
        <v>0</v>
      </c>
      <c r="J51" s="443">
        <v>27</v>
      </c>
      <c r="K51" s="448">
        <v>0</v>
      </c>
      <c r="L51" s="449">
        <v>0</v>
      </c>
      <c r="M51" s="448">
        <v>0</v>
      </c>
      <c r="N51" s="443">
        <v>0</v>
      </c>
      <c r="O51" s="450">
        <v>0</v>
      </c>
      <c r="P51" s="448">
        <v>5.0000000000000001E-3</v>
      </c>
      <c r="Q51" s="451">
        <v>27.004999999999999</v>
      </c>
      <c r="R51" s="447">
        <v>9.5</v>
      </c>
      <c r="S51" s="449">
        <v>0</v>
      </c>
      <c r="T51" s="449">
        <v>0</v>
      </c>
      <c r="U51" s="449">
        <v>0</v>
      </c>
      <c r="V51" s="449">
        <v>0</v>
      </c>
      <c r="W51" s="447">
        <v>36.505000000000003</v>
      </c>
      <c r="X51" s="444">
        <v>90.491</v>
      </c>
      <c r="Y51" s="444">
        <v>5985012.9400000004</v>
      </c>
      <c r="Z51" s="444">
        <v>4266522.3400000008</v>
      </c>
      <c r="AB51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0.005,certified_bond_mill_levy = 9.5,certified_transport_mill_levy = 0,certified_sbt_mill_levy = 0,cert_supp_cap_construction = 0,certified_other_mill_levy = 0,full_funding_mill_levy = 90.491,state_funding = 4266522.34 WHERE district_number = '0970' AND fiscal_year = 20222023;</v>
      </c>
    </row>
    <row r="52" spans="1:28" x14ac:dyDescent="0.2">
      <c r="A52" s="441" t="s">
        <v>188</v>
      </c>
      <c r="B52" s="442" t="s">
        <v>186</v>
      </c>
      <c r="C52" s="443" t="s">
        <v>749</v>
      </c>
      <c r="D52" s="444">
        <v>1019965770</v>
      </c>
      <c r="E52" s="444">
        <v>11945100</v>
      </c>
      <c r="F52" s="444">
        <v>1008020670</v>
      </c>
      <c r="G52" s="445">
        <v>68752.33</v>
      </c>
      <c r="H52" s="446">
        <v>15.72</v>
      </c>
      <c r="I52" s="447">
        <v>0</v>
      </c>
      <c r="J52" s="443">
        <v>15.72</v>
      </c>
      <c r="K52" s="448">
        <v>0</v>
      </c>
      <c r="L52" s="449">
        <v>0</v>
      </c>
      <c r="M52" s="448">
        <v>0</v>
      </c>
      <c r="N52" s="443">
        <v>0</v>
      </c>
      <c r="O52" s="450">
        <v>14.632</v>
      </c>
      <c r="P52" s="448">
        <v>6.8000000000000005E-2</v>
      </c>
      <c r="Q52" s="451">
        <v>30.42</v>
      </c>
      <c r="R52" s="447">
        <v>14.327</v>
      </c>
      <c r="S52" s="449">
        <v>0</v>
      </c>
      <c r="T52" s="449">
        <v>0</v>
      </c>
      <c r="U52" s="449">
        <v>0</v>
      </c>
      <c r="V52" s="449">
        <v>0</v>
      </c>
      <c r="W52" s="447">
        <v>44.747</v>
      </c>
      <c r="X52" s="444">
        <v>127.13800000000001</v>
      </c>
      <c r="Y52" s="444">
        <v>141643828.56999999</v>
      </c>
      <c r="Z52" s="444">
        <v>124261656.54759999</v>
      </c>
      <c r="AB52" s="430" t="str">
        <f t="shared" si="1"/>
        <v>UPDATE mill_levy SET cert_per_hb201418 = 15.72,cert_hb201418_tax_credit = 0,certified_catbuy_mill_levy = 0,cert_tot_prog_reserve_fund = 0,certified_hh_mill_levy = 0,certified_override_mill_levy = 14.632,certified_abate_mill_levy = 0.068,certified_bond_mill_levy = 14.327,certified_transport_mill_levy = 0,certified_sbt_mill_levy = 0,cert_supp_cap_construction = 0,certified_other_mill_levy = 0,full_funding_mill_levy = 127.138,state_funding = 124261656.5476 WHERE district_number = '0980' AND fiscal_year = 20222023;</v>
      </c>
    </row>
    <row r="53" spans="1:28" x14ac:dyDescent="0.2">
      <c r="A53" s="442" t="s">
        <v>190</v>
      </c>
      <c r="B53" s="452" t="s">
        <v>186</v>
      </c>
      <c r="C53" s="453" t="s">
        <v>750</v>
      </c>
      <c r="D53" s="444">
        <v>848660990</v>
      </c>
      <c r="E53" s="444">
        <v>2621040</v>
      </c>
      <c r="F53" s="444">
        <v>846039950</v>
      </c>
      <c r="G53" s="445">
        <v>0</v>
      </c>
      <c r="H53" s="446">
        <v>27</v>
      </c>
      <c r="I53" s="447">
        <v>1.1060000000000001</v>
      </c>
      <c r="J53" s="443">
        <v>25.893999999999998</v>
      </c>
      <c r="K53" s="448">
        <v>0</v>
      </c>
      <c r="L53" s="449">
        <v>0</v>
      </c>
      <c r="M53" s="448">
        <v>0</v>
      </c>
      <c r="N53" s="443">
        <v>0</v>
      </c>
      <c r="O53" s="450">
        <v>11.654999999999999</v>
      </c>
      <c r="P53" s="448">
        <v>7.9000000000000001E-2</v>
      </c>
      <c r="Q53" s="451">
        <v>37.628</v>
      </c>
      <c r="R53" s="447">
        <v>4.7</v>
      </c>
      <c r="S53" s="449">
        <v>0</v>
      </c>
      <c r="T53" s="449">
        <v>0</v>
      </c>
      <c r="U53" s="449">
        <v>0</v>
      </c>
      <c r="V53" s="449">
        <v>6.3159999999999998</v>
      </c>
      <c r="W53" s="447">
        <v>48.643999999999998</v>
      </c>
      <c r="X53" s="444">
        <v>101.90900000000001</v>
      </c>
      <c r="Y53" s="444">
        <v>98638408.060000002</v>
      </c>
      <c r="Z53" s="444">
        <v>74410263.12470001</v>
      </c>
      <c r="AB53" s="430" t="str">
        <f t="shared" si="1"/>
        <v>UPDATE mill_levy SET cert_per_hb201418 = 27,cert_hb201418_tax_credit = 1.106,certified_catbuy_mill_levy = 0,cert_tot_prog_reserve_fund = 0,certified_hh_mill_levy = 0,certified_override_mill_levy = 11.655,certified_abate_mill_levy = 0.079,certified_bond_mill_levy = 4.7,certified_transport_mill_levy = 0,certified_sbt_mill_levy = 0,cert_supp_cap_construction = 0,certified_other_mill_levy = 6.316,full_funding_mill_levy = 101.909,state_funding = 74410263.1247 WHERE district_number = '0990' AND fiscal_year = 20222023;</v>
      </c>
    </row>
    <row r="54" spans="1:28" x14ac:dyDescent="0.2">
      <c r="A54" s="441" t="s">
        <v>192</v>
      </c>
      <c r="B54" s="442" t="s">
        <v>186</v>
      </c>
      <c r="C54" s="443" t="s">
        <v>751</v>
      </c>
      <c r="D54" s="444">
        <v>248486370</v>
      </c>
      <c r="E54" s="444">
        <v>5735530</v>
      </c>
      <c r="F54" s="444">
        <v>242750840</v>
      </c>
      <c r="G54" s="445">
        <v>81</v>
      </c>
      <c r="H54" s="446">
        <v>27</v>
      </c>
      <c r="I54" s="447">
        <v>3.3159999999999998</v>
      </c>
      <c r="J54" s="443">
        <v>23.684000000000001</v>
      </c>
      <c r="K54" s="448">
        <v>0</v>
      </c>
      <c r="L54" s="449">
        <v>0</v>
      </c>
      <c r="M54" s="448">
        <v>0</v>
      </c>
      <c r="N54" s="443">
        <v>0</v>
      </c>
      <c r="O54" s="450">
        <v>5</v>
      </c>
      <c r="P54" s="448">
        <v>0</v>
      </c>
      <c r="Q54" s="451">
        <v>28.684000000000001</v>
      </c>
      <c r="R54" s="447">
        <v>0</v>
      </c>
      <c r="S54" s="449">
        <v>0</v>
      </c>
      <c r="T54" s="449">
        <v>0</v>
      </c>
      <c r="U54" s="449">
        <v>0</v>
      </c>
      <c r="V54" s="449">
        <v>0</v>
      </c>
      <c r="W54" s="447">
        <v>28.684000000000001</v>
      </c>
      <c r="X54" s="444">
        <v>307.363</v>
      </c>
      <c r="Y54" s="444">
        <v>83087915.219999999</v>
      </c>
      <c r="Z54" s="444">
        <v>76845938.235440001</v>
      </c>
      <c r="AB54" s="430" t="str">
        <f t="shared" si="1"/>
        <v>UPDATE mill_levy SET cert_per_hb201418 = 27,cert_hb201418_tax_credit = 3.316,certified_catbuy_mill_levy = 0,cert_tot_prog_reserve_fund = 0,certified_hh_mill_levy = 0,certified_override_mill_levy = 5,certified_abate_mill_levy = 0,certified_bond_mill_levy = 0,certified_transport_mill_levy = 0,certified_sbt_mill_levy = 0,cert_supp_cap_construction = 0,certified_other_mill_levy = 0,full_funding_mill_levy = 307.363,state_funding = 76845938.23544 WHERE district_number = '1000' AND fiscal_year = 20222023;</v>
      </c>
    </row>
    <row r="55" spans="1:28" x14ac:dyDescent="0.2">
      <c r="A55" s="441" t="s">
        <v>194</v>
      </c>
      <c r="B55" s="442" t="s">
        <v>186</v>
      </c>
      <c r="C55" s="443" t="s">
        <v>752</v>
      </c>
      <c r="D55" s="444">
        <v>4242359000</v>
      </c>
      <c r="E55" s="444">
        <v>121197620</v>
      </c>
      <c r="F55" s="444">
        <v>4121161380</v>
      </c>
      <c r="G55" s="445">
        <v>460626.58</v>
      </c>
      <c r="H55" s="446">
        <v>20.715</v>
      </c>
      <c r="I55" s="447">
        <v>0</v>
      </c>
      <c r="J55" s="443">
        <v>20.715</v>
      </c>
      <c r="K55" s="448">
        <v>0</v>
      </c>
      <c r="L55" s="449">
        <v>0</v>
      </c>
      <c r="M55" s="448">
        <v>0</v>
      </c>
      <c r="N55" s="443">
        <v>0</v>
      </c>
      <c r="O55" s="450">
        <v>19.777999999999999</v>
      </c>
      <c r="P55" s="448">
        <v>0.112</v>
      </c>
      <c r="Q55" s="451">
        <v>40.604999999999997</v>
      </c>
      <c r="R55" s="447">
        <v>0</v>
      </c>
      <c r="S55" s="449">
        <v>0</v>
      </c>
      <c r="T55" s="449">
        <v>0</v>
      </c>
      <c r="U55" s="449">
        <v>0</v>
      </c>
      <c r="V55" s="449">
        <v>0</v>
      </c>
      <c r="W55" s="447">
        <v>40.604999999999997</v>
      </c>
      <c r="X55" s="444">
        <v>61.637</v>
      </c>
      <c r="Y55" s="444">
        <v>280369695.95999998</v>
      </c>
      <c r="Z55" s="444">
        <v>186642413.86329997</v>
      </c>
      <c r="AB55" s="430" t="str">
        <f t="shared" si="1"/>
        <v>UPDATE mill_levy SET cert_per_hb201418 = 20.715,cert_hb201418_tax_credit = 0,certified_catbuy_mill_levy = 0,cert_tot_prog_reserve_fund = 0,certified_hh_mill_levy = 0,certified_override_mill_levy = 19.778,certified_abate_mill_levy = 0.112,certified_bond_mill_levy = 0,certified_transport_mill_levy = 0,certified_sbt_mill_levy = 0,cert_supp_cap_construction = 0,certified_other_mill_levy = 0,full_funding_mill_levy = 61.637,state_funding = 186642413.8633 WHERE district_number = '1010' AND fiscal_year = 20222023;</v>
      </c>
    </row>
    <row r="56" spans="1:28" x14ac:dyDescent="0.2">
      <c r="A56" s="441" t="s">
        <v>196</v>
      </c>
      <c r="B56" s="452" t="s">
        <v>186</v>
      </c>
      <c r="C56" s="453" t="s">
        <v>753</v>
      </c>
      <c r="D56" s="444">
        <v>534978980</v>
      </c>
      <c r="E56" s="444">
        <v>0</v>
      </c>
      <c r="F56" s="444">
        <v>534978980</v>
      </c>
      <c r="G56" s="445">
        <v>1120</v>
      </c>
      <c r="H56" s="446">
        <v>27</v>
      </c>
      <c r="I56" s="447">
        <v>0</v>
      </c>
      <c r="J56" s="443">
        <v>27</v>
      </c>
      <c r="K56" s="448">
        <v>0</v>
      </c>
      <c r="L56" s="449">
        <v>0</v>
      </c>
      <c r="M56" s="448">
        <v>0</v>
      </c>
      <c r="N56" s="443">
        <v>0</v>
      </c>
      <c r="O56" s="450">
        <v>18.698</v>
      </c>
      <c r="P56" s="448">
        <v>2E-3</v>
      </c>
      <c r="Q56" s="451">
        <v>45.7</v>
      </c>
      <c r="R56" s="447">
        <v>9.3000000000000007</v>
      </c>
      <c r="S56" s="449">
        <v>0</v>
      </c>
      <c r="T56" s="449">
        <v>0</v>
      </c>
      <c r="U56" s="449">
        <v>0</v>
      </c>
      <c r="V56" s="449">
        <v>0</v>
      </c>
      <c r="W56" s="447">
        <v>55</v>
      </c>
      <c r="X56" s="444">
        <v>63.027000000000001</v>
      </c>
      <c r="Y56" s="444">
        <v>38995081.549999997</v>
      </c>
      <c r="Z56" s="444">
        <v>23210201.119999997</v>
      </c>
      <c r="AB56" s="430" t="str">
        <f t="shared" si="1"/>
        <v>UPDATE mill_levy SET cert_per_hb201418 = 27,cert_hb201418_tax_credit = 0,certified_catbuy_mill_levy = 0,cert_tot_prog_reserve_fund = 0,certified_hh_mill_levy = 0,certified_override_mill_levy = 18.698,certified_abate_mill_levy = 0.002,certified_bond_mill_levy = 9.3,certified_transport_mill_levy = 0,certified_sbt_mill_levy = 0,cert_supp_cap_construction = 0,certified_other_mill_levy = 0,full_funding_mill_levy = 63.027,state_funding = 23210201.12 WHERE district_number = '1020' AND fiscal_year = 20222023;</v>
      </c>
    </row>
    <row r="57" spans="1:28" x14ac:dyDescent="0.2">
      <c r="A57" s="441" t="s">
        <v>198</v>
      </c>
      <c r="B57" s="442" t="s">
        <v>186</v>
      </c>
      <c r="C57" s="443" t="s">
        <v>754</v>
      </c>
      <c r="D57" s="444">
        <v>186758870</v>
      </c>
      <c r="E57" s="444">
        <v>2387860</v>
      </c>
      <c r="F57" s="444">
        <v>184371010</v>
      </c>
      <c r="G57" s="445">
        <v>1688.85</v>
      </c>
      <c r="H57" s="446">
        <v>27</v>
      </c>
      <c r="I57" s="447">
        <v>0.184</v>
      </c>
      <c r="J57" s="443">
        <v>26.815999999999999</v>
      </c>
      <c r="K57" s="448">
        <v>0</v>
      </c>
      <c r="L57" s="449">
        <v>0</v>
      </c>
      <c r="M57" s="448">
        <v>0</v>
      </c>
      <c r="N57" s="443">
        <v>0</v>
      </c>
      <c r="O57" s="450">
        <v>23.619</v>
      </c>
      <c r="P57" s="448">
        <v>1.4999999999999999E-2</v>
      </c>
      <c r="Q57" s="451">
        <v>50.45</v>
      </c>
      <c r="R57" s="447">
        <v>0</v>
      </c>
      <c r="S57" s="449">
        <v>0</v>
      </c>
      <c r="T57" s="449">
        <v>0</v>
      </c>
      <c r="U57" s="449">
        <v>0</v>
      </c>
      <c r="V57" s="449">
        <v>0</v>
      </c>
      <c r="W57" s="447">
        <v>50.45</v>
      </c>
      <c r="X57" s="444">
        <v>70.730999999999995</v>
      </c>
      <c r="Y57" s="444">
        <v>14452481.43</v>
      </c>
      <c r="Z57" s="444">
        <v>9056658.2558399998</v>
      </c>
      <c r="AB57" s="430" t="str">
        <f t="shared" si="1"/>
        <v>UPDATE mill_levy SET cert_per_hb201418 = 27,cert_hb201418_tax_credit = 0.184,certified_catbuy_mill_levy = 0,cert_tot_prog_reserve_fund = 0,certified_hh_mill_levy = 0,certified_override_mill_levy = 23.619,certified_abate_mill_levy = 0.015,certified_bond_mill_levy = 0,certified_transport_mill_levy = 0,certified_sbt_mill_levy = 0,cert_supp_cap_construction = 0,certified_other_mill_levy = 0,full_funding_mill_levy = 70.731,state_funding = 9056658.25584 WHERE district_number = '1030' AND fiscal_year = 20222023;</v>
      </c>
    </row>
    <row r="58" spans="1:28" x14ac:dyDescent="0.2">
      <c r="A58" s="441" t="s">
        <v>200</v>
      </c>
      <c r="B58" s="442" t="s">
        <v>186</v>
      </c>
      <c r="C58" s="443" t="s">
        <v>549</v>
      </c>
      <c r="D58" s="444">
        <v>2832033650</v>
      </c>
      <c r="E58" s="444">
        <v>52006340</v>
      </c>
      <c r="F58" s="444">
        <v>2780027310</v>
      </c>
      <c r="G58" s="445">
        <v>299884.36</v>
      </c>
      <c r="H58" s="446">
        <v>27</v>
      </c>
      <c r="I58" s="447">
        <v>0</v>
      </c>
      <c r="J58" s="443">
        <v>27</v>
      </c>
      <c r="K58" s="448">
        <v>0</v>
      </c>
      <c r="L58" s="449">
        <v>0</v>
      </c>
      <c r="M58" s="448">
        <v>0</v>
      </c>
      <c r="N58" s="443">
        <v>0</v>
      </c>
      <c r="O58" s="450">
        <v>9.6210000000000004</v>
      </c>
      <c r="P58" s="448">
        <v>0.107</v>
      </c>
      <c r="Q58" s="451">
        <v>36.728000000000002</v>
      </c>
      <c r="R58" s="447">
        <v>9.2309999999999999</v>
      </c>
      <c r="S58" s="449">
        <v>0</v>
      </c>
      <c r="T58" s="449">
        <v>0</v>
      </c>
      <c r="U58" s="449">
        <v>0</v>
      </c>
      <c r="V58" s="449">
        <v>0</v>
      </c>
      <c r="W58" s="447">
        <v>45.959000000000003</v>
      </c>
      <c r="X58" s="444">
        <v>87.867999999999995</v>
      </c>
      <c r="Y58" s="444">
        <v>275715981.60000002</v>
      </c>
      <c r="Z58" s="444">
        <v>193361929.29000002</v>
      </c>
      <c r="AB58" s="430" t="str">
        <f t="shared" si="1"/>
        <v>UPDATE mill_levy SET cert_per_hb201418 = 27,cert_hb201418_tax_credit = 0,certified_catbuy_mill_levy = 0,cert_tot_prog_reserve_fund = 0,certified_hh_mill_levy = 0,certified_override_mill_levy = 9.621,certified_abate_mill_levy = 0.107,certified_bond_mill_levy = 9.231,certified_transport_mill_levy = 0,certified_sbt_mill_levy = 0,cert_supp_cap_construction = 0,certified_other_mill_levy = 0,full_funding_mill_levy = 87.868,state_funding = 193361929.29 WHERE district_number = '1040' AND fiscal_year = 20222023;</v>
      </c>
    </row>
    <row r="59" spans="1:28" x14ac:dyDescent="0.2">
      <c r="A59" s="441" t="s">
        <v>202</v>
      </c>
      <c r="B59" s="452" t="s">
        <v>186</v>
      </c>
      <c r="C59" s="453" t="s">
        <v>755</v>
      </c>
      <c r="D59" s="444">
        <v>62180640</v>
      </c>
      <c r="E59" s="444">
        <v>0</v>
      </c>
      <c r="F59" s="444">
        <v>62180640</v>
      </c>
      <c r="G59" s="445">
        <v>0</v>
      </c>
      <c r="H59" s="446">
        <v>27</v>
      </c>
      <c r="I59" s="447">
        <v>0</v>
      </c>
      <c r="J59" s="443">
        <v>27</v>
      </c>
      <c r="K59" s="448">
        <v>0</v>
      </c>
      <c r="L59" s="449">
        <v>0</v>
      </c>
      <c r="M59" s="448">
        <v>0</v>
      </c>
      <c r="N59" s="443">
        <v>0</v>
      </c>
      <c r="O59" s="450">
        <v>0</v>
      </c>
      <c r="P59" s="448">
        <v>6.5000000000000002E-2</v>
      </c>
      <c r="Q59" s="451">
        <v>27.065000000000001</v>
      </c>
      <c r="R59" s="447">
        <v>2.8359999999999999</v>
      </c>
      <c r="S59" s="449">
        <v>0</v>
      </c>
      <c r="T59" s="449">
        <v>0</v>
      </c>
      <c r="U59" s="449">
        <v>0</v>
      </c>
      <c r="V59" s="449">
        <v>0</v>
      </c>
      <c r="W59" s="447">
        <v>29.901</v>
      </c>
      <c r="X59" s="444">
        <v>170.589</v>
      </c>
      <c r="Y59" s="444">
        <v>11755611.67</v>
      </c>
      <c r="Z59" s="444">
        <v>9951817.8399999999</v>
      </c>
      <c r="AB59" s="430" t="str">
        <f t="shared" si="1"/>
        <v>UPDATE mill_levy SET cert_per_hb201418 = 27,cert_hb201418_tax_credit = 0,certified_catbuy_mill_levy = 0,cert_tot_prog_reserve_fund = 0,certified_hh_mill_levy = 0,certified_override_mill_levy = 0,certified_abate_mill_levy = 0.065,certified_bond_mill_levy = 2.836,certified_transport_mill_levy = 0,certified_sbt_mill_levy = 0,cert_supp_cap_construction = 0,certified_other_mill_levy = 0,full_funding_mill_levy = 170.589,state_funding = 9951817.84 WHERE district_number = '1050' AND fiscal_year = 20222023;</v>
      </c>
    </row>
    <row r="60" spans="1:28" x14ac:dyDescent="0.2">
      <c r="A60" s="441" t="s">
        <v>204</v>
      </c>
      <c r="B60" s="452" t="s">
        <v>186</v>
      </c>
      <c r="C60" s="453" t="s">
        <v>756</v>
      </c>
      <c r="D60" s="444">
        <v>75383100</v>
      </c>
      <c r="E60" s="444">
        <v>0</v>
      </c>
      <c r="F60" s="444">
        <v>75383100</v>
      </c>
      <c r="G60" s="445">
        <v>429.56</v>
      </c>
      <c r="H60" s="446">
        <v>27</v>
      </c>
      <c r="I60" s="447">
        <v>1.581</v>
      </c>
      <c r="J60" s="443">
        <v>25.419</v>
      </c>
      <c r="K60" s="448">
        <v>0</v>
      </c>
      <c r="L60" s="449">
        <v>0</v>
      </c>
      <c r="M60" s="448">
        <v>0</v>
      </c>
      <c r="N60" s="443">
        <v>0</v>
      </c>
      <c r="O60" s="450">
        <v>0</v>
      </c>
      <c r="P60" s="448">
        <v>0.25</v>
      </c>
      <c r="Q60" s="451">
        <v>25.669</v>
      </c>
      <c r="R60" s="447">
        <v>0</v>
      </c>
      <c r="S60" s="449">
        <v>0</v>
      </c>
      <c r="T60" s="449">
        <v>0</v>
      </c>
      <c r="U60" s="449">
        <v>0</v>
      </c>
      <c r="V60" s="449">
        <v>0</v>
      </c>
      <c r="W60" s="447">
        <v>25.669</v>
      </c>
      <c r="X60" s="444">
        <v>90.34</v>
      </c>
      <c r="Y60" s="444">
        <v>7609459.7699999996</v>
      </c>
      <c r="Z60" s="444">
        <v>5508962.2111</v>
      </c>
      <c r="AB60" s="430" t="str">
        <f t="shared" si="1"/>
        <v>UPDATE mill_levy SET cert_per_hb201418 = 27,cert_hb201418_tax_credit = 1.581,certified_catbuy_mill_levy = 0,cert_tot_prog_reserve_fund = 0,certified_hh_mill_levy = 0,certified_override_mill_levy = 0,certified_abate_mill_levy = 0.25,certified_bond_mill_levy = 0,certified_transport_mill_levy = 0,certified_sbt_mill_levy = 0,cert_supp_cap_construction = 0,certified_other_mill_levy = 0,full_funding_mill_levy = 90.34,state_funding = 5508962.2111 WHERE district_number = '1060' AND fiscal_year = 20222023;</v>
      </c>
    </row>
    <row r="61" spans="1:28" x14ac:dyDescent="0.2">
      <c r="A61" s="441" t="s">
        <v>206</v>
      </c>
      <c r="B61" s="442" t="s">
        <v>186</v>
      </c>
      <c r="C61" s="443" t="s">
        <v>757</v>
      </c>
      <c r="D61" s="444">
        <v>52726470</v>
      </c>
      <c r="E61" s="444">
        <v>0</v>
      </c>
      <c r="F61" s="444">
        <v>52726470</v>
      </c>
      <c r="G61" s="445">
        <v>106033</v>
      </c>
      <c r="H61" s="446">
        <v>26.128</v>
      </c>
      <c r="I61" s="447">
        <v>13.695</v>
      </c>
      <c r="J61" s="443">
        <v>12.433</v>
      </c>
      <c r="K61" s="448">
        <v>0</v>
      </c>
      <c r="L61" s="449">
        <v>0</v>
      </c>
      <c r="M61" s="448">
        <v>0</v>
      </c>
      <c r="N61" s="443">
        <v>0</v>
      </c>
      <c r="O61" s="450">
        <v>0</v>
      </c>
      <c r="P61" s="448">
        <v>2.0110000000000001</v>
      </c>
      <c r="Q61" s="451">
        <v>14.444000000000001</v>
      </c>
      <c r="R61" s="447">
        <v>18.018000000000001</v>
      </c>
      <c r="S61" s="449">
        <v>0</v>
      </c>
      <c r="T61" s="449">
        <v>0</v>
      </c>
      <c r="U61" s="449">
        <v>0</v>
      </c>
      <c r="V61" s="449">
        <v>0</v>
      </c>
      <c r="W61" s="447">
        <v>32.462000000000003</v>
      </c>
      <c r="X61" s="444">
        <v>77.001000000000005</v>
      </c>
      <c r="Y61" s="444">
        <v>4550589.7699999996</v>
      </c>
      <c r="Z61" s="444">
        <v>3824756.4184899996</v>
      </c>
      <c r="AB61" s="430" t="str">
        <f t="shared" si="1"/>
        <v>UPDATE mill_levy SET cert_per_hb201418 = 26.128,cert_hb201418_tax_credit = 13.695,certified_catbuy_mill_levy = 0,cert_tot_prog_reserve_fund = 0,certified_hh_mill_levy = 0,certified_override_mill_levy = 0,certified_abate_mill_levy = 2.011,certified_bond_mill_levy = 18.018,certified_transport_mill_levy = 0,certified_sbt_mill_levy = 0,cert_supp_cap_construction = 0,certified_other_mill_levy = 0,full_funding_mill_levy = 77.001,state_funding = 3824756.41849 WHERE district_number = '1070' AND fiscal_year = 20222023;</v>
      </c>
    </row>
    <row r="62" spans="1:28" x14ac:dyDescent="0.2">
      <c r="A62" s="441" t="s">
        <v>208</v>
      </c>
      <c r="B62" s="452" t="s">
        <v>186</v>
      </c>
      <c r="C62" s="453" t="s">
        <v>758</v>
      </c>
      <c r="D62" s="444">
        <v>931531930</v>
      </c>
      <c r="E62" s="444">
        <v>0</v>
      </c>
      <c r="F62" s="444">
        <v>931531930</v>
      </c>
      <c r="G62" s="445">
        <v>64041.77</v>
      </c>
      <c r="H62" s="446">
        <v>27</v>
      </c>
      <c r="I62" s="447">
        <v>0</v>
      </c>
      <c r="J62" s="443">
        <v>27</v>
      </c>
      <c r="K62" s="448">
        <v>0</v>
      </c>
      <c r="L62" s="449">
        <v>0</v>
      </c>
      <c r="M62" s="448">
        <v>0</v>
      </c>
      <c r="N62" s="443">
        <v>0</v>
      </c>
      <c r="O62" s="450">
        <v>4.2939999999999996</v>
      </c>
      <c r="P62" s="448">
        <v>6.9000000000000006E-2</v>
      </c>
      <c r="Q62" s="451">
        <v>31.363</v>
      </c>
      <c r="R62" s="447">
        <v>6.1369999999999996</v>
      </c>
      <c r="S62" s="449">
        <v>0</v>
      </c>
      <c r="T62" s="449">
        <v>0</v>
      </c>
      <c r="U62" s="449">
        <v>0</v>
      </c>
      <c r="V62" s="449">
        <v>0</v>
      </c>
      <c r="W62" s="447">
        <v>37.5</v>
      </c>
      <c r="X62" s="444">
        <v>65.173000000000002</v>
      </c>
      <c r="Y62" s="444">
        <v>67784957.909999996</v>
      </c>
      <c r="Z62" s="444">
        <v>40692156.93</v>
      </c>
      <c r="AB62" s="430" t="str">
        <f t="shared" si="1"/>
        <v>UPDATE mill_levy SET cert_per_hb201418 = 27,cert_hb201418_tax_credit = 0,certified_catbuy_mill_levy = 0,cert_tot_prog_reserve_fund = 0,certified_hh_mill_levy = 0,certified_override_mill_levy = 4.294,certified_abate_mill_levy = 0.069,certified_bond_mill_levy = 6.137,certified_transport_mill_levy = 0,certified_sbt_mill_levy = 0,cert_supp_cap_construction = 0,certified_other_mill_levy = 0,full_funding_mill_levy = 65.173,state_funding = 40692156.93 WHERE district_number = '1080' AND fiscal_year = 20222023;</v>
      </c>
    </row>
    <row r="63" spans="1:28" x14ac:dyDescent="0.2">
      <c r="A63" s="441" t="s">
        <v>210</v>
      </c>
      <c r="B63" s="452" t="s">
        <v>186</v>
      </c>
      <c r="C63" s="453" t="s">
        <v>759</v>
      </c>
      <c r="D63" s="444">
        <v>1711789520</v>
      </c>
      <c r="E63" s="444">
        <v>0</v>
      </c>
      <c r="F63" s="444">
        <v>1711789520</v>
      </c>
      <c r="G63" s="445">
        <v>110451.73</v>
      </c>
      <c r="H63" s="446">
        <v>27</v>
      </c>
      <c r="I63" s="447">
        <v>0</v>
      </c>
      <c r="J63" s="443">
        <v>27</v>
      </c>
      <c r="K63" s="448">
        <v>0</v>
      </c>
      <c r="L63" s="449">
        <v>0</v>
      </c>
      <c r="M63" s="448">
        <v>0</v>
      </c>
      <c r="N63" s="443">
        <v>0</v>
      </c>
      <c r="O63" s="450">
        <v>18.5</v>
      </c>
      <c r="P63" s="448">
        <v>6.5000000000000002E-2</v>
      </c>
      <c r="Q63" s="451">
        <v>45.564999999999998</v>
      </c>
      <c r="R63" s="447">
        <v>0</v>
      </c>
      <c r="S63" s="449">
        <v>0</v>
      </c>
      <c r="T63" s="449">
        <v>0</v>
      </c>
      <c r="U63" s="449">
        <v>0</v>
      </c>
      <c r="V63" s="449">
        <v>0</v>
      </c>
      <c r="W63" s="447">
        <v>45.564999999999998</v>
      </c>
      <c r="X63" s="444">
        <v>166.73099999999999</v>
      </c>
      <c r="Y63" s="444">
        <v>360777453.82999998</v>
      </c>
      <c r="Z63" s="444">
        <v>310985693.11999995</v>
      </c>
      <c r="AB63" s="430" t="str">
        <f t="shared" si="1"/>
        <v>UPDATE mill_levy SET cert_per_hb201418 = 27,cert_hb201418_tax_credit = 0,certified_catbuy_mill_levy = 0,cert_tot_prog_reserve_fund = 0,certified_hh_mill_levy = 0,certified_override_mill_levy = 18.5,certified_abate_mill_levy = 0.065,certified_bond_mill_levy = 0,certified_transport_mill_levy = 0,certified_sbt_mill_levy = 0,cert_supp_cap_construction = 0,certified_other_mill_levy = 0,full_funding_mill_levy = 166.731,state_funding = 310985693.12 WHERE district_number = '1110' AND fiscal_year = 20222023;</v>
      </c>
    </row>
    <row r="64" spans="1:28" x14ac:dyDescent="0.2">
      <c r="A64" s="442" t="s">
        <v>212</v>
      </c>
      <c r="B64" s="442" t="s">
        <v>186</v>
      </c>
      <c r="C64" s="443" t="s">
        <v>760</v>
      </c>
      <c r="D64" s="444">
        <v>8246304</v>
      </c>
      <c r="E64" s="444">
        <v>0</v>
      </c>
      <c r="F64" s="444">
        <v>8246304</v>
      </c>
      <c r="G64" s="445">
        <v>22.81</v>
      </c>
      <c r="H64" s="446">
        <v>27</v>
      </c>
      <c r="I64" s="447">
        <v>0</v>
      </c>
      <c r="J64" s="443">
        <v>27</v>
      </c>
      <c r="K64" s="448">
        <v>0</v>
      </c>
      <c r="L64" s="449">
        <v>0</v>
      </c>
      <c r="M64" s="448">
        <v>0</v>
      </c>
      <c r="N64" s="443">
        <v>0</v>
      </c>
      <c r="O64" s="450">
        <v>0.03</v>
      </c>
      <c r="P64" s="448">
        <v>3.0000000000000001E-3</v>
      </c>
      <c r="Q64" s="451">
        <v>27.033000000000001</v>
      </c>
      <c r="R64" s="447">
        <v>3.6379999999999999</v>
      </c>
      <c r="S64" s="449">
        <v>0</v>
      </c>
      <c r="T64" s="449">
        <v>0</v>
      </c>
      <c r="U64" s="449">
        <v>0</v>
      </c>
      <c r="V64" s="449">
        <v>0</v>
      </c>
      <c r="W64" s="447">
        <v>30.670999999999999</v>
      </c>
      <c r="X64" s="444">
        <v>315.25900000000001</v>
      </c>
      <c r="Y64" s="444">
        <v>2216243.83</v>
      </c>
      <c r="Z64" s="444">
        <v>1976326.2120000001</v>
      </c>
      <c r="AB64" s="430" t="str">
        <f t="shared" si="1"/>
        <v>UPDATE mill_levy SET cert_per_hb201418 = 27,cert_hb201418_tax_credit = 0,certified_catbuy_mill_levy = 0,cert_tot_prog_reserve_fund = 0,certified_hh_mill_levy = 0,certified_override_mill_levy = 0.03,certified_abate_mill_levy = 0.003,certified_bond_mill_levy = 3.638,certified_transport_mill_levy = 0,certified_sbt_mill_levy = 0,cert_supp_cap_construction = 0,certified_other_mill_levy = 0,full_funding_mill_levy = 315.259,state_funding = 1976326.212 WHERE district_number = '1120' AND fiscal_year = 20222023;</v>
      </c>
    </row>
    <row r="65" spans="1:28" x14ac:dyDescent="0.2">
      <c r="A65" s="441" t="s">
        <v>214</v>
      </c>
      <c r="B65" s="452" t="s">
        <v>186</v>
      </c>
      <c r="C65" s="453" t="s">
        <v>761</v>
      </c>
      <c r="D65" s="444">
        <v>42580989</v>
      </c>
      <c r="E65" s="444">
        <v>0</v>
      </c>
      <c r="F65" s="444">
        <v>42580989</v>
      </c>
      <c r="G65" s="445">
        <v>1117.31</v>
      </c>
      <c r="H65" s="446">
        <v>27</v>
      </c>
      <c r="I65" s="447">
        <v>2.1659999999999999</v>
      </c>
      <c r="J65" s="443">
        <v>24.834</v>
      </c>
      <c r="K65" s="448">
        <v>0</v>
      </c>
      <c r="L65" s="449">
        <v>0</v>
      </c>
      <c r="M65" s="448">
        <v>0.94699999999999995</v>
      </c>
      <c r="N65" s="443">
        <v>0</v>
      </c>
      <c r="O65" s="450">
        <v>0</v>
      </c>
      <c r="P65" s="448">
        <v>2.5999999999999999E-2</v>
      </c>
      <c r="Q65" s="451">
        <v>25.806999999999999</v>
      </c>
      <c r="R65" s="447">
        <v>0</v>
      </c>
      <c r="S65" s="449">
        <v>0</v>
      </c>
      <c r="T65" s="449">
        <v>0</v>
      </c>
      <c r="U65" s="449">
        <v>0</v>
      </c>
      <c r="V65" s="449">
        <v>0</v>
      </c>
      <c r="W65" s="447">
        <v>25.806999999999999</v>
      </c>
      <c r="X65" s="444">
        <v>104.01300000000001</v>
      </c>
      <c r="Y65" s="444">
        <v>5420079.1200000001</v>
      </c>
      <c r="Z65" s="444">
        <v>4267370.3791740006</v>
      </c>
      <c r="AB65" s="430" t="str">
        <f t="shared" si="1"/>
        <v>UPDATE mill_levy SET cert_per_hb201418 = 27,cert_hb201418_tax_credit = 2.166,certified_catbuy_mill_levy = 0,cert_tot_prog_reserve_fund = 0,certified_hh_mill_levy = 0.947,certified_override_mill_levy = 0,certified_abate_mill_levy = 0.026,certified_bond_mill_levy = 0,certified_transport_mill_levy = 0,certified_sbt_mill_levy = 0,cert_supp_cap_construction = 0,certified_other_mill_levy = 0,full_funding_mill_levy = 104.013,state_funding = 4267370.379174 WHERE district_number = '1130' AND fiscal_year = 20222023;</v>
      </c>
    </row>
    <row r="66" spans="1:28" x14ac:dyDescent="0.2">
      <c r="A66" s="441" t="s">
        <v>216</v>
      </c>
      <c r="B66" s="442" t="s">
        <v>217</v>
      </c>
      <c r="C66" s="443" t="s">
        <v>762</v>
      </c>
      <c r="D66" s="444">
        <v>343667514</v>
      </c>
      <c r="E66" s="444">
        <v>6357513</v>
      </c>
      <c r="F66" s="444">
        <v>337310001</v>
      </c>
      <c r="G66" s="445">
        <v>41180</v>
      </c>
      <c r="H66" s="446">
        <v>27</v>
      </c>
      <c r="I66" s="447">
        <v>0</v>
      </c>
      <c r="J66" s="443">
        <v>27</v>
      </c>
      <c r="K66" s="448">
        <v>0</v>
      </c>
      <c r="L66" s="449">
        <v>0</v>
      </c>
      <c r="M66" s="448">
        <v>0</v>
      </c>
      <c r="N66" s="443">
        <v>0</v>
      </c>
      <c r="O66" s="450">
        <v>4.1059999999999999</v>
      </c>
      <c r="P66" s="448">
        <v>0.122</v>
      </c>
      <c r="Q66" s="451">
        <v>31.228000000000002</v>
      </c>
      <c r="R66" s="447">
        <v>11.413</v>
      </c>
      <c r="S66" s="449">
        <v>0</v>
      </c>
      <c r="T66" s="449">
        <v>0</v>
      </c>
      <c r="U66" s="449">
        <v>0</v>
      </c>
      <c r="V66" s="449">
        <v>0</v>
      </c>
      <c r="W66" s="447">
        <v>42.640999999999998</v>
      </c>
      <c r="X66" s="444">
        <v>91.67</v>
      </c>
      <c r="Y66" s="444">
        <v>35189237.409999996</v>
      </c>
      <c r="Z66" s="444">
        <v>24946785.712999992</v>
      </c>
      <c r="AB66" s="430" t="str">
        <f t="shared" si="1"/>
        <v>UPDATE mill_levy SET cert_per_hb201418 = 27,cert_hb201418_tax_credit = 0,certified_catbuy_mill_levy = 0,cert_tot_prog_reserve_fund = 0,certified_hh_mill_levy = 0,certified_override_mill_levy = 4.106,certified_abate_mill_levy = 0.122,certified_bond_mill_levy = 11.413,certified_transport_mill_levy = 0,certified_sbt_mill_levy = 0,cert_supp_cap_construction = 0,certified_other_mill_levy = 0,full_funding_mill_levy = 91.67,state_funding = 24946785.713 WHERE district_number = '1140' AND fiscal_year = 20222023;</v>
      </c>
    </row>
    <row r="67" spans="1:28" x14ac:dyDescent="0.2">
      <c r="A67" s="441" t="s">
        <v>219</v>
      </c>
      <c r="B67" s="442" t="s">
        <v>217</v>
      </c>
      <c r="C67" s="443" t="s">
        <v>763</v>
      </c>
      <c r="D67" s="444">
        <v>191692319</v>
      </c>
      <c r="E67" s="444">
        <v>0</v>
      </c>
      <c r="F67" s="444">
        <v>191692319</v>
      </c>
      <c r="G67" s="445">
        <v>0</v>
      </c>
      <c r="H67" s="446">
        <v>27</v>
      </c>
      <c r="I67" s="447">
        <v>7.7969999999999997</v>
      </c>
      <c r="J67" s="443">
        <v>19.202999999999999</v>
      </c>
      <c r="K67" s="448">
        <v>0</v>
      </c>
      <c r="L67" s="449">
        <v>0</v>
      </c>
      <c r="M67" s="448">
        <v>0</v>
      </c>
      <c r="N67" s="443">
        <v>0</v>
      </c>
      <c r="O67" s="450">
        <v>1.8260000000000001</v>
      </c>
      <c r="P67" s="448">
        <v>7.3999999999999996E-2</v>
      </c>
      <c r="Q67" s="451">
        <v>21.103000000000002</v>
      </c>
      <c r="R67" s="447">
        <v>10.016</v>
      </c>
      <c r="S67" s="449">
        <v>0</v>
      </c>
      <c r="T67" s="449">
        <v>0</v>
      </c>
      <c r="U67" s="449">
        <v>0</v>
      </c>
      <c r="V67" s="449">
        <v>0</v>
      </c>
      <c r="W67" s="447">
        <v>31.119</v>
      </c>
      <c r="X67" s="444">
        <v>68.623999999999995</v>
      </c>
      <c r="Y67" s="444">
        <v>14609283.02</v>
      </c>
      <c r="Z67" s="444">
        <v>10554581.148242999</v>
      </c>
      <c r="AB67" s="430" t="str">
        <f t="shared" si="1"/>
        <v>UPDATE mill_levy SET cert_per_hb201418 = 27,cert_hb201418_tax_credit = 7.797,certified_catbuy_mill_levy = 0,cert_tot_prog_reserve_fund = 0,certified_hh_mill_levy = 0,certified_override_mill_levy = 1.826,certified_abate_mill_levy = 0.074,certified_bond_mill_levy = 10.016,certified_transport_mill_levy = 0,certified_sbt_mill_levy = 0,cert_supp_cap_construction = 0,certified_other_mill_levy = 0,full_funding_mill_levy = 68.624,state_funding = 10554581.148243 WHERE district_number = '1150' AND fiscal_year = 20222023;</v>
      </c>
    </row>
    <row r="68" spans="1:28" x14ac:dyDescent="0.2">
      <c r="A68" s="441" t="s">
        <v>221</v>
      </c>
      <c r="B68" s="452" t="s">
        <v>217</v>
      </c>
      <c r="C68" s="453" t="s">
        <v>764</v>
      </c>
      <c r="D68" s="444">
        <v>92267563</v>
      </c>
      <c r="E68" s="444">
        <v>0</v>
      </c>
      <c r="F68" s="444">
        <v>92267563</v>
      </c>
      <c r="G68" s="445">
        <v>4162</v>
      </c>
      <c r="H68" s="446">
        <v>27</v>
      </c>
      <c r="I68" s="447">
        <v>1.298</v>
      </c>
      <c r="J68" s="443">
        <v>25.702000000000002</v>
      </c>
      <c r="K68" s="448">
        <v>0</v>
      </c>
      <c r="L68" s="449">
        <v>0</v>
      </c>
      <c r="M68" s="448">
        <v>0</v>
      </c>
      <c r="N68" s="443">
        <v>0</v>
      </c>
      <c r="O68" s="450">
        <v>2</v>
      </c>
      <c r="P68" s="448">
        <v>4.4999999999999998E-2</v>
      </c>
      <c r="Q68" s="451">
        <v>27.747</v>
      </c>
      <c r="R68" s="447">
        <v>0</v>
      </c>
      <c r="S68" s="449">
        <v>0</v>
      </c>
      <c r="T68" s="449">
        <v>0</v>
      </c>
      <c r="U68" s="449">
        <v>0</v>
      </c>
      <c r="V68" s="449">
        <v>0</v>
      </c>
      <c r="W68" s="447">
        <v>27.747</v>
      </c>
      <c r="X68" s="444">
        <v>33.404000000000003</v>
      </c>
      <c r="Y68" s="444">
        <v>3397952.4</v>
      </c>
      <c r="Z68" s="444">
        <v>794534.27577399951</v>
      </c>
      <c r="AB68" s="430" t="str">
        <f t="shared" ref="AB68:AB131" si="2">CONCATENATE("UPDATE mill_levy SET cert_per_hb201418 = ",H68,",cert_hb201418_tax_credit = ",I68,",certified_catbuy_mill_levy = ",K68,",cert_tot_prog_reserve_fund = ",L68,",certified_hh_mill_levy = ",M68,",certified_override_mill_levy = ",O68,",certified_abate_mill_levy = ",P68,",certified_bond_mill_levy = ",R68,",certified_transport_mill_levy = ",S68,",certified_sbt_mill_levy = ",T68,",cert_supp_cap_construction = ",U68,",certified_other_mill_levy = ",V68,",full_funding_mill_levy = ",X68,",state_funding = ",Z68," WHERE district_number = '",A68,"' AND fiscal_year = 20222023;")</f>
        <v>UPDATE mill_levy SET cert_per_hb201418 = 27,cert_hb201418_tax_credit = 1.298,certified_catbuy_mill_levy = 0,cert_tot_prog_reserve_fund = 0,certified_hh_mill_levy = 0,certified_override_mill_levy = 2,certified_abate_mill_levy = 0.045,certified_bond_mill_levy = 0,certified_transport_mill_levy = 0,certified_sbt_mill_levy = 0,cert_supp_cap_construction = 0,certified_other_mill_levy = 0,full_funding_mill_levy = 33.404,state_funding = 794534.275774 WHERE district_number = '1160' AND fiscal_year = 20222023;</v>
      </c>
    </row>
    <row r="69" spans="1:28" x14ac:dyDescent="0.2">
      <c r="A69" s="441" t="s">
        <v>223</v>
      </c>
      <c r="B69" s="452" t="s">
        <v>224</v>
      </c>
      <c r="C69" s="453" t="s">
        <v>765</v>
      </c>
      <c r="D69" s="444">
        <v>1842177540</v>
      </c>
      <c r="E69" s="444">
        <v>1701520</v>
      </c>
      <c r="F69" s="444">
        <v>1840476020</v>
      </c>
      <c r="G69" s="445">
        <v>524536</v>
      </c>
      <c r="H69" s="446">
        <v>27</v>
      </c>
      <c r="I69" s="447">
        <v>1.2410000000000001</v>
      </c>
      <c r="J69" s="443">
        <v>25.759</v>
      </c>
      <c r="K69" s="448">
        <v>0</v>
      </c>
      <c r="L69" s="449">
        <v>0</v>
      </c>
      <c r="M69" s="448">
        <v>0</v>
      </c>
      <c r="N69" s="443">
        <v>0</v>
      </c>
      <c r="O69" s="450">
        <v>9.327</v>
      </c>
      <c r="P69" s="448">
        <v>0.28499999999999998</v>
      </c>
      <c r="Q69" s="451">
        <v>35.371000000000002</v>
      </c>
      <c r="R69" s="447">
        <v>7.7809999999999997</v>
      </c>
      <c r="S69" s="449">
        <v>0</v>
      </c>
      <c r="T69" s="449">
        <v>0</v>
      </c>
      <c r="U69" s="449">
        <v>0</v>
      </c>
      <c r="V69" s="449">
        <v>0</v>
      </c>
      <c r="W69" s="447">
        <v>43.152000000000001</v>
      </c>
      <c r="X69" s="444">
        <v>33.987000000000002</v>
      </c>
      <c r="Y69" s="444">
        <v>71765641.579999998</v>
      </c>
      <c r="Z69" s="444">
        <v>22200986.200819999</v>
      </c>
      <c r="AB69" s="430" t="str">
        <f t="shared" si="2"/>
        <v>UPDATE mill_levy SET cert_per_hb201418 = 27,cert_hb201418_tax_credit = 1.241,certified_catbuy_mill_levy = 0,cert_tot_prog_reserve_fund = 0,certified_hh_mill_levy = 0,certified_override_mill_levy = 9.327,certified_abate_mill_levy = 0.285,certified_bond_mill_levy = 7.781,certified_transport_mill_levy = 0,certified_sbt_mill_levy = 0,cert_supp_cap_construction = 0,certified_other_mill_levy = 0,full_funding_mill_levy = 33.987,state_funding = 22200986.20082 WHERE district_number = '1180' AND fiscal_year = 20222023;</v>
      </c>
    </row>
    <row r="70" spans="1:28" x14ac:dyDescent="0.2">
      <c r="A70" s="441" t="s">
        <v>226</v>
      </c>
      <c r="B70" s="452" t="s">
        <v>224</v>
      </c>
      <c r="C70" s="453" t="s">
        <v>766</v>
      </c>
      <c r="D70" s="444">
        <v>959470580</v>
      </c>
      <c r="E70" s="444">
        <v>2305130</v>
      </c>
      <c r="F70" s="444">
        <v>957165450</v>
      </c>
      <c r="G70" s="445">
        <v>25837.91</v>
      </c>
      <c r="H70" s="446">
        <v>16.282</v>
      </c>
      <c r="I70" s="447">
        <v>7.5819999999999999</v>
      </c>
      <c r="J70" s="443">
        <v>8.6999999999999993</v>
      </c>
      <c r="K70" s="448">
        <v>0</v>
      </c>
      <c r="L70" s="449">
        <v>0</v>
      </c>
      <c r="M70" s="448">
        <v>0</v>
      </c>
      <c r="N70" s="443">
        <v>0</v>
      </c>
      <c r="O70" s="450">
        <v>9.6129999999999995</v>
      </c>
      <c r="P70" s="448">
        <v>2.7E-2</v>
      </c>
      <c r="Q70" s="451">
        <v>18.34</v>
      </c>
      <c r="R70" s="447">
        <v>8.7759999999999998</v>
      </c>
      <c r="S70" s="449">
        <v>0</v>
      </c>
      <c r="T70" s="449">
        <v>0</v>
      </c>
      <c r="U70" s="449">
        <v>0</v>
      </c>
      <c r="V70" s="449">
        <v>0</v>
      </c>
      <c r="W70" s="447">
        <v>27.116</v>
      </c>
      <c r="X70" s="444">
        <v>34.317</v>
      </c>
      <c r="Y70" s="444">
        <v>50720993.07</v>
      </c>
      <c r="Z70" s="444">
        <v>41811440.245000005</v>
      </c>
      <c r="AB70" s="430" t="str">
        <f t="shared" si="2"/>
        <v>UPDATE mill_levy SET cert_per_hb201418 = 16.282,cert_hb201418_tax_credit = 7.582,certified_catbuy_mill_levy = 0,cert_tot_prog_reserve_fund = 0,certified_hh_mill_levy = 0,certified_override_mill_levy = 9.613,certified_abate_mill_levy = 0.027,certified_bond_mill_levy = 8.776,certified_transport_mill_levy = 0,certified_sbt_mill_levy = 0,cert_supp_cap_construction = 0,certified_other_mill_levy = 0,full_funding_mill_levy = 34.317,state_funding = 41811440.245 WHERE district_number = '1195' AND fiscal_year = 20222023;</v>
      </c>
    </row>
    <row r="71" spans="1:28" x14ac:dyDescent="0.2">
      <c r="A71" s="442" t="s">
        <v>228</v>
      </c>
      <c r="B71" s="442" t="s">
        <v>224</v>
      </c>
      <c r="C71" s="443" t="s">
        <v>767</v>
      </c>
      <c r="D71" s="444">
        <v>739511780</v>
      </c>
      <c r="E71" s="444">
        <v>0</v>
      </c>
      <c r="F71" s="444">
        <v>739511780</v>
      </c>
      <c r="G71" s="445">
        <v>218</v>
      </c>
      <c r="H71" s="446">
        <v>4.3949999999999996</v>
      </c>
      <c r="I71" s="447">
        <v>0</v>
      </c>
      <c r="J71" s="443">
        <v>4.3949999999999996</v>
      </c>
      <c r="K71" s="448">
        <v>0</v>
      </c>
      <c r="L71" s="449">
        <v>0</v>
      </c>
      <c r="M71" s="448">
        <v>0</v>
      </c>
      <c r="N71" s="443">
        <v>0</v>
      </c>
      <c r="O71" s="450">
        <v>2.93</v>
      </c>
      <c r="P71" s="448">
        <v>0</v>
      </c>
      <c r="Q71" s="451">
        <v>7.3250000000000002</v>
      </c>
      <c r="R71" s="447">
        <v>7.2720000000000002</v>
      </c>
      <c r="S71" s="449">
        <v>0</v>
      </c>
      <c r="T71" s="449">
        <v>0</v>
      </c>
      <c r="U71" s="449">
        <v>0</v>
      </c>
      <c r="V71" s="449">
        <v>0</v>
      </c>
      <c r="W71" s="447">
        <v>14.597</v>
      </c>
      <c r="X71" s="444">
        <v>10.247999999999999</v>
      </c>
      <c r="Y71" s="444">
        <v>14479934.279999999</v>
      </c>
      <c r="Z71" s="444">
        <v>10919866.196899999</v>
      </c>
      <c r="AB71" s="430" t="str">
        <f t="shared" si="2"/>
        <v>UPDATE mill_levy SET cert_per_hb201418 = 4.395,cert_hb201418_tax_credit = 0,certified_catbuy_mill_levy = 0,cert_tot_prog_reserve_fund = 0,certified_hh_mill_levy = 0,certified_override_mill_levy = 2.93,certified_abate_mill_levy = 0,certified_bond_mill_levy = 7.272,certified_transport_mill_levy = 0,certified_sbt_mill_levy = 0,cert_supp_cap_construction = 0,certified_other_mill_levy = 0,full_funding_mill_levy = 10.248,state_funding = 10919866.1969 WHERE district_number = '1220' AND fiscal_year = 20222023;</v>
      </c>
    </row>
    <row r="72" spans="1:28" x14ac:dyDescent="0.2">
      <c r="A72" s="441" t="s">
        <v>230</v>
      </c>
      <c r="B72" s="442" t="s">
        <v>231</v>
      </c>
      <c r="C72" s="443" t="s">
        <v>768</v>
      </c>
      <c r="D72" s="444">
        <v>464335470</v>
      </c>
      <c r="E72" s="444">
        <v>0</v>
      </c>
      <c r="F72" s="444">
        <v>464335470</v>
      </c>
      <c r="G72" s="445">
        <v>202.24</v>
      </c>
      <c r="H72" s="446">
        <v>6.6509999999999998</v>
      </c>
      <c r="I72" s="447">
        <v>0</v>
      </c>
      <c r="J72" s="443">
        <v>6.6509999999999998</v>
      </c>
      <c r="K72" s="448">
        <v>0</v>
      </c>
      <c r="L72" s="457">
        <v>0</v>
      </c>
      <c r="M72" s="448">
        <v>0</v>
      </c>
      <c r="N72" s="443">
        <v>0</v>
      </c>
      <c r="O72" s="450">
        <v>2.4510000000000001</v>
      </c>
      <c r="P72" s="448">
        <v>0</v>
      </c>
      <c r="Q72" s="451">
        <v>9.1020000000000003</v>
      </c>
      <c r="R72" s="447">
        <v>0</v>
      </c>
      <c r="S72" s="449">
        <v>0.36</v>
      </c>
      <c r="T72" s="449">
        <v>0</v>
      </c>
      <c r="U72" s="449">
        <v>0</v>
      </c>
      <c r="V72" s="449">
        <v>0</v>
      </c>
      <c r="W72" s="447">
        <v>9.4619999999999997</v>
      </c>
      <c r="X72" s="444">
        <v>11.227</v>
      </c>
      <c r="Y72" s="444">
        <v>5766371.3600000003</v>
      </c>
      <c r="Z72" s="444">
        <v>2516984.7390300003</v>
      </c>
      <c r="AB72" s="430" t="str">
        <f t="shared" si="2"/>
        <v>UPDATE mill_levy SET cert_per_hb201418 = 6.651,cert_hb201418_tax_credit = 0,certified_catbuy_mill_levy = 0,cert_tot_prog_reserve_fund = 0,certified_hh_mill_levy = 0,certified_override_mill_levy = 2.451,certified_abate_mill_levy = 0,certified_bond_mill_levy = 0,certified_transport_mill_levy = 0.36,certified_sbt_mill_levy = 0,cert_supp_cap_construction = 0,certified_other_mill_levy = 0,full_funding_mill_levy = 11.227,state_funding = 2516984.73903 WHERE district_number = '1330' AND fiscal_year = 20222023;</v>
      </c>
    </row>
    <row r="73" spans="1:28" x14ac:dyDescent="0.2">
      <c r="A73" s="441" t="s">
        <v>232</v>
      </c>
      <c r="B73" s="452" t="s">
        <v>233</v>
      </c>
      <c r="C73" s="453" t="s">
        <v>769</v>
      </c>
      <c r="D73" s="444">
        <v>164720949</v>
      </c>
      <c r="E73" s="444">
        <v>0</v>
      </c>
      <c r="F73" s="444">
        <v>164720949</v>
      </c>
      <c r="G73" s="445">
        <v>0</v>
      </c>
      <c r="H73" s="446">
        <v>13.811</v>
      </c>
      <c r="I73" s="447">
        <v>0</v>
      </c>
      <c r="J73" s="443">
        <v>13.811</v>
      </c>
      <c r="K73" s="448">
        <v>0</v>
      </c>
      <c r="L73" s="449">
        <v>0</v>
      </c>
      <c r="M73" s="448">
        <v>0</v>
      </c>
      <c r="N73" s="443">
        <v>0</v>
      </c>
      <c r="O73" s="450">
        <v>6.6779999999999999</v>
      </c>
      <c r="P73" s="448">
        <v>6.4000000000000001E-2</v>
      </c>
      <c r="Q73" s="451">
        <v>20.553000000000001</v>
      </c>
      <c r="R73" s="447">
        <v>5.3179999999999996</v>
      </c>
      <c r="S73" s="449">
        <v>0</v>
      </c>
      <c r="T73" s="449">
        <v>0</v>
      </c>
      <c r="U73" s="449">
        <v>0</v>
      </c>
      <c r="V73" s="449">
        <v>0</v>
      </c>
      <c r="W73" s="447">
        <v>25.870999999999999</v>
      </c>
      <c r="X73" s="444">
        <v>32.755000000000003</v>
      </c>
      <c r="Y73" s="444">
        <v>5922814.0700000003</v>
      </c>
      <c r="Z73" s="444">
        <v>3554441.3733610003</v>
      </c>
      <c r="AB73" s="430" t="str">
        <f t="shared" si="2"/>
        <v>UPDATE mill_levy SET cert_per_hb201418 = 13.811,cert_hb201418_tax_credit = 0,certified_catbuy_mill_levy = 0,cert_tot_prog_reserve_fund = 0,certified_hh_mill_levy = 0,certified_override_mill_levy = 6.678,certified_abate_mill_levy = 0.064,certified_bond_mill_levy = 5.318,certified_transport_mill_levy = 0,certified_sbt_mill_levy = 0,cert_supp_cap_construction = 0,certified_other_mill_levy = 0,full_funding_mill_levy = 32.755,state_funding = 3554441.373361 WHERE district_number = '1340' AND fiscal_year = 20222023;</v>
      </c>
    </row>
    <row r="74" spans="1:28" x14ac:dyDescent="0.2">
      <c r="A74" s="441" t="s">
        <v>235</v>
      </c>
      <c r="B74" s="442" t="s">
        <v>233</v>
      </c>
      <c r="C74" s="443" t="s">
        <v>770</v>
      </c>
      <c r="D74" s="444">
        <v>1303564430</v>
      </c>
      <c r="E74" s="444">
        <v>0</v>
      </c>
      <c r="F74" s="444">
        <v>1303564430</v>
      </c>
      <c r="G74" s="445">
        <v>17614</v>
      </c>
      <c r="H74" s="446">
        <v>12.776999999999999</v>
      </c>
      <c r="I74" s="447">
        <v>0</v>
      </c>
      <c r="J74" s="443">
        <v>9.6159999999999997</v>
      </c>
      <c r="K74" s="448">
        <v>0.59699999999999998</v>
      </c>
      <c r="L74" s="449">
        <v>2.5640000000000001</v>
      </c>
      <c r="M74" s="448">
        <v>0.60199999999999998</v>
      </c>
      <c r="N74" s="443">
        <v>0</v>
      </c>
      <c r="O74" s="450">
        <v>1.772</v>
      </c>
      <c r="P74" s="448">
        <v>1.4E-2</v>
      </c>
      <c r="Q74" s="451">
        <v>15.164999999999999</v>
      </c>
      <c r="R74" s="447">
        <v>5.4169999999999998</v>
      </c>
      <c r="S74" s="449">
        <v>0.23</v>
      </c>
      <c r="T74" s="449">
        <v>0</v>
      </c>
      <c r="U74" s="449">
        <v>0</v>
      </c>
      <c r="V74" s="449">
        <v>0</v>
      </c>
      <c r="W74" s="447">
        <v>20.812000000000001</v>
      </c>
      <c r="X74" s="444">
        <v>9.6159999999999997</v>
      </c>
      <c r="Y74" s="444">
        <v>14501208.789999999</v>
      </c>
      <c r="Z74" s="444">
        <v>573.13810999994166</v>
      </c>
      <c r="AB74" s="430" t="str">
        <f t="shared" si="2"/>
        <v>UPDATE mill_levy SET cert_per_hb201418 = 12.777,cert_hb201418_tax_credit = 0,certified_catbuy_mill_levy = 0.597,cert_tot_prog_reserve_fund = 2.564,certified_hh_mill_levy = 0.602,certified_override_mill_levy = 1.772,certified_abate_mill_levy = 0.014,certified_bond_mill_levy = 5.417,certified_transport_mill_levy = 0.23,certified_sbt_mill_levy = 0,cert_supp_cap_construction = 0,certified_other_mill_levy = 0,full_funding_mill_levy = 9.616,state_funding = 573.138109999942 WHERE district_number = '1350' AND fiscal_year = 20222023;</v>
      </c>
    </row>
    <row r="75" spans="1:28" x14ac:dyDescent="0.2">
      <c r="A75" s="441" t="s">
        <v>237</v>
      </c>
      <c r="B75" s="442" t="s">
        <v>238</v>
      </c>
      <c r="C75" s="443" t="s">
        <v>771</v>
      </c>
      <c r="D75" s="444">
        <v>1089671725</v>
      </c>
      <c r="E75" s="444">
        <v>19623230</v>
      </c>
      <c r="F75" s="444">
        <v>1070048495</v>
      </c>
      <c r="G75" s="445">
        <v>21274</v>
      </c>
      <c r="H75" s="446">
        <v>15.736000000000001</v>
      </c>
      <c r="I75" s="447">
        <v>0</v>
      </c>
      <c r="J75" s="443">
        <v>15.736000000000001</v>
      </c>
      <c r="K75" s="448">
        <v>0</v>
      </c>
      <c r="L75" s="449">
        <v>0</v>
      </c>
      <c r="M75" s="448">
        <v>0</v>
      </c>
      <c r="N75" s="443">
        <v>0</v>
      </c>
      <c r="O75" s="450">
        <v>3.5449999999999999</v>
      </c>
      <c r="P75" s="448">
        <v>0.02</v>
      </c>
      <c r="Q75" s="451">
        <v>19.300999999999998</v>
      </c>
      <c r="R75" s="447">
        <v>8.7799999999999994</v>
      </c>
      <c r="S75" s="449">
        <v>0</v>
      </c>
      <c r="T75" s="449">
        <v>0</v>
      </c>
      <c r="U75" s="449">
        <v>0</v>
      </c>
      <c r="V75" s="449">
        <v>0</v>
      </c>
      <c r="W75" s="447">
        <v>28.081</v>
      </c>
      <c r="X75" s="444">
        <v>18.443999999999999</v>
      </c>
      <c r="Y75" s="444">
        <v>23229236.039999999</v>
      </c>
      <c r="Z75" s="444">
        <v>5534662.7926799981</v>
      </c>
      <c r="AB75" s="430" t="str">
        <f t="shared" si="2"/>
        <v>UPDATE mill_levy SET cert_per_hb201418 = 15.736,cert_hb201418_tax_credit = 0,certified_catbuy_mill_levy = 0,cert_tot_prog_reserve_fund = 0,certified_hh_mill_levy = 0,certified_override_mill_levy = 3.545,certified_abate_mill_levy = 0.02,certified_bond_mill_levy = 8.78,certified_transport_mill_levy = 0,certified_sbt_mill_levy = 0,cert_supp_cap_construction = 0,certified_other_mill_levy = 0,full_funding_mill_levy = 18.444,state_funding = 5534662.79268 WHERE district_number = '1360' AND fiscal_year = 20222023;</v>
      </c>
    </row>
    <row r="76" spans="1:28" x14ac:dyDescent="0.2">
      <c r="A76" s="441" t="s">
        <v>239</v>
      </c>
      <c r="B76" s="442" t="s">
        <v>240</v>
      </c>
      <c r="C76" s="443" t="s">
        <v>772</v>
      </c>
      <c r="D76" s="444">
        <v>55481130</v>
      </c>
      <c r="E76" s="444">
        <v>0</v>
      </c>
      <c r="F76" s="444">
        <v>55481130</v>
      </c>
      <c r="G76" s="445">
        <v>2830</v>
      </c>
      <c r="H76" s="446">
        <v>19.067</v>
      </c>
      <c r="I76" s="447">
        <v>0</v>
      </c>
      <c r="J76" s="443">
        <v>19.067</v>
      </c>
      <c r="K76" s="448">
        <v>0</v>
      </c>
      <c r="L76" s="449">
        <v>0</v>
      </c>
      <c r="M76" s="448">
        <v>0</v>
      </c>
      <c r="N76" s="443">
        <v>0</v>
      </c>
      <c r="O76" s="450">
        <v>0</v>
      </c>
      <c r="P76" s="448">
        <v>5.0999999999999997E-2</v>
      </c>
      <c r="Q76" s="451">
        <v>19.117999999999999</v>
      </c>
      <c r="R76" s="447">
        <v>5.7770000000000001</v>
      </c>
      <c r="S76" s="449">
        <v>0</v>
      </c>
      <c r="T76" s="449">
        <v>0</v>
      </c>
      <c r="U76" s="449">
        <v>0</v>
      </c>
      <c r="V76" s="449">
        <v>0</v>
      </c>
      <c r="W76" s="447">
        <v>24.895</v>
      </c>
      <c r="X76" s="444">
        <v>28.140999999999998</v>
      </c>
      <c r="Y76" s="444">
        <v>1781744.71</v>
      </c>
      <c r="Z76" s="444">
        <v>632480.51428999985</v>
      </c>
      <c r="AB76" s="430" t="str">
        <f t="shared" si="2"/>
        <v>UPDATE mill_levy SET cert_per_hb201418 = 19.067,cert_hb201418_tax_credit = 0,certified_catbuy_mill_levy = 0,cert_tot_prog_reserve_fund = 0,certified_hh_mill_levy = 0,certified_override_mill_levy = 0,certified_abate_mill_levy = 0.051,certified_bond_mill_levy = 5.777,certified_transport_mill_levy = 0,certified_sbt_mill_levy = 0,cert_supp_cap_construction = 0,certified_other_mill_levy = 0,full_funding_mill_levy = 28.141,state_funding = 632480.51429 WHERE district_number = '1380' AND fiscal_year = 20222023;</v>
      </c>
    </row>
    <row r="77" spans="1:28" x14ac:dyDescent="0.2">
      <c r="A77" s="441" t="s">
        <v>241</v>
      </c>
      <c r="B77" s="452" t="s">
        <v>242</v>
      </c>
      <c r="C77" s="453" t="s">
        <v>773</v>
      </c>
      <c r="D77" s="444">
        <v>120476501</v>
      </c>
      <c r="E77" s="444">
        <v>0</v>
      </c>
      <c r="F77" s="444">
        <v>120476501</v>
      </c>
      <c r="G77" s="445">
        <v>9920</v>
      </c>
      <c r="H77" s="446">
        <v>27</v>
      </c>
      <c r="I77" s="447">
        <v>0</v>
      </c>
      <c r="J77" s="443">
        <v>27</v>
      </c>
      <c r="K77" s="448">
        <v>0</v>
      </c>
      <c r="L77" s="449">
        <v>0</v>
      </c>
      <c r="M77" s="448">
        <v>0</v>
      </c>
      <c r="N77" s="443">
        <v>0</v>
      </c>
      <c r="O77" s="450">
        <v>0</v>
      </c>
      <c r="P77" s="448">
        <v>8.3000000000000004E-2</v>
      </c>
      <c r="Q77" s="451">
        <v>27.082999999999998</v>
      </c>
      <c r="R77" s="447">
        <v>8.6890000000000001</v>
      </c>
      <c r="S77" s="449">
        <v>0</v>
      </c>
      <c r="T77" s="449">
        <v>0</v>
      </c>
      <c r="U77" s="449">
        <v>0</v>
      </c>
      <c r="V77" s="449">
        <v>0</v>
      </c>
      <c r="W77" s="447">
        <v>35.771999999999998</v>
      </c>
      <c r="X77" s="444">
        <v>41.325000000000003</v>
      </c>
      <c r="Y77" s="444">
        <v>6429493.0899999999</v>
      </c>
      <c r="Z77" s="444">
        <v>2865475.0389999999</v>
      </c>
      <c r="AB77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0.083,certified_bond_mill_levy = 8.689,certified_transport_mill_levy = 0,certified_sbt_mill_levy = 0,cert_supp_cap_construction = 0,certified_other_mill_levy = 0,full_funding_mill_levy = 41.325,state_funding = 2865475.039 WHERE district_number = '1390' AND fiscal_year = 20222023;</v>
      </c>
    </row>
    <row r="78" spans="1:28" x14ac:dyDescent="0.2">
      <c r="A78" s="441" t="s">
        <v>243</v>
      </c>
      <c r="B78" s="442" t="s">
        <v>242</v>
      </c>
      <c r="C78" s="443" t="s">
        <v>774</v>
      </c>
      <c r="D78" s="444">
        <v>35568617</v>
      </c>
      <c r="E78" s="444">
        <v>0</v>
      </c>
      <c r="F78" s="444">
        <v>35568617</v>
      </c>
      <c r="G78" s="445">
        <v>295</v>
      </c>
      <c r="H78" s="446">
        <v>27</v>
      </c>
      <c r="I78" s="447">
        <v>0</v>
      </c>
      <c r="J78" s="443">
        <v>27</v>
      </c>
      <c r="K78" s="448">
        <v>0</v>
      </c>
      <c r="L78" s="449">
        <v>0</v>
      </c>
      <c r="M78" s="448">
        <v>0</v>
      </c>
      <c r="N78" s="443">
        <v>0</v>
      </c>
      <c r="O78" s="450">
        <v>0</v>
      </c>
      <c r="P78" s="448">
        <v>8.0000000000000002E-3</v>
      </c>
      <c r="Q78" s="451">
        <v>27.007999999999999</v>
      </c>
      <c r="R78" s="447">
        <v>11.484</v>
      </c>
      <c r="S78" s="449">
        <v>0</v>
      </c>
      <c r="T78" s="449">
        <v>0</v>
      </c>
      <c r="U78" s="449">
        <v>0</v>
      </c>
      <c r="V78" s="449">
        <v>0</v>
      </c>
      <c r="W78" s="447">
        <v>38.491999999999997</v>
      </c>
      <c r="X78" s="444">
        <v>85.317999999999998</v>
      </c>
      <c r="Y78" s="444">
        <v>3900180.83</v>
      </c>
      <c r="Z78" s="444">
        <v>2848143.301</v>
      </c>
      <c r="AB78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0.008,certified_bond_mill_levy = 11.484,certified_transport_mill_levy = 0,certified_sbt_mill_levy = 0,cert_supp_cap_construction = 0,certified_other_mill_levy = 0,full_funding_mill_levy = 85.318,state_funding = 2848143.301 WHERE district_number = '1400' AND fiscal_year = 20222023;</v>
      </c>
    </row>
    <row r="79" spans="1:28" x14ac:dyDescent="0.2">
      <c r="A79" s="441" t="s">
        <v>245</v>
      </c>
      <c r="B79" s="442" t="s">
        <v>246</v>
      </c>
      <c r="C79" s="443" t="s">
        <v>775</v>
      </c>
      <c r="D79" s="444">
        <v>99974962</v>
      </c>
      <c r="E79" s="444">
        <v>0</v>
      </c>
      <c r="F79" s="444">
        <v>99974962</v>
      </c>
      <c r="G79" s="445">
        <v>9480.27</v>
      </c>
      <c r="H79" s="446">
        <v>23.041</v>
      </c>
      <c r="I79" s="447">
        <v>0</v>
      </c>
      <c r="J79" s="443">
        <v>23.041</v>
      </c>
      <c r="K79" s="448">
        <v>0</v>
      </c>
      <c r="L79" s="449">
        <v>0</v>
      </c>
      <c r="M79" s="448">
        <v>0</v>
      </c>
      <c r="N79" s="443">
        <v>0</v>
      </c>
      <c r="O79" s="450">
        <v>0</v>
      </c>
      <c r="P79" s="448">
        <v>9.5000000000000001E-2</v>
      </c>
      <c r="Q79" s="451">
        <v>23.135999999999999</v>
      </c>
      <c r="R79" s="447">
        <v>0</v>
      </c>
      <c r="S79" s="449">
        <v>0</v>
      </c>
      <c r="T79" s="449">
        <v>0</v>
      </c>
      <c r="U79" s="449">
        <v>0</v>
      </c>
      <c r="V79" s="449">
        <v>0</v>
      </c>
      <c r="W79" s="447">
        <v>23.135999999999999</v>
      </c>
      <c r="X79" s="444">
        <v>28.21</v>
      </c>
      <c r="Y79" s="444">
        <v>3103264.09</v>
      </c>
      <c r="Z79" s="444">
        <v>440987.32055799983</v>
      </c>
      <c r="AB79" s="430" t="str">
        <f t="shared" si="2"/>
        <v>UPDATE mill_levy SET cert_per_hb201418 = 23.041,cert_hb201418_tax_credit = 0,certified_catbuy_mill_levy = 0,cert_tot_prog_reserve_fund = 0,certified_hh_mill_levy = 0,certified_override_mill_levy = 0,certified_abate_mill_levy = 0.095,certified_bond_mill_levy = 0,certified_transport_mill_levy = 0,certified_sbt_mill_levy = 0,cert_supp_cap_construction = 0,certified_other_mill_levy = 0,full_funding_mill_levy = 28.21,state_funding = 440987.320558 WHERE district_number = '1410' AND fiscal_year = 20222023;</v>
      </c>
    </row>
    <row r="80" spans="1:28" x14ac:dyDescent="0.2">
      <c r="A80" s="441" t="s">
        <v>248</v>
      </c>
      <c r="B80" s="452" t="s">
        <v>249</v>
      </c>
      <c r="C80" s="453" t="s">
        <v>776</v>
      </c>
      <c r="D80" s="444">
        <v>14222747290</v>
      </c>
      <c r="E80" s="444">
        <v>623921744</v>
      </c>
      <c r="F80" s="444">
        <v>13598825546</v>
      </c>
      <c r="G80" s="445">
        <v>2768088</v>
      </c>
      <c r="H80" s="446">
        <v>27</v>
      </c>
      <c r="I80" s="447">
        <v>0</v>
      </c>
      <c r="J80" s="443">
        <v>27</v>
      </c>
      <c r="K80" s="448">
        <v>0</v>
      </c>
      <c r="L80" s="449">
        <v>0</v>
      </c>
      <c r="M80" s="448">
        <v>0</v>
      </c>
      <c r="N80" s="443">
        <v>0</v>
      </c>
      <c r="O80" s="450">
        <v>11.378</v>
      </c>
      <c r="P80" s="448">
        <v>0.20399999999999999</v>
      </c>
      <c r="Q80" s="451">
        <v>38.582000000000001</v>
      </c>
      <c r="R80" s="447">
        <v>5.9059999999999997</v>
      </c>
      <c r="S80" s="449">
        <v>0</v>
      </c>
      <c r="T80" s="449">
        <v>0</v>
      </c>
      <c r="U80" s="449">
        <v>0</v>
      </c>
      <c r="V80" s="449">
        <v>0</v>
      </c>
      <c r="W80" s="447">
        <v>44.488</v>
      </c>
      <c r="X80" s="444">
        <v>54.186999999999998</v>
      </c>
      <c r="Y80" s="444">
        <v>825657217.16999996</v>
      </c>
      <c r="Z80" s="444">
        <v>434126927.22799999</v>
      </c>
      <c r="AB80" s="430" t="str">
        <f t="shared" si="2"/>
        <v>UPDATE mill_levy SET cert_per_hb201418 = 27,cert_hb201418_tax_credit = 0,certified_catbuy_mill_levy = 0,cert_tot_prog_reserve_fund = 0,certified_hh_mill_levy = 0,certified_override_mill_levy = 11.378,certified_abate_mill_levy = 0.204,certified_bond_mill_levy = 5.906,certified_transport_mill_levy = 0,certified_sbt_mill_levy = 0,cert_supp_cap_construction = 0,certified_other_mill_levy = 0,full_funding_mill_levy = 54.187,state_funding = 434126927.228 WHERE district_number = '1420' AND fiscal_year = 20222023;</v>
      </c>
    </row>
    <row r="81" spans="1:28" x14ac:dyDescent="0.2">
      <c r="A81" s="441" t="s">
        <v>250</v>
      </c>
      <c r="B81" s="442" t="s">
        <v>179</v>
      </c>
      <c r="C81" s="443" t="s">
        <v>777</v>
      </c>
      <c r="D81" s="444">
        <v>20027960</v>
      </c>
      <c r="E81" s="444">
        <v>0</v>
      </c>
      <c r="F81" s="444">
        <v>20027960</v>
      </c>
      <c r="G81" s="445">
        <v>466.62</v>
      </c>
      <c r="H81" s="446">
        <v>27</v>
      </c>
      <c r="I81" s="447">
        <v>0.80100000000000005</v>
      </c>
      <c r="J81" s="443">
        <v>26.199000000000002</v>
      </c>
      <c r="K81" s="448">
        <v>0</v>
      </c>
      <c r="L81" s="449">
        <v>0</v>
      </c>
      <c r="M81" s="448">
        <v>0</v>
      </c>
      <c r="N81" s="443">
        <v>0</v>
      </c>
      <c r="O81" s="450">
        <v>0</v>
      </c>
      <c r="P81" s="448">
        <v>2.4E-2</v>
      </c>
      <c r="Q81" s="451">
        <v>26.222999999999999</v>
      </c>
      <c r="R81" s="447">
        <v>0</v>
      </c>
      <c r="S81" s="449">
        <v>0</v>
      </c>
      <c r="T81" s="449">
        <v>0</v>
      </c>
      <c r="U81" s="449">
        <v>0</v>
      </c>
      <c r="V81" s="449">
        <v>0</v>
      </c>
      <c r="W81" s="447">
        <v>26.222999999999999</v>
      </c>
      <c r="X81" s="444">
        <v>148.029</v>
      </c>
      <c r="Y81" s="444">
        <v>3534839.16</v>
      </c>
      <c r="Z81" s="444">
        <v>3016585.953216</v>
      </c>
      <c r="AB81" s="430" t="str">
        <f t="shared" si="2"/>
        <v>UPDATE mill_levy SET cert_per_hb201418 = 27,cert_hb201418_tax_credit = 0.801,certified_catbuy_mill_levy = 0,cert_tot_prog_reserve_fund = 0,certified_hh_mill_levy = 0,certified_override_mill_levy = 0,certified_abate_mill_levy = 0.024,certified_bond_mill_levy = 0,certified_transport_mill_levy = 0,certified_sbt_mill_levy = 0,cert_supp_cap_construction = 0,certified_other_mill_levy = 0,full_funding_mill_levy = 148.029,state_funding = 3016585.953216 WHERE district_number = '1430' AND fiscal_year = 20222023;</v>
      </c>
    </row>
    <row r="82" spans="1:28" x14ac:dyDescent="0.2">
      <c r="A82" s="442" t="s">
        <v>252</v>
      </c>
      <c r="B82" s="452" t="s">
        <v>179</v>
      </c>
      <c r="C82" s="453" t="s">
        <v>778</v>
      </c>
      <c r="D82" s="444">
        <v>19887758</v>
      </c>
      <c r="E82" s="444">
        <v>0</v>
      </c>
      <c r="F82" s="444">
        <v>19887758</v>
      </c>
      <c r="G82" s="445">
        <v>0</v>
      </c>
      <c r="H82" s="446">
        <v>27</v>
      </c>
      <c r="I82" s="447">
        <v>3.48</v>
      </c>
      <c r="J82" s="443">
        <v>23.52</v>
      </c>
      <c r="K82" s="448">
        <v>0</v>
      </c>
      <c r="L82" s="449">
        <v>0</v>
      </c>
      <c r="M82" s="448">
        <v>0</v>
      </c>
      <c r="N82" s="443">
        <v>0</v>
      </c>
      <c r="O82" s="450">
        <v>0</v>
      </c>
      <c r="P82" s="448">
        <v>0</v>
      </c>
      <c r="Q82" s="451">
        <v>23.52</v>
      </c>
      <c r="R82" s="447">
        <v>0</v>
      </c>
      <c r="S82" s="449">
        <v>0</v>
      </c>
      <c r="T82" s="449">
        <v>0</v>
      </c>
      <c r="U82" s="449">
        <v>0</v>
      </c>
      <c r="V82" s="449">
        <v>0</v>
      </c>
      <c r="W82" s="447">
        <v>23.52</v>
      </c>
      <c r="X82" s="444">
        <v>167.149</v>
      </c>
      <c r="Y82" s="444">
        <v>2835204.01</v>
      </c>
      <c r="Z82" s="444">
        <v>2277818.44184</v>
      </c>
      <c r="AB82" s="430" t="str">
        <f t="shared" si="2"/>
        <v>UPDATE mill_levy SET cert_per_hb201418 = 27,cert_hb201418_tax_credit = 3.48,certified_catbuy_mill_levy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167.149,state_funding = 2277818.44184 WHERE district_number = '1440' AND fiscal_year = 20222023;</v>
      </c>
    </row>
    <row r="83" spans="1:28" x14ac:dyDescent="0.2">
      <c r="A83" s="441" t="s">
        <v>254</v>
      </c>
      <c r="B83" s="442" t="s">
        <v>144</v>
      </c>
      <c r="C83" s="443" t="s">
        <v>779</v>
      </c>
      <c r="D83" s="444">
        <v>43037008</v>
      </c>
      <c r="E83" s="444">
        <v>0</v>
      </c>
      <c r="F83" s="444">
        <v>43037008</v>
      </c>
      <c r="G83" s="445">
        <v>2131.67</v>
      </c>
      <c r="H83" s="446">
        <v>27.05</v>
      </c>
      <c r="I83" s="447">
        <v>0</v>
      </c>
      <c r="J83" s="443">
        <v>27.05</v>
      </c>
      <c r="K83" s="448">
        <v>0</v>
      </c>
      <c r="L83" s="449">
        <v>0</v>
      </c>
      <c r="M83" s="448">
        <v>0</v>
      </c>
      <c r="N83" s="443">
        <v>0</v>
      </c>
      <c r="O83" s="450">
        <v>0</v>
      </c>
      <c r="P83" s="448">
        <v>0</v>
      </c>
      <c r="Q83" s="451">
        <v>27.05</v>
      </c>
      <c r="R83" s="447">
        <v>0</v>
      </c>
      <c r="S83" s="449">
        <v>0</v>
      </c>
      <c r="T83" s="449">
        <v>0</v>
      </c>
      <c r="U83" s="449">
        <v>0</v>
      </c>
      <c r="V83" s="449">
        <v>0</v>
      </c>
      <c r="W83" s="447">
        <v>27.05</v>
      </c>
      <c r="X83" s="444">
        <v>61.994</v>
      </c>
      <c r="Y83" s="444">
        <v>3109911.05</v>
      </c>
      <c r="Z83" s="444">
        <v>1829751.7839999998</v>
      </c>
      <c r="AB83" s="430" t="str">
        <f t="shared" si="2"/>
        <v>UPDATE mill_levy SET cert_per_hb201418 = 27.05,cert_hb201418_tax_credit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61.994,state_funding = 1829751.784 WHERE district_number = '1450' AND fiscal_year = 20222023;</v>
      </c>
    </row>
    <row r="84" spans="1:28" x14ac:dyDescent="0.2">
      <c r="A84" s="441" t="s">
        <v>256</v>
      </c>
      <c r="B84" s="452" t="s">
        <v>144</v>
      </c>
      <c r="C84" s="453" t="s">
        <v>780</v>
      </c>
      <c r="D84" s="444">
        <v>31536555</v>
      </c>
      <c r="E84" s="444">
        <v>0</v>
      </c>
      <c r="F84" s="444">
        <v>31536555</v>
      </c>
      <c r="G84" s="445">
        <v>17594</v>
      </c>
      <c r="H84" s="446">
        <v>24.334</v>
      </c>
      <c r="I84" s="447">
        <v>0</v>
      </c>
      <c r="J84" s="443">
        <v>24.334</v>
      </c>
      <c r="K84" s="448">
        <v>0</v>
      </c>
      <c r="L84" s="449">
        <v>0</v>
      </c>
      <c r="M84" s="448">
        <v>4.4189999999999996</v>
      </c>
      <c r="N84" s="443">
        <v>0</v>
      </c>
      <c r="O84" s="450">
        <v>0</v>
      </c>
      <c r="P84" s="448">
        <v>0.55800000000000005</v>
      </c>
      <c r="Q84" s="451">
        <v>29.311</v>
      </c>
      <c r="R84" s="447">
        <v>6.2290000000000001</v>
      </c>
      <c r="S84" s="449">
        <v>0</v>
      </c>
      <c r="T84" s="449">
        <v>0</v>
      </c>
      <c r="U84" s="449">
        <v>0</v>
      </c>
      <c r="V84" s="449">
        <v>0</v>
      </c>
      <c r="W84" s="447">
        <v>35.54</v>
      </c>
      <c r="X84" s="444">
        <v>75.546999999999997</v>
      </c>
      <c r="Y84" s="444">
        <v>2467533.2999999998</v>
      </c>
      <c r="Z84" s="444">
        <v>1616385.7706299997</v>
      </c>
      <c r="AB84" s="430" t="str">
        <f t="shared" si="2"/>
        <v>UPDATE mill_levy SET cert_per_hb201418 = 24.334,cert_hb201418_tax_credit = 0,certified_catbuy_mill_levy = 0,cert_tot_prog_reserve_fund = 0,certified_hh_mill_levy = 4.419,certified_override_mill_levy = 0,certified_abate_mill_levy = 0.558,certified_bond_mill_levy = 6.229,certified_transport_mill_levy = 0,certified_sbt_mill_levy = 0,cert_supp_cap_construction = 0,certified_other_mill_levy = 0,full_funding_mill_levy = 75.547,state_funding = 1616385.77063 WHERE district_number = '1460' AND fiscal_year = 20222023;</v>
      </c>
    </row>
    <row r="85" spans="1:28" x14ac:dyDescent="0.2">
      <c r="A85" s="441" t="s">
        <v>258</v>
      </c>
      <c r="B85" s="442" t="s">
        <v>144</v>
      </c>
      <c r="C85" s="443" t="s">
        <v>781</v>
      </c>
      <c r="D85" s="444">
        <v>24793113</v>
      </c>
      <c r="E85" s="444">
        <v>0</v>
      </c>
      <c r="F85" s="444">
        <v>24793113</v>
      </c>
      <c r="G85" s="445">
        <v>12407</v>
      </c>
      <c r="H85" s="446">
        <v>27</v>
      </c>
      <c r="I85" s="447">
        <v>0</v>
      </c>
      <c r="J85" s="443">
        <v>27</v>
      </c>
      <c r="K85" s="448">
        <v>0</v>
      </c>
      <c r="L85" s="449">
        <v>0</v>
      </c>
      <c r="M85" s="448">
        <v>0</v>
      </c>
      <c r="N85" s="443">
        <v>0</v>
      </c>
      <c r="O85" s="450">
        <v>7.5</v>
      </c>
      <c r="P85" s="448">
        <v>0.5</v>
      </c>
      <c r="Q85" s="451">
        <v>35</v>
      </c>
      <c r="R85" s="447">
        <v>0</v>
      </c>
      <c r="S85" s="449">
        <v>0</v>
      </c>
      <c r="T85" s="449">
        <v>0</v>
      </c>
      <c r="U85" s="449">
        <v>0</v>
      </c>
      <c r="V85" s="449">
        <v>0</v>
      </c>
      <c r="W85" s="447">
        <v>35</v>
      </c>
      <c r="X85" s="444">
        <v>134.22300000000001</v>
      </c>
      <c r="Y85" s="444">
        <v>3659178.56</v>
      </c>
      <c r="Z85" s="444">
        <v>2929003.4990000003</v>
      </c>
      <c r="AB85" s="430" t="str">
        <f t="shared" si="2"/>
        <v>UPDATE mill_levy SET cert_per_hb201418 = 27,cert_hb201418_tax_credit = 0,certified_catbuy_mill_levy = 0,cert_tot_prog_reserve_fund = 0,certified_hh_mill_levy = 0,certified_override_mill_levy = 7.5,certified_abate_mill_levy = 0.5,certified_bond_mill_levy = 0,certified_transport_mill_levy = 0,certified_sbt_mill_levy = 0,cert_supp_cap_construction = 0,certified_other_mill_levy = 0,full_funding_mill_levy = 134.223,state_funding = 2929003.499 WHERE district_number = '1480' AND fiscal_year = 20222023;</v>
      </c>
    </row>
    <row r="86" spans="1:28" x14ac:dyDescent="0.2">
      <c r="A86" s="442" t="s">
        <v>260</v>
      </c>
      <c r="B86" s="452" t="s">
        <v>144</v>
      </c>
      <c r="C86" s="453" t="s">
        <v>782</v>
      </c>
      <c r="D86" s="444">
        <v>17430135</v>
      </c>
      <c r="E86" s="444">
        <v>0</v>
      </c>
      <c r="F86" s="444">
        <v>17430135</v>
      </c>
      <c r="G86" s="445">
        <v>36638</v>
      </c>
      <c r="H86" s="446">
        <v>27</v>
      </c>
      <c r="I86" s="447">
        <v>0.81200000000000006</v>
      </c>
      <c r="J86" s="443">
        <v>26.187999999999999</v>
      </c>
      <c r="K86" s="448">
        <v>0</v>
      </c>
      <c r="L86" s="449">
        <v>0</v>
      </c>
      <c r="M86" s="448">
        <v>0</v>
      </c>
      <c r="N86" s="443">
        <v>0</v>
      </c>
      <c r="O86" s="450">
        <v>14.342000000000001</v>
      </c>
      <c r="P86" s="448">
        <v>0</v>
      </c>
      <c r="Q86" s="451">
        <v>40.53</v>
      </c>
      <c r="R86" s="447">
        <v>0</v>
      </c>
      <c r="S86" s="449">
        <v>0</v>
      </c>
      <c r="T86" s="449">
        <v>0</v>
      </c>
      <c r="U86" s="449">
        <v>0</v>
      </c>
      <c r="V86" s="449">
        <v>0</v>
      </c>
      <c r="W86" s="447">
        <v>40.53</v>
      </c>
      <c r="X86" s="444">
        <v>117.13800000000001</v>
      </c>
      <c r="Y86" s="444">
        <v>2274751.41</v>
      </c>
      <c r="Z86" s="444">
        <v>1788181.0846200001</v>
      </c>
      <c r="AB86" s="430" t="str">
        <f t="shared" si="2"/>
        <v>UPDATE mill_levy SET cert_per_hb201418 = 27,cert_hb201418_tax_credit = 0.812,certified_catbuy_mill_levy = 0,cert_tot_prog_reserve_fund = 0,certified_hh_mill_levy = 0,certified_override_mill_levy = 14.342,certified_abate_mill_levy = 0,certified_bond_mill_levy = 0,certified_transport_mill_levy = 0,certified_sbt_mill_levy = 0,cert_supp_cap_construction = 0,certified_other_mill_levy = 0,full_funding_mill_levy = 117.138,state_funding = 1788181.08462 WHERE district_number = '1490' AND fiscal_year = 20222023;</v>
      </c>
    </row>
    <row r="87" spans="1:28" x14ac:dyDescent="0.2">
      <c r="A87" s="441" t="s">
        <v>262</v>
      </c>
      <c r="B87" s="442" t="s">
        <v>144</v>
      </c>
      <c r="C87" s="443" t="s">
        <v>783</v>
      </c>
      <c r="D87" s="444">
        <v>114209661</v>
      </c>
      <c r="E87" s="444">
        <v>0</v>
      </c>
      <c r="F87" s="444">
        <v>114209661</v>
      </c>
      <c r="G87" s="445">
        <v>32845.07</v>
      </c>
      <c r="H87" s="446">
        <v>27</v>
      </c>
      <c r="I87" s="447">
        <v>0</v>
      </c>
      <c r="J87" s="443">
        <v>27</v>
      </c>
      <c r="K87" s="448">
        <v>0</v>
      </c>
      <c r="L87" s="449">
        <v>0</v>
      </c>
      <c r="M87" s="448">
        <v>0</v>
      </c>
      <c r="N87" s="443">
        <v>0</v>
      </c>
      <c r="O87" s="450">
        <v>13.03</v>
      </c>
      <c r="P87" s="448">
        <v>0.28799999999999998</v>
      </c>
      <c r="Q87" s="451">
        <v>40.317999999999998</v>
      </c>
      <c r="R87" s="447">
        <v>0</v>
      </c>
      <c r="S87" s="449">
        <v>0</v>
      </c>
      <c r="T87" s="449">
        <v>0</v>
      </c>
      <c r="U87" s="449">
        <v>0</v>
      </c>
      <c r="V87" s="449">
        <v>0</v>
      </c>
      <c r="W87" s="447">
        <v>40.317999999999998</v>
      </c>
      <c r="X87" s="444">
        <v>65.262</v>
      </c>
      <c r="Y87" s="444">
        <v>8472233.6999999993</v>
      </c>
      <c r="Z87" s="444">
        <v>5137432.5129999993</v>
      </c>
      <c r="AB87" s="430" t="str">
        <f t="shared" si="2"/>
        <v>UPDATE mill_levy SET cert_per_hb201418 = 27,cert_hb201418_tax_credit = 0,certified_catbuy_mill_levy = 0,cert_tot_prog_reserve_fund = 0,certified_hh_mill_levy = 0,certified_override_mill_levy = 13.03,certified_abate_mill_levy = 0.288,certified_bond_mill_levy = 0,certified_transport_mill_levy = 0,certified_sbt_mill_levy = 0,cert_supp_cap_construction = 0,certified_other_mill_levy = 0,full_funding_mill_levy = 65.262,state_funding = 5137432.513 WHERE district_number = '1500' AND fiscal_year = 20222023;</v>
      </c>
    </row>
    <row r="88" spans="1:28" x14ac:dyDescent="0.2">
      <c r="A88" s="441" t="s">
        <v>264</v>
      </c>
      <c r="B88" s="442" t="s">
        <v>265</v>
      </c>
      <c r="C88" s="443" t="s">
        <v>784</v>
      </c>
      <c r="D88" s="444">
        <v>374219070</v>
      </c>
      <c r="E88" s="444">
        <v>5401169</v>
      </c>
      <c r="F88" s="444">
        <v>368817901</v>
      </c>
      <c r="G88" s="445">
        <v>192268</v>
      </c>
      <c r="H88" s="446">
        <v>26.513999999999999</v>
      </c>
      <c r="I88" s="447">
        <v>0</v>
      </c>
      <c r="J88" s="443">
        <v>26.513999999999999</v>
      </c>
      <c r="K88" s="448">
        <v>0</v>
      </c>
      <c r="L88" s="449">
        <v>0</v>
      </c>
      <c r="M88" s="448">
        <v>0</v>
      </c>
      <c r="N88" s="443">
        <v>0</v>
      </c>
      <c r="O88" s="450">
        <v>5.0640000000000001</v>
      </c>
      <c r="P88" s="448">
        <v>0.52100000000000002</v>
      </c>
      <c r="Q88" s="451">
        <v>32.098999999999997</v>
      </c>
      <c r="R88" s="447">
        <v>4.3390000000000004</v>
      </c>
      <c r="S88" s="449">
        <v>0</v>
      </c>
      <c r="T88" s="449">
        <v>0</v>
      </c>
      <c r="U88" s="449">
        <v>0</v>
      </c>
      <c r="V88" s="449">
        <v>0</v>
      </c>
      <c r="W88" s="447">
        <v>36.438000000000002</v>
      </c>
      <c r="X88" s="444">
        <v>26.067</v>
      </c>
      <c r="Y88" s="444">
        <v>11527091.41</v>
      </c>
      <c r="Z88" s="444">
        <v>1334596.8128860011</v>
      </c>
      <c r="AB88" s="430" t="str">
        <f t="shared" si="2"/>
        <v>UPDATE mill_levy SET cert_per_hb201418 = 26.514,cert_hb201418_tax_credit = 0,certified_catbuy_mill_levy = 0,cert_tot_prog_reserve_fund = 0,certified_hh_mill_levy = 0,certified_override_mill_levy = 5.064,certified_abate_mill_levy = 0.521,certified_bond_mill_levy = 4.339,certified_transport_mill_levy = 0,certified_sbt_mill_levy = 0,cert_supp_cap_construction = 0,certified_other_mill_levy = 0,full_funding_mill_levy = 26.067,state_funding = 1334596.812886 WHERE district_number = '1510' AND fiscal_year = 20222023;</v>
      </c>
    </row>
    <row r="89" spans="1:28" x14ac:dyDescent="0.2">
      <c r="A89" s="441" t="s">
        <v>266</v>
      </c>
      <c r="B89" s="442" t="s">
        <v>267</v>
      </c>
      <c r="C89" s="443" t="s">
        <v>785</v>
      </c>
      <c r="D89" s="444">
        <v>1597241720</v>
      </c>
      <c r="E89" s="444">
        <v>3107580</v>
      </c>
      <c r="F89" s="444">
        <v>1594134140</v>
      </c>
      <c r="G89" s="445">
        <v>131750</v>
      </c>
      <c r="H89" s="446">
        <v>12.747999999999999</v>
      </c>
      <c r="I89" s="447">
        <v>2.1469999999999998</v>
      </c>
      <c r="J89" s="443">
        <v>10.601000000000001</v>
      </c>
      <c r="K89" s="448">
        <v>0</v>
      </c>
      <c r="L89" s="449">
        <v>0</v>
      </c>
      <c r="M89" s="448">
        <v>1.6439999999999999</v>
      </c>
      <c r="N89" s="443">
        <v>0</v>
      </c>
      <c r="O89" s="450">
        <v>8.4700000000000006</v>
      </c>
      <c r="P89" s="448">
        <v>0</v>
      </c>
      <c r="Q89" s="451">
        <v>20.715</v>
      </c>
      <c r="R89" s="447">
        <v>10.789</v>
      </c>
      <c r="S89" s="449">
        <v>0</v>
      </c>
      <c r="T89" s="449">
        <v>0</v>
      </c>
      <c r="U89" s="449">
        <v>0</v>
      </c>
      <c r="V89" s="449">
        <v>0</v>
      </c>
      <c r="W89" s="447">
        <v>31.504000000000001</v>
      </c>
      <c r="X89" s="444">
        <v>35.491999999999997</v>
      </c>
      <c r="Y89" s="444">
        <v>56780013.270000003</v>
      </c>
      <c r="Z89" s="444">
        <v>38181498.891860008</v>
      </c>
      <c r="AB89" s="430" t="str">
        <f t="shared" si="2"/>
        <v>UPDATE mill_levy SET cert_per_hb201418 = 12.748,cert_hb201418_tax_credit = 2.147,certified_catbuy_mill_levy = 0,cert_tot_prog_reserve_fund = 0,certified_hh_mill_levy = 1.644,certified_override_mill_levy = 8.47,certified_abate_mill_levy = 0,certified_bond_mill_levy = 10.789,certified_transport_mill_levy = 0,certified_sbt_mill_levy = 0,cert_supp_cap_construction = 0,certified_other_mill_levy = 0,full_funding_mill_levy = 35.492,state_funding = 38181498.89186 WHERE district_number = '1520' AND fiscal_year = 20222023;</v>
      </c>
    </row>
    <row r="90" spans="1:28" x14ac:dyDescent="0.2">
      <c r="A90" s="441" t="s">
        <v>269</v>
      </c>
      <c r="B90" s="452" t="s">
        <v>267</v>
      </c>
      <c r="C90" s="453" t="s">
        <v>786</v>
      </c>
      <c r="D90" s="444">
        <v>231153500</v>
      </c>
      <c r="E90" s="444">
        <v>0</v>
      </c>
      <c r="F90" s="444">
        <v>231153500</v>
      </c>
      <c r="G90" s="445">
        <v>0</v>
      </c>
      <c r="H90" s="446">
        <v>19.373000000000001</v>
      </c>
      <c r="I90" s="447">
        <v>7.1440000000000001</v>
      </c>
      <c r="J90" s="443">
        <v>12.228999999999999</v>
      </c>
      <c r="K90" s="448">
        <v>0</v>
      </c>
      <c r="L90" s="449">
        <v>0</v>
      </c>
      <c r="M90" s="448">
        <v>0.14899999999999999</v>
      </c>
      <c r="N90" s="443">
        <v>0</v>
      </c>
      <c r="O90" s="450">
        <v>8.3219999999999992</v>
      </c>
      <c r="P90" s="448">
        <v>0.02</v>
      </c>
      <c r="Q90" s="451">
        <v>20.72</v>
      </c>
      <c r="R90" s="447">
        <v>14.428000000000001</v>
      </c>
      <c r="S90" s="449">
        <v>0</v>
      </c>
      <c r="T90" s="449">
        <v>0</v>
      </c>
      <c r="U90" s="449">
        <v>0</v>
      </c>
      <c r="V90" s="449">
        <v>0</v>
      </c>
      <c r="W90" s="447">
        <v>35.148000000000003</v>
      </c>
      <c r="X90" s="444">
        <v>51.720999999999997</v>
      </c>
      <c r="Y90" s="444">
        <v>15284948.84</v>
      </c>
      <c r="Z90" s="444">
        <v>12219955.0185</v>
      </c>
      <c r="AB90" s="430" t="str">
        <f t="shared" si="2"/>
        <v>UPDATE mill_levy SET cert_per_hb201418 = 19.373,cert_hb201418_tax_credit = 7.144,certified_catbuy_mill_levy = 0,cert_tot_prog_reserve_fund = 0,certified_hh_mill_levy = 0.149,certified_override_mill_levy = 8.322,certified_abate_mill_levy = 0.02,certified_bond_mill_levy = 14.428,certified_transport_mill_levy = 0,certified_sbt_mill_levy = 0,cert_supp_cap_construction = 0,certified_other_mill_levy = 0,full_funding_mill_levy = 51.721,state_funding = 12219955.0185 WHERE district_number = '1530' AND fiscal_year = 20222023;</v>
      </c>
    </row>
    <row r="91" spans="1:28" x14ac:dyDescent="0.2">
      <c r="A91" s="441" t="s">
        <v>271</v>
      </c>
      <c r="B91" s="442" t="s">
        <v>267</v>
      </c>
      <c r="C91" s="443" t="s">
        <v>787</v>
      </c>
      <c r="D91" s="444">
        <v>264797640</v>
      </c>
      <c r="E91" s="444">
        <v>0</v>
      </c>
      <c r="F91" s="444">
        <v>264797640</v>
      </c>
      <c r="G91" s="445">
        <v>3442</v>
      </c>
      <c r="H91" s="446">
        <v>7.3310000000000004</v>
      </c>
      <c r="I91" s="447">
        <v>1.0569999999999999</v>
      </c>
      <c r="J91" s="443">
        <v>6.274</v>
      </c>
      <c r="K91" s="448">
        <v>0</v>
      </c>
      <c r="L91" s="449">
        <v>0</v>
      </c>
      <c r="M91" s="448">
        <v>0</v>
      </c>
      <c r="N91" s="443">
        <v>0</v>
      </c>
      <c r="O91" s="450">
        <v>4.1539999999999999</v>
      </c>
      <c r="P91" s="448">
        <v>1.2999999999999999E-2</v>
      </c>
      <c r="Q91" s="451">
        <v>10.441000000000001</v>
      </c>
      <c r="R91" s="447">
        <v>9</v>
      </c>
      <c r="S91" s="449">
        <v>0</v>
      </c>
      <c r="T91" s="449">
        <v>0</v>
      </c>
      <c r="U91" s="449">
        <v>0</v>
      </c>
      <c r="V91" s="449">
        <v>0</v>
      </c>
      <c r="W91" s="447">
        <v>19.440999999999999</v>
      </c>
      <c r="X91" s="444">
        <v>25.792000000000002</v>
      </c>
      <c r="Y91" s="444">
        <v>9460360.0099999998</v>
      </c>
      <c r="Z91" s="444">
        <v>7612716.6166399997</v>
      </c>
      <c r="AB91" s="430" t="str">
        <f t="shared" si="2"/>
        <v>UPDATE mill_levy SET cert_per_hb201418 = 7.331,cert_hb201418_tax_credit = 1.057,certified_catbuy_mill_levy = 0,cert_tot_prog_reserve_fund = 0,certified_hh_mill_levy = 0,certified_override_mill_levy = 4.154,certified_abate_mill_levy = 0.013,certified_bond_mill_levy = 9,certified_transport_mill_levy = 0,certified_sbt_mill_levy = 0,cert_supp_cap_construction = 0,certified_other_mill_levy = 0,full_funding_mill_levy = 25.792,state_funding = 7612716.61664 WHERE district_number = '1540' AND fiscal_year = 20222023;</v>
      </c>
    </row>
    <row r="92" spans="1:28" x14ac:dyDescent="0.2">
      <c r="A92" s="441" t="s">
        <v>273</v>
      </c>
      <c r="B92" s="442" t="s">
        <v>274</v>
      </c>
      <c r="C92" s="443" t="s">
        <v>788</v>
      </c>
      <c r="D92" s="444">
        <v>5214379468</v>
      </c>
      <c r="E92" s="444">
        <v>296208836</v>
      </c>
      <c r="F92" s="444">
        <v>4918170632</v>
      </c>
      <c r="G92" s="445">
        <v>1371051</v>
      </c>
      <c r="H92" s="446">
        <v>27</v>
      </c>
      <c r="I92" s="447">
        <v>0</v>
      </c>
      <c r="J92" s="443">
        <v>27</v>
      </c>
      <c r="K92" s="448">
        <v>0</v>
      </c>
      <c r="L92" s="449">
        <v>0</v>
      </c>
      <c r="M92" s="448">
        <v>0</v>
      </c>
      <c r="N92" s="443">
        <v>0</v>
      </c>
      <c r="O92" s="450">
        <v>13.218</v>
      </c>
      <c r="P92" s="448">
        <v>0.27900000000000003</v>
      </c>
      <c r="Q92" s="451">
        <v>40.497</v>
      </c>
      <c r="R92" s="447">
        <v>6.91</v>
      </c>
      <c r="S92" s="449">
        <v>0</v>
      </c>
      <c r="T92" s="449">
        <v>0</v>
      </c>
      <c r="U92" s="449">
        <v>9.9629999999999992</v>
      </c>
      <c r="V92" s="449">
        <v>0</v>
      </c>
      <c r="W92" s="447">
        <v>57.37</v>
      </c>
      <c r="X92" s="444">
        <v>63.564</v>
      </c>
      <c r="Y92" s="444">
        <v>346969071.85000002</v>
      </c>
      <c r="Z92" s="444">
        <v>205619604.84600002</v>
      </c>
      <c r="AB92" s="430" t="str">
        <f t="shared" si="2"/>
        <v>UPDATE mill_levy SET cert_per_hb201418 = 27,cert_hb201418_tax_credit = 0,certified_catbuy_mill_levy = 0,cert_tot_prog_reserve_fund = 0,certified_hh_mill_levy = 0,certified_override_mill_levy = 13.218,certified_abate_mill_levy = 0.279,certified_bond_mill_levy = 6.91,certified_transport_mill_levy = 0,certified_sbt_mill_levy = 0,cert_supp_cap_construction = 9.963,certified_other_mill_levy = 0,full_funding_mill_levy = 63.564,state_funding = 205619604.846 WHERE district_number = '1550' AND fiscal_year = 20222023;</v>
      </c>
    </row>
    <row r="93" spans="1:28" x14ac:dyDescent="0.2">
      <c r="A93" s="441" t="s">
        <v>276</v>
      </c>
      <c r="B93" s="442" t="s">
        <v>274</v>
      </c>
      <c r="C93" s="443" t="s">
        <v>789</v>
      </c>
      <c r="D93" s="444">
        <v>3350745942</v>
      </c>
      <c r="E93" s="444">
        <v>195837391</v>
      </c>
      <c r="F93" s="444">
        <v>3154908551</v>
      </c>
      <c r="G93" s="445">
        <v>1252498</v>
      </c>
      <c r="H93" s="446">
        <v>27</v>
      </c>
      <c r="I93" s="447">
        <v>0.64</v>
      </c>
      <c r="J93" s="443">
        <v>26.36</v>
      </c>
      <c r="K93" s="448">
        <v>0</v>
      </c>
      <c r="L93" s="449">
        <v>0</v>
      </c>
      <c r="M93" s="448">
        <v>0</v>
      </c>
      <c r="N93" s="443">
        <v>0</v>
      </c>
      <c r="O93" s="450">
        <v>12.05</v>
      </c>
      <c r="P93" s="448">
        <v>0.39700000000000002</v>
      </c>
      <c r="Q93" s="451">
        <v>38.807000000000002</v>
      </c>
      <c r="R93" s="447">
        <v>6.0750000000000002</v>
      </c>
      <c r="S93" s="449">
        <v>0</v>
      </c>
      <c r="T93" s="449">
        <v>0</v>
      </c>
      <c r="U93" s="449">
        <v>0</v>
      </c>
      <c r="V93" s="449">
        <v>0</v>
      </c>
      <c r="W93" s="447">
        <v>44.881999999999998</v>
      </c>
      <c r="X93" s="444">
        <v>42.564999999999998</v>
      </c>
      <c r="Y93" s="444">
        <v>156436611.19999999</v>
      </c>
      <c r="Z93" s="444">
        <v>67885117.475639969</v>
      </c>
      <c r="AB93" s="430" t="str">
        <f t="shared" si="2"/>
        <v>UPDATE mill_levy SET cert_per_hb201418 = 27,cert_hb201418_tax_credit = 0.64,certified_catbuy_mill_levy = 0,cert_tot_prog_reserve_fund = 0,certified_hh_mill_levy = 0,certified_override_mill_levy = 12.05,certified_abate_mill_levy = 0.397,certified_bond_mill_levy = 6.075,certified_transport_mill_levy = 0,certified_sbt_mill_levy = 0,cert_supp_cap_construction = 0,certified_other_mill_levy = 0,full_funding_mill_levy = 42.565,state_funding = 67885117.47564 WHERE district_number = '1560' AND fiscal_year = 20222023;</v>
      </c>
    </row>
    <row r="94" spans="1:28" x14ac:dyDescent="0.2">
      <c r="A94" s="441" t="s">
        <v>278</v>
      </c>
      <c r="B94" s="442" t="s">
        <v>274</v>
      </c>
      <c r="C94" s="443" t="s">
        <v>790</v>
      </c>
      <c r="D94" s="444">
        <v>624409907</v>
      </c>
      <c r="E94" s="444">
        <v>0</v>
      </c>
      <c r="F94" s="444">
        <v>624409907</v>
      </c>
      <c r="G94" s="445">
        <v>57306.74</v>
      </c>
      <c r="H94" s="446">
        <v>20.548999999999999</v>
      </c>
      <c r="I94" s="447">
        <v>0</v>
      </c>
      <c r="J94" s="443">
        <v>18.343</v>
      </c>
      <c r="K94" s="448">
        <v>0.84</v>
      </c>
      <c r="L94" s="449">
        <v>1.3660000000000001</v>
      </c>
      <c r="M94" s="448">
        <v>0</v>
      </c>
      <c r="N94" s="443">
        <v>0</v>
      </c>
      <c r="O94" s="450">
        <v>5.6059999999999999</v>
      </c>
      <c r="P94" s="448">
        <v>9.1999999999999998E-2</v>
      </c>
      <c r="Q94" s="451">
        <v>26.247</v>
      </c>
      <c r="R94" s="447">
        <v>2.7109999999999999</v>
      </c>
      <c r="S94" s="449">
        <v>0</v>
      </c>
      <c r="T94" s="449">
        <v>0</v>
      </c>
      <c r="U94" s="449">
        <v>0</v>
      </c>
      <c r="V94" s="449">
        <v>0</v>
      </c>
      <c r="W94" s="447">
        <v>28.957999999999998</v>
      </c>
      <c r="X94" s="444">
        <v>16.422000000000001</v>
      </c>
      <c r="Y94" s="444">
        <v>12228888.060000001</v>
      </c>
      <c r="Z94" s="444">
        <v>0</v>
      </c>
      <c r="AB94" s="430" t="str">
        <f t="shared" si="2"/>
        <v>UPDATE mill_levy SET cert_per_hb201418 = 20.549,cert_hb201418_tax_credit = 0,certified_catbuy_mill_levy = 0.84,cert_tot_prog_reserve_fund = 1.366,certified_hh_mill_levy = 0,certified_override_mill_levy = 5.606,certified_abate_mill_levy = 0.092,certified_bond_mill_levy = 2.711,certified_transport_mill_levy = 0,certified_sbt_mill_levy = 0,cert_supp_cap_construction = 0,certified_other_mill_levy = 0,full_funding_mill_levy = 16.422,state_funding = 0 WHERE district_number = '1570' AND fiscal_year = 20222023;</v>
      </c>
    </row>
    <row r="95" spans="1:28" x14ac:dyDescent="0.2">
      <c r="A95" s="441" t="s">
        <v>280</v>
      </c>
      <c r="B95" s="458" t="s">
        <v>130</v>
      </c>
      <c r="C95" s="459" t="s">
        <v>791</v>
      </c>
      <c r="D95" s="444">
        <v>150159520</v>
      </c>
      <c r="E95" s="444">
        <v>713734</v>
      </c>
      <c r="F95" s="444">
        <v>149445786</v>
      </c>
      <c r="G95" s="445">
        <v>0</v>
      </c>
      <c r="H95" s="446">
        <v>27</v>
      </c>
      <c r="I95" s="447">
        <v>10.573</v>
      </c>
      <c r="J95" s="443">
        <v>16.427</v>
      </c>
      <c r="K95" s="448">
        <v>0</v>
      </c>
      <c r="L95" s="449">
        <v>0</v>
      </c>
      <c r="M95" s="448">
        <v>0</v>
      </c>
      <c r="N95" s="443">
        <v>0</v>
      </c>
      <c r="O95" s="450">
        <v>0</v>
      </c>
      <c r="P95" s="448">
        <v>0</v>
      </c>
      <c r="Q95" s="451">
        <v>16.427</v>
      </c>
      <c r="R95" s="447">
        <v>3.8029999999999999</v>
      </c>
      <c r="S95" s="449">
        <v>0</v>
      </c>
      <c r="T95" s="449">
        <v>0</v>
      </c>
      <c r="U95" s="449">
        <v>0</v>
      </c>
      <c r="V95" s="449">
        <v>0</v>
      </c>
      <c r="W95" s="447">
        <v>20.23</v>
      </c>
      <c r="X95" s="444">
        <v>53.576000000000001</v>
      </c>
      <c r="Y95" s="444">
        <v>10290517.369999999</v>
      </c>
      <c r="Z95" s="444">
        <v>7430972.7533779992</v>
      </c>
      <c r="AB95" s="430" t="str">
        <f t="shared" si="2"/>
        <v>UPDATE mill_levy SET cert_per_hb201418 = 27,cert_hb201418_tax_credit = 10.573,certified_catbuy_mill_levy = 0,cert_tot_prog_reserve_fund = 0,certified_hh_mill_levy = 0,certified_override_mill_levy = 0,certified_abate_mill_levy = 0,certified_bond_mill_levy = 3.803,certified_transport_mill_levy = 0,certified_sbt_mill_levy = 0,cert_supp_cap_construction = 0,certified_other_mill_levy = 0,full_funding_mill_levy = 53.576,state_funding = 7430972.753378 WHERE district_number = '1580' AND fiscal_year = 20222023;</v>
      </c>
    </row>
    <row r="96" spans="1:28" x14ac:dyDescent="0.2">
      <c r="A96" s="441" t="s">
        <v>282</v>
      </c>
      <c r="B96" s="442" t="s">
        <v>130</v>
      </c>
      <c r="C96" s="443" t="s">
        <v>792</v>
      </c>
      <c r="D96" s="444">
        <v>92797840</v>
      </c>
      <c r="E96" s="444">
        <v>0</v>
      </c>
      <c r="F96" s="444">
        <v>92797840</v>
      </c>
      <c r="G96" s="445">
        <v>0</v>
      </c>
      <c r="H96" s="446">
        <v>4.1689999999999996</v>
      </c>
      <c r="I96" s="447">
        <v>0</v>
      </c>
      <c r="J96" s="443">
        <v>4.1689999999999996</v>
      </c>
      <c r="K96" s="448">
        <v>0</v>
      </c>
      <c r="L96" s="449">
        <v>0</v>
      </c>
      <c r="M96" s="448">
        <v>0.84799999999999998</v>
      </c>
      <c r="N96" s="443">
        <v>0</v>
      </c>
      <c r="O96" s="450">
        <v>3.7719999999999998</v>
      </c>
      <c r="P96" s="448">
        <v>0</v>
      </c>
      <c r="Q96" s="451">
        <v>8.7889999999999997</v>
      </c>
      <c r="R96" s="447">
        <v>10.130000000000001</v>
      </c>
      <c r="S96" s="449">
        <v>1.5089999999999999</v>
      </c>
      <c r="T96" s="449">
        <v>0</v>
      </c>
      <c r="U96" s="449">
        <v>0</v>
      </c>
      <c r="V96" s="449">
        <v>0</v>
      </c>
      <c r="W96" s="447">
        <v>20.428000000000001</v>
      </c>
      <c r="X96" s="444">
        <v>21.582999999999998</v>
      </c>
      <c r="Y96" s="444">
        <v>3953168.6</v>
      </c>
      <c r="Z96" s="444">
        <v>3490428.8850400001</v>
      </c>
      <c r="AB96" s="430" t="str">
        <f t="shared" si="2"/>
        <v>UPDATE mill_levy SET cert_per_hb201418 = 4.169,cert_hb201418_tax_credit = 0,certified_catbuy_mill_levy = 0,cert_tot_prog_reserve_fund = 0,certified_hh_mill_levy = 0.848,certified_override_mill_levy = 3.772,certified_abate_mill_levy = 0,certified_bond_mill_levy = 10.13,certified_transport_mill_levy = 1.509,certified_sbt_mill_levy = 0,cert_supp_cap_construction = 0,certified_other_mill_levy = 0,full_funding_mill_levy = 21.583,state_funding = 3490428.88504 WHERE district_number = '1590' AND fiscal_year = 20222023;</v>
      </c>
    </row>
    <row r="97" spans="1:28" x14ac:dyDescent="0.2">
      <c r="A97" s="441" t="s">
        <v>284</v>
      </c>
      <c r="B97" s="452" t="s">
        <v>130</v>
      </c>
      <c r="C97" s="453" t="s">
        <v>793</v>
      </c>
      <c r="D97" s="444">
        <v>54960650</v>
      </c>
      <c r="E97" s="444">
        <v>88214</v>
      </c>
      <c r="F97" s="444">
        <v>54872436</v>
      </c>
      <c r="G97" s="445">
        <v>0</v>
      </c>
      <c r="H97" s="446">
        <v>27</v>
      </c>
      <c r="I97" s="447">
        <v>0.34200000000000003</v>
      </c>
      <c r="J97" s="443">
        <v>26.658000000000001</v>
      </c>
      <c r="K97" s="448">
        <v>0</v>
      </c>
      <c r="L97" s="449">
        <v>0</v>
      </c>
      <c r="M97" s="448">
        <v>0</v>
      </c>
      <c r="N97" s="443">
        <v>0</v>
      </c>
      <c r="O97" s="450">
        <v>0</v>
      </c>
      <c r="P97" s="448">
        <v>2.8000000000000001E-2</v>
      </c>
      <c r="Q97" s="451">
        <v>26.686</v>
      </c>
      <c r="R97" s="447">
        <v>4.5</v>
      </c>
      <c r="S97" s="449">
        <v>0</v>
      </c>
      <c r="T97" s="449">
        <v>0</v>
      </c>
      <c r="U97" s="449">
        <v>0</v>
      </c>
      <c r="V97" s="449">
        <v>0</v>
      </c>
      <c r="W97" s="447">
        <v>31.186</v>
      </c>
      <c r="X97" s="444">
        <v>72.866</v>
      </c>
      <c r="Y97" s="444">
        <v>4573177.63</v>
      </c>
      <c r="Z97" s="444">
        <v>2876412.6711119995</v>
      </c>
      <c r="AB97" s="430" t="str">
        <f t="shared" si="2"/>
        <v>UPDATE mill_levy SET cert_per_hb201418 = 27,cert_hb201418_tax_credit = 0.342,certified_catbuy_mill_levy = 0,cert_tot_prog_reserve_fund = 0,certified_hh_mill_levy = 0,certified_override_mill_levy = 0,certified_abate_mill_levy = 0.028,certified_bond_mill_levy = 4.5,certified_transport_mill_levy = 0,certified_sbt_mill_levy = 0,cert_supp_cap_construction = 0,certified_other_mill_levy = 0,full_funding_mill_levy = 72.866,state_funding = 2876412.671112 WHERE district_number = '1600' AND fiscal_year = 20222023;</v>
      </c>
    </row>
    <row r="98" spans="1:28" x14ac:dyDescent="0.2">
      <c r="A98" s="441" t="s">
        <v>286</v>
      </c>
      <c r="B98" s="452" t="s">
        <v>130</v>
      </c>
      <c r="C98" s="453" t="s">
        <v>794</v>
      </c>
      <c r="D98" s="444">
        <v>48349550</v>
      </c>
      <c r="E98" s="444">
        <v>0</v>
      </c>
      <c r="F98" s="444">
        <v>48349550</v>
      </c>
      <c r="G98" s="445">
        <v>45.01</v>
      </c>
      <c r="H98" s="446">
        <v>23.288</v>
      </c>
      <c r="I98" s="447">
        <v>10.768000000000001</v>
      </c>
      <c r="J98" s="443">
        <v>12.52</v>
      </c>
      <c r="K98" s="448">
        <v>0</v>
      </c>
      <c r="L98" s="449">
        <v>0</v>
      </c>
      <c r="M98" s="448">
        <v>0.61299999999999999</v>
      </c>
      <c r="N98" s="443">
        <v>0</v>
      </c>
      <c r="O98" s="450">
        <v>0</v>
      </c>
      <c r="P98" s="448">
        <v>1E-3</v>
      </c>
      <c r="Q98" s="451">
        <v>13.134</v>
      </c>
      <c r="R98" s="447">
        <v>0</v>
      </c>
      <c r="S98" s="449">
        <v>0</v>
      </c>
      <c r="T98" s="449">
        <v>0</v>
      </c>
      <c r="U98" s="449">
        <v>0</v>
      </c>
      <c r="V98" s="449">
        <v>0</v>
      </c>
      <c r="W98" s="447">
        <v>13.134</v>
      </c>
      <c r="X98" s="444">
        <v>32.253</v>
      </c>
      <c r="Y98" s="444">
        <v>2542775.4900000002</v>
      </c>
      <c r="Z98" s="444">
        <v>1848822.7540000002</v>
      </c>
      <c r="AB98" s="430" t="str">
        <f t="shared" si="2"/>
        <v>UPDATE mill_levy SET cert_per_hb201418 = 23.288,cert_hb201418_tax_credit = 10.768,certified_catbuy_mill_levy = 0,cert_tot_prog_reserve_fund = 0,certified_hh_mill_levy = 0.613,certified_override_mill_levy = 0,certified_abate_mill_levy = 0.001,certified_bond_mill_levy = 0,certified_transport_mill_levy = 0,certified_sbt_mill_levy = 0,cert_supp_cap_construction = 0,certified_other_mill_levy = 0,full_funding_mill_levy = 32.253,state_funding = 1848822.754 WHERE district_number = '1620' AND fiscal_year = 20222023;</v>
      </c>
    </row>
    <row r="99" spans="1:28" x14ac:dyDescent="0.2">
      <c r="A99" s="441" t="s">
        <v>288</v>
      </c>
      <c r="B99" s="442" t="s">
        <v>130</v>
      </c>
      <c r="C99" s="443" t="s">
        <v>795</v>
      </c>
      <c r="D99" s="444">
        <v>19163350</v>
      </c>
      <c r="E99" s="444">
        <v>0</v>
      </c>
      <c r="F99" s="444">
        <v>19163350</v>
      </c>
      <c r="G99" s="445">
        <v>0</v>
      </c>
      <c r="H99" s="446">
        <v>21.616</v>
      </c>
      <c r="I99" s="447">
        <v>2</v>
      </c>
      <c r="J99" s="443">
        <v>19.616</v>
      </c>
      <c r="K99" s="448">
        <v>0</v>
      </c>
      <c r="L99" s="449">
        <v>0</v>
      </c>
      <c r="M99" s="448">
        <v>0</v>
      </c>
      <c r="N99" s="443">
        <v>0</v>
      </c>
      <c r="O99" s="450">
        <v>6.64</v>
      </c>
      <c r="P99" s="448">
        <v>0</v>
      </c>
      <c r="Q99" s="451">
        <v>26.256</v>
      </c>
      <c r="R99" s="447">
        <v>0</v>
      </c>
      <c r="S99" s="449">
        <v>0</v>
      </c>
      <c r="T99" s="449">
        <v>0</v>
      </c>
      <c r="U99" s="449">
        <v>0</v>
      </c>
      <c r="V99" s="449">
        <v>0</v>
      </c>
      <c r="W99" s="447">
        <v>26.256</v>
      </c>
      <c r="X99" s="444">
        <v>230.43199999999999</v>
      </c>
      <c r="Y99" s="444">
        <v>5343287.6100000003</v>
      </c>
      <c r="Z99" s="444">
        <v>4838439.4364</v>
      </c>
      <c r="AB99" s="430" t="str">
        <f t="shared" si="2"/>
        <v>UPDATE mill_levy SET cert_per_hb201418 = 21.616,cert_hb201418_tax_credit = 2,certified_catbuy_mill_levy = 0,cert_tot_prog_reserve_fund = 0,certified_hh_mill_levy = 0,certified_override_mill_levy = 6.64,certified_abate_mill_levy = 0,certified_bond_mill_levy = 0,certified_transport_mill_levy = 0,certified_sbt_mill_levy = 0,cert_supp_cap_construction = 0,certified_other_mill_levy = 0,full_funding_mill_levy = 230.432,state_funding = 4838439.4364 WHERE district_number = '1750' AND fiscal_year = 20222023;</v>
      </c>
    </row>
    <row r="100" spans="1:28" x14ac:dyDescent="0.2">
      <c r="A100" s="442" t="s">
        <v>290</v>
      </c>
      <c r="B100" s="452" t="s">
        <v>130</v>
      </c>
      <c r="C100" s="453" t="s">
        <v>796</v>
      </c>
      <c r="D100" s="444">
        <v>27526900</v>
      </c>
      <c r="E100" s="444">
        <v>0</v>
      </c>
      <c r="F100" s="444">
        <v>27526900</v>
      </c>
      <c r="G100" s="445">
        <v>0</v>
      </c>
      <c r="H100" s="446">
        <v>27</v>
      </c>
      <c r="I100" s="447">
        <v>12.021000000000001</v>
      </c>
      <c r="J100" s="443">
        <v>14.978999999999999</v>
      </c>
      <c r="K100" s="448">
        <v>0</v>
      </c>
      <c r="L100" s="449">
        <v>0</v>
      </c>
      <c r="M100" s="448">
        <v>1.03</v>
      </c>
      <c r="N100" s="443">
        <v>0</v>
      </c>
      <c r="O100" s="450">
        <v>6.2359999999999998</v>
      </c>
      <c r="P100" s="448">
        <v>0</v>
      </c>
      <c r="Q100" s="451">
        <v>22.245000000000001</v>
      </c>
      <c r="R100" s="447">
        <v>8.3550000000000004</v>
      </c>
      <c r="S100" s="449">
        <v>0</v>
      </c>
      <c r="T100" s="449">
        <v>0</v>
      </c>
      <c r="U100" s="449">
        <v>0</v>
      </c>
      <c r="V100" s="449">
        <v>0</v>
      </c>
      <c r="W100" s="447">
        <v>30.6</v>
      </c>
      <c r="X100" s="444">
        <v>37.186</v>
      </c>
      <c r="Y100" s="444">
        <v>1150499.77</v>
      </c>
      <c r="Z100" s="444">
        <v>697680.90489999996</v>
      </c>
      <c r="AB100" s="430" t="str">
        <f t="shared" si="2"/>
        <v>UPDATE mill_levy SET cert_per_hb201418 = 27,cert_hb201418_tax_credit = 12.021,certified_catbuy_mill_levy = 0,cert_tot_prog_reserve_fund = 0,certified_hh_mill_levy = 1.03,certified_override_mill_levy = 6.236,certified_abate_mill_levy = 0,certified_bond_mill_levy = 8.355,certified_transport_mill_levy = 0,certified_sbt_mill_levy = 0,cert_supp_cap_construction = 0,certified_other_mill_levy = 0,full_funding_mill_levy = 37.186,state_funding = 697680.9049 WHERE district_number = '1760' AND fiscal_year = 20222023;</v>
      </c>
    </row>
    <row r="101" spans="1:28" x14ac:dyDescent="0.2">
      <c r="A101" s="441" t="s">
        <v>292</v>
      </c>
      <c r="B101" s="442" t="s">
        <v>293</v>
      </c>
      <c r="C101" s="443" t="s">
        <v>797</v>
      </c>
      <c r="D101" s="444">
        <v>68373837</v>
      </c>
      <c r="E101" s="444">
        <v>0</v>
      </c>
      <c r="F101" s="444">
        <v>68373837</v>
      </c>
      <c r="G101" s="445">
        <v>0</v>
      </c>
      <c r="H101" s="446">
        <v>17.379000000000001</v>
      </c>
      <c r="I101" s="447">
        <v>0</v>
      </c>
      <c r="J101" s="443">
        <v>17.379000000000001</v>
      </c>
      <c r="K101" s="448">
        <v>0</v>
      </c>
      <c r="L101" s="449">
        <v>0</v>
      </c>
      <c r="M101" s="448">
        <v>0</v>
      </c>
      <c r="N101" s="443">
        <v>0</v>
      </c>
      <c r="O101" s="450">
        <v>0</v>
      </c>
      <c r="P101" s="448">
        <v>0</v>
      </c>
      <c r="Q101" s="451">
        <v>17.379000000000001</v>
      </c>
      <c r="R101" s="447">
        <v>7.2679999999999998</v>
      </c>
      <c r="S101" s="449">
        <v>0</v>
      </c>
      <c r="T101" s="449">
        <v>0</v>
      </c>
      <c r="U101" s="449">
        <v>0</v>
      </c>
      <c r="V101" s="449">
        <v>0</v>
      </c>
      <c r="W101" s="447">
        <v>24.646999999999998</v>
      </c>
      <c r="X101" s="444">
        <v>41.472000000000001</v>
      </c>
      <c r="Y101" s="444">
        <v>3782476.84</v>
      </c>
      <c r="Z101" s="444">
        <v>2422906.5167769995</v>
      </c>
      <c r="AB101" s="430" t="str">
        <f t="shared" si="2"/>
        <v>UPDATE mill_levy SET cert_per_hb201418 = 17.379,cert_hb201418_tax_credit = 0,certified_catbuy_mill_levy = 0,cert_tot_prog_reserve_fund = 0,certified_hh_mill_levy = 0,certified_override_mill_levy = 0,certified_abate_mill_levy = 0,certified_bond_mill_levy = 7.268,certified_transport_mill_levy = 0,certified_sbt_mill_levy = 0,cert_supp_cap_construction = 0,certified_other_mill_levy = 0,full_funding_mill_levy = 41.472,state_funding = 2422906.516777 WHERE district_number = '1780' AND fiscal_year = 20222023;</v>
      </c>
    </row>
    <row r="102" spans="1:28" x14ac:dyDescent="0.2">
      <c r="A102" s="441" t="s">
        <v>295</v>
      </c>
      <c r="B102" s="442" t="s">
        <v>293</v>
      </c>
      <c r="C102" s="443" t="s">
        <v>798</v>
      </c>
      <c r="D102" s="444">
        <v>82443696</v>
      </c>
      <c r="E102" s="444">
        <v>0</v>
      </c>
      <c r="F102" s="444">
        <v>82443696</v>
      </c>
      <c r="G102" s="445">
        <v>12779</v>
      </c>
      <c r="H102" s="446">
        <v>27</v>
      </c>
      <c r="I102" s="447">
        <v>1.1759999999999999</v>
      </c>
      <c r="J102" s="443">
        <v>25.824000000000002</v>
      </c>
      <c r="K102" s="448">
        <v>0</v>
      </c>
      <c r="L102" s="449">
        <v>0</v>
      </c>
      <c r="M102" s="448">
        <v>0</v>
      </c>
      <c r="N102" s="443">
        <v>0</v>
      </c>
      <c r="O102" s="450">
        <v>0</v>
      </c>
      <c r="P102" s="448">
        <v>0.155</v>
      </c>
      <c r="Q102" s="451">
        <v>25.978999999999999</v>
      </c>
      <c r="R102" s="447">
        <v>6.5110000000000001</v>
      </c>
      <c r="S102" s="449">
        <v>0</v>
      </c>
      <c r="T102" s="449">
        <v>0</v>
      </c>
      <c r="U102" s="449">
        <v>0</v>
      </c>
      <c r="V102" s="449">
        <v>0</v>
      </c>
      <c r="W102" s="447">
        <v>32.49</v>
      </c>
      <c r="X102" s="444">
        <v>61.860999999999997</v>
      </c>
      <c r="Y102" s="444">
        <v>6011029.8600000003</v>
      </c>
      <c r="Z102" s="444">
        <v>3652280.6644960004</v>
      </c>
      <c r="AB102" s="430" t="str">
        <f t="shared" si="2"/>
        <v>UPDATE mill_levy SET cert_per_hb201418 = 27,cert_hb201418_tax_credit = 1.176,certified_catbuy_mill_levy = 0,cert_tot_prog_reserve_fund = 0,certified_hh_mill_levy = 0,certified_override_mill_levy = 0,certified_abate_mill_levy = 0.155,certified_bond_mill_levy = 6.511,certified_transport_mill_levy = 0,certified_sbt_mill_levy = 0,cert_supp_cap_construction = 0,certified_other_mill_levy = 0,full_funding_mill_levy = 61.861,state_funding = 3652280.664496 WHERE district_number = '1790' AND fiscal_year = 20222023;</v>
      </c>
    </row>
    <row r="103" spans="1:28" x14ac:dyDescent="0.2">
      <c r="A103" s="441" t="s">
        <v>297</v>
      </c>
      <c r="B103" s="442" t="s">
        <v>293</v>
      </c>
      <c r="C103" s="443" t="s">
        <v>799</v>
      </c>
      <c r="D103" s="444">
        <v>6308435</v>
      </c>
      <c r="E103" s="444">
        <v>0</v>
      </c>
      <c r="F103" s="444">
        <v>6308435</v>
      </c>
      <c r="G103" s="445">
        <v>127.5</v>
      </c>
      <c r="H103" s="446">
        <v>27</v>
      </c>
      <c r="I103" s="447">
        <v>0</v>
      </c>
      <c r="J103" s="443">
        <v>27</v>
      </c>
      <c r="K103" s="448">
        <v>0</v>
      </c>
      <c r="L103" s="449">
        <v>0</v>
      </c>
      <c r="M103" s="448">
        <v>0</v>
      </c>
      <c r="N103" s="443">
        <v>0</v>
      </c>
      <c r="O103" s="450">
        <v>0</v>
      </c>
      <c r="P103" s="448">
        <v>0</v>
      </c>
      <c r="Q103" s="451">
        <v>27</v>
      </c>
      <c r="R103" s="447">
        <v>0</v>
      </c>
      <c r="S103" s="449">
        <v>0</v>
      </c>
      <c r="T103" s="449">
        <v>0</v>
      </c>
      <c r="U103" s="449">
        <v>0</v>
      </c>
      <c r="V103" s="449">
        <v>0</v>
      </c>
      <c r="W103" s="447">
        <v>27</v>
      </c>
      <c r="X103" s="444">
        <v>163.48599999999999</v>
      </c>
      <c r="Y103" s="444">
        <v>1235986.58</v>
      </c>
      <c r="Z103" s="444">
        <v>1045301.5449999999</v>
      </c>
      <c r="AB103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163.486,state_funding = 1045301.545 WHERE district_number = '1810' AND fiscal_year = 20222023;</v>
      </c>
    </row>
    <row r="104" spans="1:28" x14ac:dyDescent="0.2">
      <c r="A104" s="441" t="s">
        <v>299</v>
      </c>
      <c r="B104" s="452" t="s">
        <v>300</v>
      </c>
      <c r="C104" s="453" t="s">
        <v>800</v>
      </c>
      <c r="D104" s="444">
        <v>238705862</v>
      </c>
      <c r="E104" s="444">
        <v>7120873</v>
      </c>
      <c r="F104" s="444">
        <v>231584989</v>
      </c>
      <c r="G104" s="445">
        <v>0</v>
      </c>
      <c r="H104" s="446">
        <v>27</v>
      </c>
      <c r="I104" s="447">
        <v>0</v>
      </c>
      <c r="J104" s="443">
        <v>27</v>
      </c>
      <c r="K104" s="448">
        <v>0</v>
      </c>
      <c r="L104" s="449">
        <v>0</v>
      </c>
      <c r="M104" s="448">
        <v>0</v>
      </c>
      <c r="N104" s="443">
        <v>0</v>
      </c>
      <c r="O104" s="450">
        <v>2.1589999999999998</v>
      </c>
      <c r="P104" s="448">
        <v>0</v>
      </c>
      <c r="Q104" s="451">
        <v>29.158999999999999</v>
      </c>
      <c r="R104" s="447">
        <v>1.6779999999999999</v>
      </c>
      <c r="S104" s="449">
        <v>0</v>
      </c>
      <c r="T104" s="449">
        <v>0</v>
      </c>
      <c r="U104" s="449">
        <v>0</v>
      </c>
      <c r="V104" s="449">
        <v>0</v>
      </c>
      <c r="W104" s="447">
        <v>30.837</v>
      </c>
      <c r="X104" s="444">
        <v>80.578000000000003</v>
      </c>
      <c r="Y104" s="444">
        <v>21037092.25</v>
      </c>
      <c r="Z104" s="444">
        <v>14047467.484000001</v>
      </c>
      <c r="AB104" s="430" t="str">
        <f t="shared" si="2"/>
        <v>UPDATE mill_levy SET cert_per_hb201418 = 27,cert_hb201418_tax_credit = 0,certified_catbuy_mill_levy = 0,cert_tot_prog_reserve_fund = 0,certified_hh_mill_levy = 0,certified_override_mill_levy = 2.159,certified_abate_mill_levy = 0,certified_bond_mill_levy = 1.678,certified_transport_mill_levy = 0,certified_sbt_mill_levy = 0,cert_supp_cap_construction = 0,certified_other_mill_levy = 0,full_funding_mill_levy = 80.578,state_funding = 14047467.484 WHERE district_number = '1828' AND fiscal_year = 20222023;</v>
      </c>
    </row>
    <row r="105" spans="1:28" x14ac:dyDescent="0.2">
      <c r="A105" s="441" t="s">
        <v>302</v>
      </c>
      <c r="B105" s="442" t="s">
        <v>300</v>
      </c>
      <c r="C105" s="443" t="s">
        <v>801</v>
      </c>
      <c r="D105" s="444">
        <v>47855465</v>
      </c>
      <c r="E105" s="444">
        <v>0</v>
      </c>
      <c r="F105" s="444">
        <v>47855465</v>
      </c>
      <c r="G105" s="445">
        <v>0</v>
      </c>
      <c r="H105" s="446">
        <v>27</v>
      </c>
      <c r="I105" s="447">
        <v>0</v>
      </c>
      <c r="J105" s="443">
        <v>27</v>
      </c>
      <c r="K105" s="448">
        <v>0</v>
      </c>
      <c r="L105" s="449">
        <v>0</v>
      </c>
      <c r="M105" s="448">
        <v>0.38900000000000001</v>
      </c>
      <c r="N105" s="443">
        <v>0</v>
      </c>
      <c r="O105" s="450">
        <v>0.752</v>
      </c>
      <c r="P105" s="448">
        <v>0</v>
      </c>
      <c r="Q105" s="451">
        <v>28.140999999999998</v>
      </c>
      <c r="R105" s="447">
        <v>0</v>
      </c>
      <c r="S105" s="449">
        <v>0</v>
      </c>
      <c r="T105" s="449">
        <v>0</v>
      </c>
      <c r="U105" s="449">
        <v>0</v>
      </c>
      <c r="V105" s="449">
        <v>0</v>
      </c>
      <c r="W105" s="447">
        <v>28.140999999999998</v>
      </c>
      <c r="X105" s="444">
        <v>68.177999999999997</v>
      </c>
      <c r="Y105" s="444">
        <v>3640090.14</v>
      </c>
      <c r="Z105" s="444">
        <v>2191490.3050000002</v>
      </c>
      <c r="AB105" s="430" t="str">
        <f t="shared" si="2"/>
        <v>UPDATE mill_levy SET cert_per_hb201418 = 27,cert_hb201418_tax_credit = 0,certified_catbuy_mill_levy = 0,cert_tot_prog_reserve_fund = 0,certified_hh_mill_levy = 0.389,certified_override_mill_levy = 0.752,certified_abate_mill_levy = 0,certified_bond_mill_levy = 0,certified_transport_mill_levy = 0,certified_sbt_mill_levy = 0,cert_supp_cap_construction = 0,certified_other_mill_levy = 0,full_funding_mill_levy = 68.178,state_funding = 2191490.305 WHERE district_number = '1850' AND fiscal_year = 20222023;</v>
      </c>
    </row>
    <row r="106" spans="1:28" x14ac:dyDescent="0.2">
      <c r="A106" s="441" t="s">
        <v>304</v>
      </c>
      <c r="B106" s="442" t="s">
        <v>300</v>
      </c>
      <c r="C106" s="443" t="s">
        <v>802</v>
      </c>
      <c r="D106" s="444">
        <v>45104482</v>
      </c>
      <c r="E106" s="444">
        <v>0</v>
      </c>
      <c r="F106" s="444">
        <v>45104482</v>
      </c>
      <c r="G106" s="445">
        <v>521</v>
      </c>
      <c r="H106" s="446">
        <v>27</v>
      </c>
      <c r="I106" s="447">
        <v>0</v>
      </c>
      <c r="J106" s="443">
        <v>27</v>
      </c>
      <c r="K106" s="448">
        <v>0</v>
      </c>
      <c r="L106" s="449">
        <v>0</v>
      </c>
      <c r="M106" s="448">
        <v>0</v>
      </c>
      <c r="N106" s="443">
        <v>0</v>
      </c>
      <c r="O106" s="450">
        <v>0</v>
      </c>
      <c r="P106" s="448">
        <v>1.2E-2</v>
      </c>
      <c r="Q106" s="451">
        <v>27.012</v>
      </c>
      <c r="R106" s="447">
        <v>3.6139999999999999</v>
      </c>
      <c r="S106" s="449">
        <v>0</v>
      </c>
      <c r="T106" s="449">
        <v>0</v>
      </c>
      <c r="U106" s="449">
        <v>0</v>
      </c>
      <c r="V106" s="449">
        <v>0</v>
      </c>
      <c r="W106" s="447">
        <v>30.626000000000001</v>
      </c>
      <c r="X106" s="444">
        <v>101.714</v>
      </c>
      <c r="Y106" s="444">
        <v>4813007.74</v>
      </c>
      <c r="Z106" s="444">
        <v>3474709.6760000004</v>
      </c>
      <c r="AB106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0.012,certified_bond_mill_levy = 3.614,certified_transport_mill_levy = 0,certified_sbt_mill_levy = 0,cert_supp_cap_construction = 0,certified_other_mill_levy = 0,full_funding_mill_levy = 101.714,state_funding = 3474709.676 WHERE district_number = '1860' AND fiscal_year = 20222023;</v>
      </c>
    </row>
    <row r="107" spans="1:28" x14ac:dyDescent="0.2">
      <c r="A107" s="441" t="s">
        <v>306</v>
      </c>
      <c r="B107" s="442" t="s">
        <v>300</v>
      </c>
      <c r="C107" s="443" t="s">
        <v>803</v>
      </c>
      <c r="D107" s="444">
        <v>55617069</v>
      </c>
      <c r="E107" s="444">
        <v>0</v>
      </c>
      <c r="F107" s="444">
        <v>55617069</v>
      </c>
      <c r="G107" s="445">
        <v>0</v>
      </c>
      <c r="H107" s="446">
        <v>25.81</v>
      </c>
      <c r="I107" s="447">
        <v>4.3920000000000003</v>
      </c>
      <c r="J107" s="443">
        <v>21.417999999999999</v>
      </c>
      <c r="K107" s="448">
        <v>0</v>
      </c>
      <c r="L107" s="449">
        <v>0</v>
      </c>
      <c r="M107" s="448">
        <v>0</v>
      </c>
      <c r="N107" s="443">
        <v>0</v>
      </c>
      <c r="O107" s="450">
        <v>8.016</v>
      </c>
      <c r="P107" s="448">
        <v>0</v>
      </c>
      <c r="Q107" s="451">
        <v>29.434000000000001</v>
      </c>
      <c r="R107" s="447">
        <v>15.526999999999999</v>
      </c>
      <c r="S107" s="449">
        <v>0</v>
      </c>
      <c r="T107" s="449">
        <v>0</v>
      </c>
      <c r="U107" s="449">
        <v>0</v>
      </c>
      <c r="V107" s="449">
        <v>0</v>
      </c>
      <c r="W107" s="447">
        <v>44.960999999999999</v>
      </c>
      <c r="X107" s="444">
        <v>49.594000000000001</v>
      </c>
      <c r="Y107" s="444">
        <v>3466523.54</v>
      </c>
      <c r="Z107" s="444">
        <v>2122775.7861580001</v>
      </c>
      <c r="AB107" s="430" t="str">
        <f t="shared" si="2"/>
        <v>UPDATE mill_levy SET cert_per_hb201418 = 25.81,cert_hb201418_tax_credit = 4.392,certified_catbuy_mill_levy = 0,cert_tot_prog_reserve_fund = 0,certified_hh_mill_levy = 0,certified_override_mill_levy = 8.016,certified_abate_mill_levy = 0,certified_bond_mill_levy = 15.527,certified_transport_mill_levy = 0,certified_sbt_mill_levy = 0,cert_supp_cap_construction = 0,certified_other_mill_levy = 0,full_funding_mill_levy = 49.594,state_funding = 2122775.786158 WHERE district_number = '1870' AND fiscal_year = 20222023;</v>
      </c>
    </row>
    <row r="108" spans="1:28" x14ac:dyDescent="0.2">
      <c r="A108" s="455" t="s">
        <v>308</v>
      </c>
      <c r="B108" s="452" t="s">
        <v>309</v>
      </c>
      <c r="C108" s="453" t="s">
        <v>804</v>
      </c>
      <c r="D108" s="444">
        <v>281338760</v>
      </c>
      <c r="E108" s="444">
        <v>0</v>
      </c>
      <c r="F108" s="444">
        <v>281338760</v>
      </c>
      <c r="G108" s="445">
        <v>266.39</v>
      </c>
      <c r="H108" s="446">
        <v>3.43</v>
      </c>
      <c r="I108" s="447">
        <v>0</v>
      </c>
      <c r="J108" s="443">
        <v>3.43</v>
      </c>
      <c r="K108" s="448">
        <v>0</v>
      </c>
      <c r="L108" s="449">
        <v>0</v>
      </c>
      <c r="M108" s="448">
        <v>1.9E-2</v>
      </c>
      <c r="N108" s="443">
        <v>0</v>
      </c>
      <c r="O108" s="450">
        <v>0</v>
      </c>
      <c r="P108" s="448">
        <v>1E-3</v>
      </c>
      <c r="Q108" s="451">
        <v>3.45</v>
      </c>
      <c r="R108" s="447">
        <v>3.9350000000000001</v>
      </c>
      <c r="S108" s="449">
        <v>0</v>
      </c>
      <c r="T108" s="449">
        <v>0</v>
      </c>
      <c r="U108" s="449">
        <v>0</v>
      </c>
      <c r="V108" s="449">
        <v>0</v>
      </c>
      <c r="W108" s="447">
        <v>7.3849999999999998</v>
      </c>
      <c r="X108" s="444">
        <v>6.8719999999999999</v>
      </c>
      <c r="Y108" s="444">
        <v>3447891.21</v>
      </c>
      <c r="Z108" s="444">
        <v>2398123.1231999998</v>
      </c>
      <c r="AB108" s="430" t="str">
        <f t="shared" si="2"/>
        <v>UPDATE mill_levy SET cert_per_hb201418 = 3.43,cert_hb201418_tax_credit = 0,certified_catbuy_mill_levy = 0,cert_tot_prog_reserve_fund = 0,certified_hh_mill_levy = 0.019,certified_override_mill_levy = 0,certified_abate_mill_levy = 0.001,certified_bond_mill_levy = 3.935,certified_transport_mill_levy = 0,certified_sbt_mill_levy = 0,cert_supp_cap_construction = 0,certified_other_mill_levy = 0,full_funding_mill_levy = 6.872,state_funding = 2398123.1232 WHERE district_number = '1980' AND fiscal_year = 20222023;</v>
      </c>
    </row>
    <row r="109" spans="1:28" x14ac:dyDescent="0.2">
      <c r="A109" s="441" t="s">
        <v>311</v>
      </c>
      <c r="B109" s="452" t="s">
        <v>309</v>
      </c>
      <c r="C109" s="453" t="s">
        <v>805</v>
      </c>
      <c r="D109" s="444">
        <v>172286690</v>
      </c>
      <c r="E109" s="444">
        <v>0</v>
      </c>
      <c r="F109" s="444">
        <v>172286690</v>
      </c>
      <c r="G109" s="445">
        <v>4551</v>
      </c>
      <c r="H109" s="446">
        <v>11.895</v>
      </c>
      <c r="I109" s="447">
        <v>0</v>
      </c>
      <c r="J109" s="443">
        <v>11.895</v>
      </c>
      <c r="K109" s="448">
        <v>0</v>
      </c>
      <c r="L109" s="449">
        <v>0</v>
      </c>
      <c r="M109" s="448">
        <v>0</v>
      </c>
      <c r="N109" s="443">
        <v>0</v>
      </c>
      <c r="O109" s="450">
        <v>2.0329999999999999</v>
      </c>
      <c r="P109" s="448">
        <v>0</v>
      </c>
      <c r="Q109" s="451">
        <v>13.928000000000001</v>
      </c>
      <c r="R109" s="447">
        <v>16.399000000000001</v>
      </c>
      <c r="S109" s="449">
        <v>2.5999999999999999E-2</v>
      </c>
      <c r="T109" s="449">
        <v>0</v>
      </c>
      <c r="U109" s="449">
        <v>0</v>
      </c>
      <c r="V109" s="449">
        <v>0</v>
      </c>
      <c r="W109" s="447">
        <v>30.353000000000002</v>
      </c>
      <c r="X109" s="444">
        <v>18.114000000000001</v>
      </c>
      <c r="Y109" s="444">
        <v>4625129.34</v>
      </c>
      <c r="Z109" s="444">
        <v>2352112.5224499996</v>
      </c>
      <c r="AB109" s="430" t="str">
        <f t="shared" si="2"/>
        <v>UPDATE mill_levy SET cert_per_hb201418 = 11.895,cert_hb201418_tax_credit = 0,certified_catbuy_mill_levy = 0,cert_tot_prog_reserve_fund = 0,certified_hh_mill_levy = 0,certified_override_mill_levy = 2.033,certified_abate_mill_levy = 0,certified_bond_mill_levy = 16.399,certified_transport_mill_levy = 0.026,certified_sbt_mill_levy = 0,cert_supp_cap_construction = 0,certified_other_mill_levy = 0,full_funding_mill_levy = 18.114,state_funding = 2352112.52245 WHERE district_number = '1990' AND fiscal_year = 20222023;</v>
      </c>
    </row>
    <row r="110" spans="1:28" x14ac:dyDescent="0.2">
      <c r="A110" s="441" t="s">
        <v>313</v>
      </c>
      <c r="B110" s="442" t="s">
        <v>309</v>
      </c>
      <c r="C110" s="443" t="s">
        <v>806</v>
      </c>
      <c r="D110" s="444">
        <v>2551429310</v>
      </c>
      <c r="E110" s="444">
        <v>33392960</v>
      </c>
      <c r="F110" s="444">
        <v>2518036350</v>
      </c>
      <c r="G110" s="445">
        <v>221222.31</v>
      </c>
      <c r="H110" s="446">
        <v>27</v>
      </c>
      <c r="I110" s="447">
        <v>0</v>
      </c>
      <c r="J110" s="443">
        <v>27</v>
      </c>
      <c r="K110" s="448">
        <v>0</v>
      </c>
      <c r="L110" s="449">
        <v>0</v>
      </c>
      <c r="M110" s="448">
        <v>0</v>
      </c>
      <c r="N110" s="443">
        <v>0</v>
      </c>
      <c r="O110" s="450">
        <v>6.6639999999999997</v>
      </c>
      <c r="P110" s="448">
        <v>8.7999999999999995E-2</v>
      </c>
      <c r="Q110" s="451">
        <v>33.752000000000002</v>
      </c>
      <c r="R110" s="447">
        <v>11.324999999999999</v>
      </c>
      <c r="S110" s="449">
        <v>0</v>
      </c>
      <c r="T110" s="449">
        <v>0</v>
      </c>
      <c r="U110" s="449">
        <v>0</v>
      </c>
      <c r="V110" s="449">
        <v>0</v>
      </c>
      <c r="W110" s="447">
        <v>45.076999999999998</v>
      </c>
      <c r="X110" s="444">
        <v>80.358000000000004</v>
      </c>
      <c r="Y110" s="444">
        <v>229068180.63999999</v>
      </c>
      <c r="Z110" s="444">
        <v>153380837.16</v>
      </c>
      <c r="AB110" s="430" t="str">
        <f t="shared" si="2"/>
        <v>UPDATE mill_levy SET cert_per_hb201418 = 27,cert_hb201418_tax_credit = 0,certified_catbuy_mill_levy = 0,cert_tot_prog_reserve_fund = 0,certified_hh_mill_levy = 0,certified_override_mill_levy = 6.664,certified_abate_mill_levy = 0.088,certified_bond_mill_levy = 11.325,certified_transport_mill_levy = 0,certified_sbt_mill_levy = 0,cert_supp_cap_construction = 0,certified_other_mill_levy = 0,full_funding_mill_levy = 80.358,state_funding = 153380837.16 WHERE district_number = '2000' AND fiscal_year = 20222023;</v>
      </c>
    </row>
    <row r="111" spans="1:28" x14ac:dyDescent="0.2">
      <c r="A111" s="441" t="s">
        <v>315</v>
      </c>
      <c r="B111" s="452" t="s">
        <v>316</v>
      </c>
      <c r="C111" s="453" t="s">
        <v>807</v>
      </c>
      <c r="D111" s="444">
        <v>55752049</v>
      </c>
      <c r="E111" s="444">
        <v>0</v>
      </c>
      <c r="F111" s="444">
        <v>55752049</v>
      </c>
      <c r="G111" s="445">
        <v>0</v>
      </c>
      <c r="H111" s="446">
        <v>27</v>
      </c>
      <c r="I111" s="447">
        <v>2.5470000000000002</v>
      </c>
      <c r="J111" s="443">
        <v>24.452999999999999</v>
      </c>
      <c r="K111" s="448">
        <v>0</v>
      </c>
      <c r="L111" s="449">
        <v>0</v>
      </c>
      <c r="M111" s="448">
        <v>0</v>
      </c>
      <c r="N111" s="443">
        <v>0</v>
      </c>
      <c r="O111" s="450">
        <v>1.256</v>
      </c>
      <c r="P111" s="448">
        <v>0</v>
      </c>
      <c r="Q111" s="451">
        <v>25.709</v>
      </c>
      <c r="R111" s="447">
        <v>9.327</v>
      </c>
      <c r="S111" s="449">
        <v>0</v>
      </c>
      <c r="T111" s="449">
        <v>0</v>
      </c>
      <c r="U111" s="449">
        <v>0</v>
      </c>
      <c r="V111" s="449">
        <v>0</v>
      </c>
      <c r="W111" s="447">
        <v>35.036000000000001</v>
      </c>
      <c r="X111" s="444">
        <v>30.478999999999999</v>
      </c>
      <c r="Y111" s="444">
        <v>2221460.09</v>
      </c>
      <c r="Z111" s="444">
        <v>720011.47580299969</v>
      </c>
      <c r="AB111" s="430" t="str">
        <f t="shared" si="2"/>
        <v>UPDATE mill_levy SET cert_per_hb201418 = 27,cert_hb201418_tax_credit = 2.547,certified_catbuy_mill_levy = 0,cert_tot_prog_reserve_fund = 0,certified_hh_mill_levy = 0,certified_override_mill_levy = 1.256,certified_abate_mill_levy = 0,certified_bond_mill_levy = 9.327,certified_transport_mill_levy = 0,certified_sbt_mill_levy = 0,cert_supp_cap_construction = 0,certified_other_mill_levy = 0,full_funding_mill_levy = 30.479,state_funding = 720011.475803 WHERE district_number = '2010' AND fiscal_year = 20222023;</v>
      </c>
    </row>
    <row r="112" spans="1:28" x14ac:dyDescent="0.2">
      <c r="A112" s="441" t="s">
        <v>318</v>
      </c>
      <c r="B112" s="442" t="s">
        <v>319</v>
      </c>
      <c r="C112" s="443" t="s">
        <v>808</v>
      </c>
      <c r="D112" s="444">
        <v>398574697</v>
      </c>
      <c r="E112" s="444">
        <v>0</v>
      </c>
      <c r="F112" s="444">
        <v>398574697</v>
      </c>
      <c r="G112" s="445">
        <v>87228</v>
      </c>
      <c r="H112" s="446">
        <v>27</v>
      </c>
      <c r="I112" s="447">
        <v>2.484</v>
      </c>
      <c r="J112" s="443">
        <v>24.515999999999998</v>
      </c>
      <c r="K112" s="448">
        <v>0</v>
      </c>
      <c r="L112" s="449">
        <v>0</v>
      </c>
      <c r="M112" s="448">
        <v>0.69699999999999995</v>
      </c>
      <c r="N112" s="443">
        <v>0</v>
      </c>
      <c r="O112" s="450">
        <v>4.7670000000000003</v>
      </c>
      <c r="P112" s="448">
        <v>0.219</v>
      </c>
      <c r="Q112" s="451">
        <v>30.199000000000002</v>
      </c>
      <c r="R112" s="447">
        <v>6.5270000000000001</v>
      </c>
      <c r="S112" s="449">
        <v>0</v>
      </c>
      <c r="T112" s="449">
        <v>0</v>
      </c>
      <c r="U112" s="449">
        <v>0</v>
      </c>
      <c r="V112" s="449">
        <v>0</v>
      </c>
      <c r="W112" s="447">
        <v>36.725999999999999</v>
      </c>
      <c r="X112" s="444">
        <v>44.606999999999999</v>
      </c>
      <c r="Y112" s="444">
        <v>20691068.239999998</v>
      </c>
      <c r="Z112" s="444">
        <v>9974630.8879479989</v>
      </c>
      <c r="AB112" s="430" t="str">
        <f t="shared" si="2"/>
        <v>UPDATE mill_levy SET cert_per_hb201418 = 27,cert_hb201418_tax_credit = 2.484,certified_catbuy_mill_levy = 0,cert_tot_prog_reserve_fund = 0,certified_hh_mill_levy = 0.697,certified_override_mill_levy = 4.767,certified_abate_mill_levy = 0.219,certified_bond_mill_levy = 6.527,certified_transport_mill_levy = 0,certified_sbt_mill_levy = 0,cert_supp_cap_construction = 0,certified_other_mill_levy = 0,full_funding_mill_levy = 44.607,state_funding = 9974630.887948 WHERE district_number = '2020' AND fiscal_year = 20222023;</v>
      </c>
    </row>
    <row r="113" spans="1:28" x14ac:dyDescent="0.2">
      <c r="A113" s="442" t="s">
        <v>320</v>
      </c>
      <c r="B113" s="452" t="s">
        <v>321</v>
      </c>
      <c r="C113" s="453" t="s">
        <v>809</v>
      </c>
      <c r="D113" s="444">
        <v>527599700</v>
      </c>
      <c r="E113" s="444">
        <v>0</v>
      </c>
      <c r="F113" s="444">
        <v>527599700</v>
      </c>
      <c r="G113" s="445">
        <v>14975.68</v>
      </c>
      <c r="H113" s="446">
        <v>27</v>
      </c>
      <c r="I113" s="447">
        <v>4.1550000000000002</v>
      </c>
      <c r="J113" s="443">
        <v>22.844999999999999</v>
      </c>
      <c r="K113" s="448">
        <v>0</v>
      </c>
      <c r="L113" s="449">
        <v>0</v>
      </c>
      <c r="M113" s="448">
        <v>0</v>
      </c>
      <c r="N113" s="443">
        <v>0</v>
      </c>
      <c r="O113" s="450">
        <v>3.9</v>
      </c>
      <c r="P113" s="448">
        <v>0</v>
      </c>
      <c r="Q113" s="451">
        <v>22.844999999999999</v>
      </c>
      <c r="R113" s="447">
        <v>0</v>
      </c>
      <c r="S113" s="449">
        <v>0</v>
      </c>
      <c r="T113" s="449">
        <v>0</v>
      </c>
      <c r="U113" s="449">
        <v>0</v>
      </c>
      <c r="V113" s="449">
        <v>0</v>
      </c>
      <c r="W113" s="447">
        <v>22.844999999999999</v>
      </c>
      <c r="X113" s="444">
        <v>40.494999999999997</v>
      </c>
      <c r="Y113" s="444">
        <v>27665173.870000001</v>
      </c>
      <c r="Z113" s="444">
        <v>14336182.533500001</v>
      </c>
      <c r="AB113" s="430" t="str">
        <f t="shared" si="2"/>
        <v>UPDATE mill_levy SET cert_per_hb201418 = 27,cert_hb201418_tax_credit = 4.155,certified_catbuy_mill_levy = 0,cert_tot_prog_reserve_fund = 0,certified_hh_mill_levy = 0,certified_override_mill_levy = 3.9,certified_abate_mill_levy = 0,certified_bond_mill_levy = 0,certified_transport_mill_levy = 0,certified_sbt_mill_levy = 0,cert_supp_cap_construction = 0,certified_other_mill_levy = 0,full_funding_mill_levy = 40.495,state_funding = 14336182.5335 WHERE district_number = '2035' AND fiscal_year = 20222023;</v>
      </c>
    </row>
    <row r="114" spans="1:28" x14ac:dyDescent="0.2">
      <c r="A114" s="442" t="s">
        <v>322</v>
      </c>
      <c r="B114" s="442" t="s">
        <v>321</v>
      </c>
      <c r="C114" s="443" t="s">
        <v>810</v>
      </c>
      <c r="D114" s="444">
        <v>63614070</v>
      </c>
      <c r="E114" s="444">
        <v>0</v>
      </c>
      <c r="F114" s="444">
        <v>63614070</v>
      </c>
      <c r="G114" s="445">
        <v>6542</v>
      </c>
      <c r="H114" s="446">
        <v>27</v>
      </c>
      <c r="I114" s="447">
        <v>2.117</v>
      </c>
      <c r="J114" s="443">
        <v>24.882999999999999</v>
      </c>
      <c r="K114" s="448">
        <v>0</v>
      </c>
      <c r="L114" s="449">
        <v>0</v>
      </c>
      <c r="M114" s="448">
        <v>0</v>
      </c>
      <c r="N114" s="443">
        <v>0</v>
      </c>
      <c r="O114" s="450">
        <v>5.6589999999999998</v>
      </c>
      <c r="P114" s="448">
        <v>0.10299999999999999</v>
      </c>
      <c r="Q114" s="451">
        <v>30.645</v>
      </c>
      <c r="R114" s="447">
        <v>3.694</v>
      </c>
      <c r="S114" s="449">
        <v>0</v>
      </c>
      <c r="T114" s="449">
        <v>0</v>
      </c>
      <c r="U114" s="449">
        <v>0</v>
      </c>
      <c r="V114" s="449">
        <v>0</v>
      </c>
      <c r="W114" s="447">
        <v>34.338999999999999</v>
      </c>
      <c r="X114" s="444">
        <v>106.806</v>
      </c>
      <c r="Y114" s="444">
        <v>8087813.1299999999</v>
      </c>
      <c r="Z114" s="444">
        <v>6346308.0161899999</v>
      </c>
      <c r="AB114" s="430" t="str">
        <f t="shared" si="2"/>
        <v>UPDATE mill_levy SET cert_per_hb201418 = 27,cert_hb201418_tax_credit = 2.117,certified_catbuy_mill_levy = 0,cert_tot_prog_reserve_fund = 0,certified_hh_mill_levy = 0,certified_override_mill_levy = 5.659,certified_abate_mill_levy = 0.103,certified_bond_mill_levy = 3.694,certified_transport_mill_levy = 0,certified_sbt_mill_levy = 0,cert_supp_cap_construction = 0,certified_other_mill_levy = 0,full_funding_mill_levy = 106.806,state_funding = 6346308.01619 WHERE district_number = '2055' AND fiscal_year = 20222023;</v>
      </c>
    </row>
    <row r="115" spans="1:28" x14ac:dyDescent="0.2">
      <c r="A115" s="442" t="s">
        <v>323</v>
      </c>
      <c r="B115" s="442" t="s">
        <v>321</v>
      </c>
      <c r="C115" s="443" t="s">
        <v>811</v>
      </c>
      <c r="D115" s="444">
        <v>56084690</v>
      </c>
      <c r="E115" s="444">
        <v>0</v>
      </c>
      <c r="F115" s="444">
        <v>56084690</v>
      </c>
      <c r="G115" s="445">
        <v>3987</v>
      </c>
      <c r="H115" s="446">
        <v>27</v>
      </c>
      <c r="I115" s="447">
        <v>7.3419999999999996</v>
      </c>
      <c r="J115" s="443">
        <v>19.658000000000001</v>
      </c>
      <c r="K115" s="448">
        <v>0</v>
      </c>
      <c r="L115" s="449">
        <v>0</v>
      </c>
      <c r="M115" s="448">
        <v>0</v>
      </c>
      <c r="N115" s="443">
        <v>0</v>
      </c>
      <c r="O115" s="450">
        <v>1.0309999999999999</v>
      </c>
      <c r="P115" s="448">
        <v>7.0999999999999994E-2</v>
      </c>
      <c r="Q115" s="451">
        <v>20.76</v>
      </c>
      <c r="R115" s="447">
        <v>6.6859999999999999</v>
      </c>
      <c r="S115" s="449">
        <v>0</v>
      </c>
      <c r="T115" s="449">
        <v>0</v>
      </c>
      <c r="U115" s="449">
        <v>0</v>
      </c>
      <c r="V115" s="449">
        <v>0</v>
      </c>
      <c r="W115" s="447">
        <v>27.446000000000002</v>
      </c>
      <c r="X115" s="444">
        <v>93.137</v>
      </c>
      <c r="Y115" s="444">
        <v>6287654.6799999997</v>
      </c>
      <c r="Z115" s="444">
        <v>5097135.9205199992</v>
      </c>
      <c r="AB115" s="430" t="str">
        <f t="shared" si="2"/>
        <v>UPDATE mill_levy SET cert_per_hb201418 = 27,cert_hb201418_tax_credit = 7.342,certified_catbuy_mill_levy = 0,cert_tot_prog_reserve_fund = 0,certified_hh_mill_levy = 0,certified_override_mill_levy = 1.031,certified_abate_mill_levy = 0.071,certified_bond_mill_levy = 6.686,certified_transport_mill_levy = 0,certified_sbt_mill_levy = 0,cert_supp_cap_construction = 0,certified_other_mill_levy = 0,full_funding_mill_levy = 93.137,state_funding = 5097135.92052 WHERE district_number = '2070' AND fiscal_year = 20222023;</v>
      </c>
    </row>
    <row r="116" spans="1:28" x14ac:dyDescent="0.2">
      <c r="A116" s="441" t="s">
        <v>325</v>
      </c>
      <c r="B116" s="442" t="s">
        <v>326</v>
      </c>
      <c r="C116" s="443" t="s">
        <v>812</v>
      </c>
      <c r="D116" s="444">
        <v>853817022</v>
      </c>
      <c r="E116" s="444">
        <v>15152372</v>
      </c>
      <c r="F116" s="444">
        <v>838664650</v>
      </c>
      <c r="G116" s="445">
        <v>0</v>
      </c>
      <c r="H116" s="446">
        <v>27</v>
      </c>
      <c r="I116" s="447">
        <v>1.0329999999999999</v>
      </c>
      <c r="J116" s="443">
        <v>25.966999999999999</v>
      </c>
      <c r="K116" s="448">
        <v>0</v>
      </c>
      <c r="L116" s="457">
        <v>0</v>
      </c>
      <c r="M116" s="448">
        <v>0</v>
      </c>
      <c r="N116" s="443">
        <v>0</v>
      </c>
      <c r="O116" s="450">
        <v>0</v>
      </c>
      <c r="P116" s="448">
        <v>7.9000000000000001E-2</v>
      </c>
      <c r="Q116" s="451">
        <v>26.045999999999999</v>
      </c>
      <c r="R116" s="447">
        <v>2.2919999999999998</v>
      </c>
      <c r="S116" s="449">
        <v>0</v>
      </c>
      <c r="T116" s="449">
        <v>0</v>
      </c>
      <c r="U116" s="449">
        <v>0</v>
      </c>
      <c r="V116" s="449">
        <v>0</v>
      </c>
      <c r="W116" s="447">
        <v>28.338000000000001</v>
      </c>
      <c r="X116" s="444">
        <v>68.953000000000003</v>
      </c>
      <c r="Y116" s="444">
        <v>65845606.780000001</v>
      </c>
      <c r="Z116" s="444">
        <v>41442662.483450003</v>
      </c>
      <c r="AB116" s="430" t="str">
        <f t="shared" si="2"/>
        <v>UPDATE mill_levy SET cert_per_hb201418 = 27,cert_hb201418_tax_credit = 1.033,certified_catbuy_mill_levy = 0,cert_tot_prog_reserve_fund = 0,certified_hh_mill_levy = 0,certified_override_mill_levy = 0,certified_abate_mill_levy = 0.079,certified_bond_mill_levy = 2.292,certified_transport_mill_levy = 0,certified_sbt_mill_levy = 0,cert_supp_cap_construction = 0,certified_other_mill_levy = 0,full_funding_mill_levy = 68.953,state_funding = 41442662.48345 WHERE district_number = '2180' AND fiscal_year = 20222023;</v>
      </c>
    </row>
    <row r="117" spans="1:28" x14ac:dyDescent="0.2">
      <c r="A117" s="441" t="s">
        <v>327</v>
      </c>
      <c r="B117" s="442" t="s">
        <v>326</v>
      </c>
      <c r="C117" s="443" t="s">
        <v>813</v>
      </c>
      <c r="D117" s="444">
        <v>24977299</v>
      </c>
      <c r="E117" s="444">
        <v>0</v>
      </c>
      <c r="F117" s="444">
        <v>24977299</v>
      </c>
      <c r="G117" s="445">
        <v>2409</v>
      </c>
      <c r="H117" s="446">
        <v>27</v>
      </c>
      <c r="I117" s="447">
        <v>3.101</v>
      </c>
      <c r="J117" s="443">
        <v>23.899000000000001</v>
      </c>
      <c r="K117" s="448">
        <v>0</v>
      </c>
      <c r="L117" s="449">
        <v>0</v>
      </c>
      <c r="M117" s="448">
        <v>0</v>
      </c>
      <c r="N117" s="443">
        <v>0</v>
      </c>
      <c r="O117" s="450">
        <v>9.9290000000000003</v>
      </c>
      <c r="P117" s="448">
        <v>9.6000000000000002E-2</v>
      </c>
      <c r="Q117" s="451">
        <v>33.923999999999999</v>
      </c>
      <c r="R117" s="447">
        <v>2.129</v>
      </c>
      <c r="S117" s="449">
        <v>0</v>
      </c>
      <c r="T117" s="449">
        <v>0</v>
      </c>
      <c r="U117" s="449">
        <v>0</v>
      </c>
      <c r="V117" s="449">
        <v>0</v>
      </c>
      <c r="W117" s="447">
        <v>36.052999999999997</v>
      </c>
      <c r="X117" s="444">
        <v>153.51900000000001</v>
      </c>
      <c r="Y117" s="444">
        <v>4314287.7</v>
      </c>
      <c r="Z117" s="444">
        <v>3638952.3911990002</v>
      </c>
      <c r="AB117" s="430" t="str">
        <f t="shared" si="2"/>
        <v>UPDATE mill_levy SET cert_per_hb201418 = 27,cert_hb201418_tax_credit = 3.101,certified_catbuy_mill_levy = 0,cert_tot_prog_reserve_fund = 0,certified_hh_mill_levy = 0,certified_override_mill_levy = 9.929,certified_abate_mill_levy = 0.096,certified_bond_mill_levy = 2.129,certified_transport_mill_levy = 0,certified_sbt_mill_levy = 0,cert_supp_cap_construction = 0,certified_other_mill_levy = 0,full_funding_mill_levy = 153.519,state_funding = 3638952.391199 WHERE district_number = '2190' AND fiscal_year = 20222023;</v>
      </c>
    </row>
    <row r="118" spans="1:28" x14ac:dyDescent="0.2">
      <c r="A118" s="441" t="s">
        <v>329</v>
      </c>
      <c r="B118" s="452" t="s">
        <v>330</v>
      </c>
      <c r="C118" s="453" t="s">
        <v>814</v>
      </c>
      <c r="D118" s="444">
        <v>261227581</v>
      </c>
      <c r="E118" s="444">
        <v>0</v>
      </c>
      <c r="F118" s="444">
        <v>261227581</v>
      </c>
      <c r="G118" s="445">
        <v>59.027000000000001</v>
      </c>
      <c r="H118" s="446">
        <v>27</v>
      </c>
      <c r="I118" s="447">
        <v>0</v>
      </c>
      <c r="J118" s="443">
        <v>27</v>
      </c>
      <c r="K118" s="448">
        <v>0</v>
      </c>
      <c r="L118" s="449">
        <v>0</v>
      </c>
      <c r="M118" s="448">
        <v>0</v>
      </c>
      <c r="N118" s="443">
        <v>0</v>
      </c>
      <c r="O118" s="450">
        <v>9.1739999999999995</v>
      </c>
      <c r="P118" s="448">
        <v>0.22600000000000001</v>
      </c>
      <c r="Q118" s="451">
        <v>36.4</v>
      </c>
      <c r="R118" s="447">
        <v>12.615</v>
      </c>
      <c r="S118" s="449">
        <v>0</v>
      </c>
      <c r="T118" s="449">
        <v>0</v>
      </c>
      <c r="U118" s="449">
        <v>0</v>
      </c>
      <c r="V118" s="449">
        <v>0</v>
      </c>
      <c r="W118" s="447">
        <v>49.015000000000001</v>
      </c>
      <c r="X118" s="444">
        <v>52.987000000000002</v>
      </c>
      <c r="Y118" s="444">
        <v>15641940.109999999</v>
      </c>
      <c r="Z118" s="444">
        <v>7989765.8030000003</v>
      </c>
      <c r="AB118" s="430" t="str">
        <f t="shared" si="2"/>
        <v>UPDATE mill_levy SET cert_per_hb201418 = 27,cert_hb201418_tax_credit = 0,certified_catbuy_mill_levy = 0,cert_tot_prog_reserve_fund = 0,certified_hh_mill_levy = 0,certified_override_mill_levy = 9.174,certified_abate_mill_levy = 0.226,certified_bond_mill_levy = 12.615,certified_transport_mill_levy = 0,certified_sbt_mill_levy = 0,cert_supp_cap_construction = 0,certified_other_mill_levy = 0,full_funding_mill_levy = 52.987,state_funding = 7989765.803 WHERE district_number = '2395' AND fiscal_year = 20222023;</v>
      </c>
    </row>
    <row r="119" spans="1:28" x14ac:dyDescent="0.2">
      <c r="A119" s="441" t="s">
        <v>332</v>
      </c>
      <c r="B119" s="452" t="s">
        <v>330</v>
      </c>
      <c r="C119" s="453" t="s">
        <v>815</v>
      </c>
      <c r="D119" s="444">
        <v>357370050</v>
      </c>
      <c r="E119" s="444">
        <v>0</v>
      </c>
      <c r="F119" s="444">
        <v>357370050</v>
      </c>
      <c r="G119" s="445">
        <v>0</v>
      </c>
      <c r="H119" s="446">
        <v>27</v>
      </c>
      <c r="I119" s="447">
        <v>0</v>
      </c>
      <c r="J119" s="443">
        <v>27</v>
      </c>
      <c r="K119" s="448">
        <v>0</v>
      </c>
      <c r="L119" s="449">
        <v>0</v>
      </c>
      <c r="M119" s="448">
        <v>0</v>
      </c>
      <c r="N119" s="443">
        <v>0</v>
      </c>
      <c r="O119" s="450">
        <v>1.5369999999999999</v>
      </c>
      <c r="P119" s="448">
        <v>7.9000000000000001E-2</v>
      </c>
      <c r="Q119" s="451">
        <v>28.616</v>
      </c>
      <c r="R119" s="447">
        <v>7.6619999999999999</v>
      </c>
      <c r="S119" s="449">
        <v>0</v>
      </c>
      <c r="T119" s="449">
        <v>0</v>
      </c>
      <c r="U119" s="449">
        <v>0</v>
      </c>
      <c r="V119" s="449">
        <v>0</v>
      </c>
      <c r="W119" s="447">
        <v>36.277999999999999</v>
      </c>
      <c r="X119" s="444">
        <v>94.376999999999995</v>
      </c>
      <c r="Y119" s="444">
        <v>37733660.490000002</v>
      </c>
      <c r="Z119" s="444">
        <v>27319224.710000001</v>
      </c>
      <c r="AB119" s="430" t="str">
        <f t="shared" si="2"/>
        <v>UPDATE mill_levy SET cert_per_hb201418 = 27,cert_hb201418_tax_credit = 0,certified_catbuy_mill_levy = 0,cert_tot_prog_reserve_fund = 0,certified_hh_mill_levy = 0,certified_override_mill_levy = 1.537,certified_abate_mill_levy = 0.079,certified_bond_mill_levy = 7.662,certified_transport_mill_levy = 0,certified_sbt_mill_levy = 0,cert_supp_cap_construction = 0,certified_other_mill_levy = 0,full_funding_mill_levy = 94.377,state_funding = 27319224.71 WHERE district_number = '2405' AND fiscal_year = 20222023;</v>
      </c>
    </row>
    <row r="120" spans="1:28" x14ac:dyDescent="0.2">
      <c r="A120" s="441" t="s">
        <v>334</v>
      </c>
      <c r="B120" s="452" t="s">
        <v>330</v>
      </c>
      <c r="C120" s="453" t="s">
        <v>816</v>
      </c>
      <c r="D120" s="444">
        <v>33484870</v>
      </c>
      <c r="E120" s="444">
        <v>0</v>
      </c>
      <c r="F120" s="444">
        <v>33484870</v>
      </c>
      <c r="G120" s="445">
        <v>1100</v>
      </c>
      <c r="H120" s="446">
        <v>27</v>
      </c>
      <c r="I120" s="447">
        <v>0</v>
      </c>
      <c r="J120" s="443">
        <v>27</v>
      </c>
      <c r="K120" s="448">
        <v>0</v>
      </c>
      <c r="L120" s="449">
        <v>0</v>
      </c>
      <c r="M120" s="448">
        <v>0.28699999999999998</v>
      </c>
      <c r="N120" s="443">
        <v>0</v>
      </c>
      <c r="O120" s="450">
        <v>0</v>
      </c>
      <c r="P120" s="448">
        <v>3.3000000000000002E-2</v>
      </c>
      <c r="Q120" s="451">
        <v>27.32</v>
      </c>
      <c r="R120" s="447">
        <v>12.5</v>
      </c>
      <c r="S120" s="449">
        <v>0</v>
      </c>
      <c r="T120" s="449">
        <v>0</v>
      </c>
      <c r="U120" s="449">
        <v>0</v>
      </c>
      <c r="V120" s="449">
        <v>0</v>
      </c>
      <c r="W120" s="447">
        <v>39.82</v>
      </c>
      <c r="X120" s="444">
        <v>107.947</v>
      </c>
      <c r="Y120" s="444">
        <v>3835375.22</v>
      </c>
      <c r="Z120" s="444">
        <v>2870643.6300000004</v>
      </c>
      <c r="AB120" s="430" t="str">
        <f t="shared" si="2"/>
        <v>UPDATE mill_levy SET cert_per_hb201418 = 27,cert_hb201418_tax_credit = 0,certified_catbuy_mill_levy = 0,cert_tot_prog_reserve_fund = 0,certified_hh_mill_levy = 0.287,certified_override_mill_levy = 0,certified_abate_mill_levy = 0.033,certified_bond_mill_levy = 12.5,certified_transport_mill_levy = 0,certified_sbt_mill_levy = 0,cert_supp_cap_construction = 0,certified_other_mill_levy = 0,full_funding_mill_levy = 107.947,state_funding = 2870643.63 WHERE district_number = '2505' AND fiscal_year = 20222023;</v>
      </c>
    </row>
    <row r="121" spans="1:28" x14ac:dyDescent="0.2">
      <c r="A121" s="441" t="s">
        <v>336</v>
      </c>
      <c r="B121" s="452" t="s">
        <v>330</v>
      </c>
      <c r="C121" s="453" t="s">
        <v>817</v>
      </c>
      <c r="D121" s="444">
        <v>409082480</v>
      </c>
      <c r="E121" s="444">
        <v>0</v>
      </c>
      <c r="F121" s="444">
        <v>409082480</v>
      </c>
      <c r="G121" s="445">
        <v>0</v>
      </c>
      <c r="H121" s="446">
        <v>24.545000000000002</v>
      </c>
      <c r="I121" s="447">
        <v>0</v>
      </c>
      <c r="J121" s="443">
        <v>24.146999999999998</v>
      </c>
      <c r="K121" s="448">
        <v>0.39800000000000002</v>
      </c>
      <c r="L121" s="449">
        <v>0</v>
      </c>
      <c r="M121" s="448">
        <v>0</v>
      </c>
      <c r="N121" s="443">
        <v>0</v>
      </c>
      <c r="O121" s="450">
        <v>0</v>
      </c>
      <c r="P121" s="448">
        <v>0.03</v>
      </c>
      <c r="Q121" s="451">
        <v>24.574999999999999</v>
      </c>
      <c r="R121" s="447">
        <v>12.5</v>
      </c>
      <c r="S121" s="449">
        <v>0</v>
      </c>
      <c r="T121" s="449">
        <v>0</v>
      </c>
      <c r="U121" s="449">
        <v>0</v>
      </c>
      <c r="V121" s="449">
        <v>0</v>
      </c>
      <c r="W121" s="447">
        <v>37.075000000000003</v>
      </c>
      <c r="X121" s="444">
        <v>17.305</v>
      </c>
      <c r="Y121" s="444">
        <v>10430451.529999999</v>
      </c>
      <c r="Z121" s="444">
        <v>41.956319999182597</v>
      </c>
      <c r="AB121" s="430" t="str">
        <f t="shared" si="2"/>
        <v>UPDATE mill_levy SET cert_per_hb201418 = 24.545,cert_hb201418_tax_credit = 0,certified_catbuy_mill_levy = 0.398,cert_tot_prog_reserve_fund = 0,certified_hh_mill_levy = 0,certified_override_mill_levy = 0,certified_abate_mill_levy = 0.03,certified_bond_mill_levy = 12.5,certified_transport_mill_levy = 0,certified_sbt_mill_levy = 0,cert_supp_cap_construction = 0,certified_other_mill_levy = 0,full_funding_mill_levy = 17.305,state_funding = 41.9563199991826 WHERE district_number = '2515' AND fiscal_year = 20222023;</v>
      </c>
    </row>
    <row r="122" spans="1:28" x14ac:dyDescent="0.2">
      <c r="A122" s="442" t="s">
        <v>338</v>
      </c>
      <c r="B122" s="442" t="s">
        <v>339</v>
      </c>
      <c r="C122" s="443" t="s">
        <v>818</v>
      </c>
      <c r="D122" s="444">
        <v>88554921</v>
      </c>
      <c r="E122" s="444">
        <v>3219249</v>
      </c>
      <c r="F122" s="444">
        <v>85335672</v>
      </c>
      <c r="G122" s="445">
        <v>388.75</v>
      </c>
      <c r="H122" s="446">
        <v>27</v>
      </c>
      <c r="I122" s="447">
        <v>0</v>
      </c>
      <c r="J122" s="443">
        <v>27</v>
      </c>
      <c r="K122" s="448">
        <v>0</v>
      </c>
      <c r="L122" s="449">
        <v>0</v>
      </c>
      <c r="M122" s="448">
        <v>0</v>
      </c>
      <c r="N122" s="443">
        <v>0</v>
      </c>
      <c r="O122" s="450">
        <v>0</v>
      </c>
      <c r="P122" s="448">
        <v>5.0000000000000001E-3</v>
      </c>
      <c r="Q122" s="451">
        <v>27.004999999999999</v>
      </c>
      <c r="R122" s="447">
        <v>5.2270000000000003</v>
      </c>
      <c r="S122" s="449">
        <v>0</v>
      </c>
      <c r="T122" s="449">
        <v>0</v>
      </c>
      <c r="U122" s="449">
        <v>0</v>
      </c>
      <c r="V122" s="449">
        <v>0</v>
      </c>
      <c r="W122" s="447">
        <v>32.231999999999999</v>
      </c>
      <c r="X122" s="444">
        <v>173.20099999999999</v>
      </c>
      <c r="Y122" s="444">
        <v>16138367.99</v>
      </c>
      <c r="Z122" s="444">
        <v>13473184.276000001</v>
      </c>
      <c r="AB122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0.005,certified_bond_mill_levy = 5.227,certified_transport_mill_levy = 0,certified_sbt_mill_levy = 0,cert_supp_cap_construction = 0,certified_other_mill_levy = 0,full_funding_mill_levy = 173.201,state_funding = 13473184.276 WHERE district_number = '2520' AND fiscal_year = 20222023;</v>
      </c>
    </row>
    <row r="123" spans="1:28" x14ac:dyDescent="0.2">
      <c r="A123" s="441" t="s">
        <v>341</v>
      </c>
      <c r="B123" s="442" t="s">
        <v>339</v>
      </c>
      <c r="C123" s="443" t="s">
        <v>819</v>
      </c>
      <c r="D123" s="444">
        <v>37617360</v>
      </c>
      <c r="E123" s="444">
        <v>0</v>
      </c>
      <c r="F123" s="444">
        <v>37617360</v>
      </c>
      <c r="G123" s="445">
        <v>172.56</v>
      </c>
      <c r="H123" s="446">
        <v>27</v>
      </c>
      <c r="I123" s="447">
        <v>0</v>
      </c>
      <c r="J123" s="443">
        <v>27</v>
      </c>
      <c r="K123" s="448">
        <v>0</v>
      </c>
      <c r="L123" s="449">
        <v>0</v>
      </c>
      <c r="M123" s="448">
        <v>0</v>
      </c>
      <c r="N123" s="443">
        <v>0</v>
      </c>
      <c r="O123" s="450">
        <v>0</v>
      </c>
      <c r="P123" s="448">
        <v>0</v>
      </c>
      <c r="Q123" s="451">
        <v>27</v>
      </c>
      <c r="R123" s="447">
        <v>7.9870000000000001</v>
      </c>
      <c r="S123" s="449">
        <v>0</v>
      </c>
      <c r="T123" s="449">
        <v>0</v>
      </c>
      <c r="U123" s="449">
        <v>0</v>
      </c>
      <c r="V123" s="449">
        <v>0</v>
      </c>
      <c r="W123" s="447">
        <v>34.987000000000002</v>
      </c>
      <c r="X123" s="444">
        <v>193.84200000000001</v>
      </c>
      <c r="Y123" s="444">
        <v>8410095.3399999999</v>
      </c>
      <c r="Z123" s="444">
        <v>7179700.2199999997</v>
      </c>
      <c r="AB123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0,certified_bond_mill_levy = 7.987,certified_transport_mill_levy = 0,certified_sbt_mill_levy = 0,cert_supp_cap_construction = 0,certified_other_mill_levy = 0,full_funding_mill_levy = 193.842,state_funding = 7179700.22 WHERE district_number = '2530' AND fiscal_year = 20222023;</v>
      </c>
    </row>
    <row r="124" spans="1:28" x14ac:dyDescent="0.2">
      <c r="A124" s="441" t="s">
        <v>343</v>
      </c>
      <c r="B124" s="442" t="s">
        <v>339</v>
      </c>
      <c r="C124" s="443" t="s">
        <v>820</v>
      </c>
      <c r="D124" s="444">
        <v>11486494</v>
      </c>
      <c r="E124" s="444">
        <v>0</v>
      </c>
      <c r="F124" s="444">
        <v>11486494</v>
      </c>
      <c r="G124" s="445">
        <v>0</v>
      </c>
      <c r="H124" s="446">
        <v>25.728999999999999</v>
      </c>
      <c r="I124" s="447">
        <v>0</v>
      </c>
      <c r="J124" s="443">
        <v>25.728999999999999</v>
      </c>
      <c r="K124" s="448">
        <v>0</v>
      </c>
      <c r="L124" s="449">
        <v>0</v>
      </c>
      <c r="M124" s="448">
        <v>0</v>
      </c>
      <c r="N124" s="443">
        <v>0</v>
      </c>
      <c r="O124" s="450">
        <v>0</v>
      </c>
      <c r="P124" s="448">
        <v>0</v>
      </c>
      <c r="Q124" s="451">
        <v>25.728999999999999</v>
      </c>
      <c r="R124" s="447">
        <v>0</v>
      </c>
      <c r="S124" s="449">
        <v>0</v>
      </c>
      <c r="T124" s="449">
        <v>0</v>
      </c>
      <c r="U124" s="449">
        <v>0</v>
      </c>
      <c r="V124" s="449">
        <v>0</v>
      </c>
      <c r="W124" s="447">
        <v>25.728999999999999</v>
      </c>
      <c r="X124" s="444">
        <v>276.50099999999998</v>
      </c>
      <c r="Y124" s="444">
        <v>3635908.41</v>
      </c>
      <c r="Z124" s="444">
        <v>3285314.2958740001</v>
      </c>
      <c r="AB124" s="430" t="str">
        <f t="shared" si="2"/>
        <v>UPDATE mill_levy SET cert_per_hb201418 = 25.729,cert_hb201418_tax_credit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276.501,state_funding = 3285314.295874 WHERE district_number = '2535' AND fiscal_year = 20222023;</v>
      </c>
    </row>
    <row r="125" spans="1:28" x14ac:dyDescent="0.2">
      <c r="A125" s="441" t="s">
        <v>345</v>
      </c>
      <c r="B125" s="442" t="s">
        <v>339</v>
      </c>
      <c r="C125" s="443" t="s">
        <v>821</v>
      </c>
      <c r="D125" s="444">
        <v>27562190</v>
      </c>
      <c r="E125" s="444">
        <v>0</v>
      </c>
      <c r="F125" s="444">
        <v>27562190</v>
      </c>
      <c r="G125" s="445">
        <v>0</v>
      </c>
      <c r="H125" s="446">
        <v>27</v>
      </c>
      <c r="I125" s="447">
        <v>0</v>
      </c>
      <c r="J125" s="443">
        <v>27</v>
      </c>
      <c r="K125" s="448">
        <v>0</v>
      </c>
      <c r="L125" s="449">
        <v>0</v>
      </c>
      <c r="M125" s="448">
        <v>0</v>
      </c>
      <c r="N125" s="443">
        <v>0</v>
      </c>
      <c r="O125" s="450">
        <v>0</v>
      </c>
      <c r="P125" s="448">
        <v>0</v>
      </c>
      <c r="Q125" s="451">
        <v>27</v>
      </c>
      <c r="R125" s="447">
        <v>13.324999999999999</v>
      </c>
      <c r="S125" s="449">
        <v>0</v>
      </c>
      <c r="T125" s="449">
        <v>0</v>
      </c>
      <c r="U125" s="449">
        <v>0</v>
      </c>
      <c r="V125" s="449">
        <v>0</v>
      </c>
      <c r="W125" s="447">
        <v>40.325000000000003</v>
      </c>
      <c r="X125" s="444">
        <v>154.88999999999999</v>
      </c>
      <c r="Y125" s="444">
        <v>5202465.09</v>
      </c>
      <c r="Z125" s="444">
        <v>4333938.7699999996</v>
      </c>
      <c r="AB125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0,certified_bond_mill_levy = 13.325,certified_transport_mill_levy = 0,certified_sbt_mill_levy = 0,cert_supp_cap_construction = 0,certified_other_mill_levy = 0,full_funding_mill_levy = 154.89,state_funding = 4333938.77 WHERE district_number = '2540' AND fiscal_year = 20222023;</v>
      </c>
    </row>
    <row r="126" spans="1:28" x14ac:dyDescent="0.2">
      <c r="A126" s="441" t="s">
        <v>347</v>
      </c>
      <c r="B126" s="452" t="s">
        <v>339</v>
      </c>
      <c r="C126" s="453" t="s">
        <v>822</v>
      </c>
      <c r="D126" s="444">
        <v>9069824</v>
      </c>
      <c r="E126" s="444">
        <v>0</v>
      </c>
      <c r="F126" s="444">
        <v>9069824</v>
      </c>
      <c r="G126" s="445">
        <v>305.73</v>
      </c>
      <c r="H126" s="446">
        <v>27</v>
      </c>
      <c r="I126" s="447">
        <v>0</v>
      </c>
      <c r="J126" s="443">
        <v>27</v>
      </c>
      <c r="K126" s="448">
        <v>0</v>
      </c>
      <c r="L126" s="457">
        <v>0</v>
      </c>
      <c r="M126" s="448">
        <v>0</v>
      </c>
      <c r="N126" s="443">
        <v>0</v>
      </c>
      <c r="O126" s="450">
        <v>0</v>
      </c>
      <c r="P126" s="448">
        <v>0</v>
      </c>
      <c r="Q126" s="451">
        <v>27</v>
      </c>
      <c r="R126" s="447">
        <v>0</v>
      </c>
      <c r="S126" s="449">
        <v>0</v>
      </c>
      <c r="T126" s="449">
        <v>0</v>
      </c>
      <c r="U126" s="449">
        <v>0</v>
      </c>
      <c r="V126" s="449">
        <v>0</v>
      </c>
      <c r="W126" s="447">
        <v>27</v>
      </c>
      <c r="X126" s="444">
        <v>390.44499999999999</v>
      </c>
      <c r="Y126" s="444">
        <v>3824675.96</v>
      </c>
      <c r="Z126" s="444">
        <v>3530175.6519999998</v>
      </c>
      <c r="AB126" s="430" t="str">
        <f t="shared" si="2"/>
        <v>UPDATE mill_levy SET cert_per_hb201418 = 27,cert_hb201418_tax_credit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390.445,state_funding = 3530175.652 WHERE district_number = '2560' AND fiscal_year = 20222023;</v>
      </c>
    </row>
    <row r="127" spans="1:28" x14ac:dyDescent="0.2">
      <c r="A127" s="441" t="s">
        <v>349</v>
      </c>
      <c r="B127" s="442" t="s">
        <v>339</v>
      </c>
      <c r="C127" s="443" t="s">
        <v>823</v>
      </c>
      <c r="D127" s="444">
        <v>20660638</v>
      </c>
      <c r="E127" s="444">
        <v>933163</v>
      </c>
      <c r="F127" s="444">
        <v>19727475</v>
      </c>
      <c r="G127" s="445">
        <v>0</v>
      </c>
      <c r="H127" s="446">
        <v>27</v>
      </c>
      <c r="I127" s="447">
        <v>1.0029999999999999</v>
      </c>
      <c r="J127" s="443">
        <v>25.997</v>
      </c>
      <c r="K127" s="448">
        <v>0</v>
      </c>
      <c r="L127" s="449">
        <v>0</v>
      </c>
      <c r="M127" s="448">
        <v>0</v>
      </c>
      <c r="N127" s="443">
        <v>0</v>
      </c>
      <c r="O127" s="450">
        <v>0.80400000000000005</v>
      </c>
      <c r="P127" s="448">
        <v>0</v>
      </c>
      <c r="Q127" s="451">
        <v>26.800999999999998</v>
      </c>
      <c r="R127" s="447">
        <v>9.4160000000000004</v>
      </c>
      <c r="S127" s="449">
        <v>0</v>
      </c>
      <c r="T127" s="449">
        <v>0</v>
      </c>
      <c r="U127" s="449">
        <v>0</v>
      </c>
      <c r="V127" s="449">
        <v>0</v>
      </c>
      <c r="W127" s="447">
        <v>36.216999999999999</v>
      </c>
      <c r="X127" s="444">
        <v>201.77099999999999</v>
      </c>
      <c r="Y127" s="444">
        <v>4717593.07</v>
      </c>
      <c r="Z127" s="444">
        <v>4093697.8424250004</v>
      </c>
      <c r="AB127" s="430" t="str">
        <f t="shared" si="2"/>
        <v>UPDATE mill_levy SET cert_per_hb201418 = 27,cert_hb201418_tax_credit = 1.003,certified_catbuy_mill_levy = 0,cert_tot_prog_reserve_fund = 0,certified_hh_mill_levy = 0,certified_override_mill_levy = 0.804,certified_abate_mill_levy = 0,certified_bond_mill_levy = 9.416,certified_transport_mill_levy = 0,certified_sbt_mill_levy = 0,cert_supp_cap_construction = 0,certified_other_mill_levy = 0,full_funding_mill_levy = 201.771,state_funding = 4093697.842425 WHERE district_number = '2570' AND fiscal_year = 20222023;</v>
      </c>
    </row>
    <row r="128" spans="1:28" x14ac:dyDescent="0.2">
      <c r="A128" s="441" t="s">
        <v>351</v>
      </c>
      <c r="B128" s="442" t="s">
        <v>352</v>
      </c>
      <c r="C128" s="443" t="s">
        <v>824</v>
      </c>
      <c r="D128" s="444">
        <v>101753600</v>
      </c>
      <c r="E128" s="444">
        <v>0</v>
      </c>
      <c r="F128" s="444">
        <v>101753600</v>
      </c>
      <c r="G128" s="445">
        <v>16550</v>
      </c>
      <c r="H128" s="446">
        <v>27</v>
      </c>
      <c r="I128" s="447">
        <v>21.931000000000001</v>
      </c>
      <c r="J128" s="443">
        <v>21.931000000000001</v>
      </c>
      <c r="K128" s="448">
        <v>0</v>
      </c>
      <c r="L128" s="449">
        <v>0</v>
      </c>
      <c r="M128" s="448">
        <v>0</v>
      </c>
      <c r="N128" s="443">
        <v>0</v>
      </c>
      <c r="O128" s="450">
        <v>4.8739999999999997</v>
      </c>
      <c r="P128" s="448">
        <v>0.16300000000000001</v>
      </c>
      <c r="Q128" s="451">
        <v>26.968</v>
      </c>
      <c r="R128" s="447">
        <v>1.9339999999999999</v>
      </c>
      <c r="S128" s="449">
        <v>0</v>
      </c>
      <c r="T128" s="449">
        <v>0</v>
      </c>
      <c r="U128" s="449">
        <v>0</v>
      </c>
      <c r="V128" s="449">
        <v>0</v>
      </c>
      <c r="W128" s="447">
        <v>28.902000000000001</v>
      </c>
      <c r="X128" s="444">
        <v>30.803000000000001</v>
      </c>
      <c r="Y128" s="444">
        <v>3706908.81</v>
      </c>
      <c r="Z128" s="444">
        <v>1229646.3384000002</v>
      </c>
      <c r="AB128" s="430" t="str">
        <f t="shared" si="2"/>
        <v>UPDATE mill_levy SET cert_per_hb201418 = 27,cert_hb201418_tax_credit = 21.931,certified_catbuy_mill_levy = 0,cert_tot_prog_reserve_fund = 0,certified_hh_mill_levy = 0,certified_override_mill_levy = 4.874,certified_abate_mill_levy = 0.163,certified_bond_mill_levy = 1.934,certified_transport_mill_levy = 0,certified_sbt_mill_levy = 0,cert_supp_cap_construction = 0,certified_other_mill_levy = 0,full_funding_mill_levy = 30.803,state_funding = 1229646.3384 WHERE district_number = '2580' AND fiscal_year = 20222023;</v>
      </c>
    </row>
    <row r="129" spans="1:28" x14ac:dyDescent="0.2">
      <c r="A129" s="441" t="s">
        <v>353</v>
      </c>
      <c r="B129" s="442" t="s">
        <v>352</v>
      </c>
      <c r="C129" s="443" t="s">
        <v>825</v>
      </c>
      <c r="D129" s="444">
        <v>197327820</v>
      </c>
      <c r="E129" s="444">
        <v>0</v>
      </c>
      <c r="F129" s="444">
        <v>197327820</v>
      </c>
      <c r="G129" s="445">
        <v>0</v>
      </c>
      <c r="H129" s="446">
        <v>21.643000000000001</v>
      </c>
      <c r="I129" s="447">
        <v>4.7149999999999999</v>
      </c>
      <c r="J129" s="443">
        <v>16.928000000000001</v>
      </c>
      <c r="K129" s="448">
        <v>0</v>
      </c>
      <c r="L129" s="449">
        <v>0</v>
      </c>
      <c r="M129" s="448">
        <v>0</v>
      </c>
      <c r="N129" s="443">
        <v>0</v>
      </c>
      <c r="O129" s="450">
        <v>7.056</v>
      </c>
      <c r="P129" s="448">
        <v>7.8E-2</v>
      </c>
      <c r="Q129" s="451">
        <v>24.062000000000001</v>
      </c>
      <c r="R129" s="447">
        <v>5.3739999999999997</v>
      </c>
      <c r="S129" s="449">
        <v>0</v>
      </c>
      <c r="T129" s="449">
        <v>0</v>
      </c>
      <c r="U129" s="449">
        <v>0</v>
      </c>
      <c r="V129" s="449">
        <v>0</v>
      </c>
      <c r="W129" s="447">
        <v>29.436</v>
      </c>
      <c r="X129" s="444">
        <v>22.949000000000002</v>
      </c>
      <c r="Y129" s="444">
        <v>5064986.5599999996</v>
      </c>
      <c r="Z129" s="444">
        <v>1485060.2430399992</v>
      </c>
      <c r="AB129" s="430" t="str">
        <f t="shared" si="2"/>
        <v>UPDATE mill_levy SET cert_per_hb201418 = 21.643,cert_hb201418_tax_credit = 4.715,certified_catbuy_mill_levy = 0,cert_tot_prog_reserve_fund = 0,certified_hh_mill_levy = 0,certified_override_mill_levy = 7.056,certified_abate_mill_levy = 0.078,certified_bond_mill_levy = 5.374,certified_transport_mill_levy = 0,certified_sbt_mill_levy = 0,cert_supp_cap_construction = 0,certified_other_mill_levy = 0,full_funding_mill_levy = 22.949,state_funding = 1485060.24304 WHERE district_number = '2590' AND fiscal_year = 20222023;</v>
      </c>
    </row>
    <row r="130" spans="1:28" x14ac:dyDescent="0.2">
      <c r="A130" s="441" t="s">
        <v>355</v>
      </c>
      <c r="B130" s="442" t="s">
        <v>356</v>
      </c>
      <c r="C130" s="443" t="s">
        <v>826</v>
      </c>
      <c r="D130" s="444">
        <v>231902970</v>
      </c>
      <c r="E130" s="444">
        <v>0</v>
      </c>
      <c r="F130" s="444">
        <v>231902970</v>
      </c>
      <c r="G130" s="445">
        <v>0</v>
      </c>
      <c r="H130" s="446">
        <v>27</v>
      </c>
      <c r="I130" s="447">
        <v>5.3380000000000001</v>
      </c>
      <c r="J130" s="443">
        <v>21.661999999999999</v>
      </c>
      <c r="K130" s="448">
        <v>0</v>
      </c>
      <c r="L130" s="449">
        <v>0</v>
      </c>
      <c r="M130" s="448">
        <v>0</v>
      </c>
      <c r="N130" s="443">
        <v>0</v>
      </c>
      <c r="O130" s="450">
        <v>3.1869999999999998</v>
      </c>
      <c r="P130" s="448">
        <v>0.08</v>
      </c>
      <c r="Q130" s="451">
        <v>24.928999999999998</v>
      </c>
      <c r="R130" s="447">
        <v>4.5060000000000002</v>
      </c>
      <c r="S130" s="449">
        <v>0</v>
      </c>
      <c r="T130" s="449">
        <v>0</v>
      </c>
      <c r="U130" s="449">
        <v>0</v>
      </c>
      <c r="V130" s="449">
        <v>0</v>
      </c>
      <c r="W130" s="447">
        <v>29.434999999999999</v>
      </c>
      <c r="X130" s="444">
        <v>34.058</v>
      </c>
      <c r="Y130" s="444">
        <v>9229260.9100000001</v>
      </c>
      <c r="Z130" s="444">
        <v>3792811.7438599998</v>
      </c>
      <c r="AB130" s="430" t="str">
        <f t="shared" si="2"/>
        <v>UPDATE mill_levy SET cert_per_hb201418 = 27,cert_hb201418_tax_credit = 5.338,certified_catbuy_mill_levy = 0,cert_tot_prog_reserve_fund = 0,certified_hh_mill_levy = 0,certified_override_mill_levy = 3.187,certified_abate_mill_levy = 0.08,certified_bond_mill_levy = 4.506,certified_transport_mill_levy = 0,certified_sbt_mill_levy = 0,cert_supp_cap_construction = 0,certified_other_mill_levy = 0,full_funding_mill_levy = 34.058,state_funding = 3792811.74386 WHERE district_number = '2600' AND fiscal_year = 20222023;</v>
      </c>
    </row>
    <row r="131" spans="1:28" x14ac:dyDescent="0.2">
      <c r="A131" s="441" t="s">
        <v>358</v>
      </c>
      <c r="B131" s="442" t="s">
        <v>356</v>
      </c>
      <c r="C131" s="443" t="s">
        <v>827</v>
      </c>
      <c r="D131" s="444">
        <v>619028945</v>
      </c>
      <c r="E131" s="444">
        <v>0</v>
      </c>
      <c r="F131" s="444">
        <v>619028945</v>
      </c>
      <c r="G131" s="445">
        <v>43951</v>
      </c>
      <c r="H131" s="446">
        <v>12.173</v>
      </c>
      <c r="I131" s="447">
        <v>0</v>
      </c>
      <c r="J131" s="443">
        <v>10.44</v>
      </c>
      <c r="K131" s="448">
        <v>0.84</v>
      </c>
      <c r="L131" s="449">
        <v>0.89300000000000002</v>
      </c>
      <c r="M131" s="448">
        <v>0.89</v>
      </c>
      <c r="N131" s="443">
        <v>0</v>
      </c>
      <c r="O131" s="450">
        <v>3.0840000000000001</v>
      </c>
      <c r="P131" s="448">
        <v>7.0999999999999994E-2</v>
      </c>
      <c r="Q131" s="451">
        <v>16.218</v>
      </c>
      <c r="R131" s="447">
        <v>1.05</v>
      </c>
      <c r="S131" s="449">
        <v>0</v>
      </c>
      <c r="T131" s="449">
        <v>0</v>
      </c>
      <c r="U131" s="449">
        <v>0</v>
      </c>
      <c r="V131" s="449">
        <v>0</v>
      </c>
      <c r="W131" s="447">
        <v>17.268000000000001</v>
      </c>
      <c r="X131" s="444">
        <v>9.5250000000000004</v>
      </c>
      <c r="Y131" s="444">
        <v>7031176.7800000003</v>
      </c>
      <c r="Z131" s="444">
        <v>213.47430000000168</v>
      </c>
      <c r="AB131" s="430" t="str">
        <f t="shared" si="2"/>
        <v>UPDATE mill_levy SET cert_per_hb201418 = 12.173,cert_hb201418_tax_credit = 0,certified_catbuy_mill_levy = 0.84,cert_tot_prog_reserve_fund = 0.893,certified_hh_mill_levy = 0.89,certified_override_mill_levy = 3.084,certified_abate_mill_levy = 0.071,certified_bond_mill_levy = 1.05,certified_transport_mill_levy = 0,certified_sbt_mill_levy = 0,cert_supp_cap_construction = 0,certified_other_mill_levy = 0,full_funding_mill_levy = 9.525,state_funding = 213.474300000002 WHERE district_number = '2610' AND fiscal_year = 20222023;</v>
      </c>
    </row>
    <row r="132" spans="1:28" x14ac:dyDescent="0.2">
      <c r="A132" s="441" t="s">
        <v>359</v>
      </c>
      <c r="B132" s="452" t="s">
        <v>360</v>
      </c>
      <c r="C132" s="453" t="s">
        <v>828</v>
      </c>
      <c r="D132" s="444">
        <v>79060270</v>
      </c>
      <c r="E132" s="444">
        <v>0</v>
      </c>
      <c r="F132" s="444">
        <v>79060270</v>
      </c>
      <c r="G132" s="445">
        <v>0</v>
      </c>
      <c r="H132" s="446">
        <v>27</v>
      </c>
      <c r="I132" s="447">
        <v>0</v>
      </c>
      <c r="J132" s="443">
        <v>27</v>
      </c>
      <c r="K132" s="448">
        <v>0</v>
      </c>
      <c r="L132" s="449">
        <v>0</v>
      </c>
      <c r="M132" s="448">
        <v>0</v>
      </c>
      <c r="N132" s="443">
        <v>0</v>
      </c>
      <c r="O132" s="450">
        <v>7</v>
      </c>
      <c r="P132" s="448">
        <v>0</v>
      </c>
      <c r="Q132" s="451">
        <v>34</v>
      </c>
      <c r="R132" s="447">
        <v>3.31</v>
      </c>
      <c r="S132" s="449">
        <v>0</v>
      </c>
      <c r="T132" s="449">
        <v>0</v>
      </c>
      <c r="U132" s="449">
        <v>0</v>
      </c>
      <c r="V132" s="449">
        <v>0</v>
      </c>
      <c r="W132" s="447">
        <v>37.31</v>
      </c>
      <c r="X132" s="444">
        <v>75.903000000000006</v>
      </c>
      <c r="Y132" s="444">
        <v>7145800.7199999997</v>
      </c>
      <c r="Z132" s="444">
        <v>4762440.38</v>
      </c>
      <c r="AB132" s="430" t="str">
        <f t="shared" ref="AB132:AB180" si="3">CONCATENATE("UPDATE mill_levy SET cert_per_hb201418 = ",H132,",cert_hb201418_tax_credit = ",I132,",certified_catbuy_mill_levy = ",K132,",cert_tot_prog_reserve_fund = ",L132,",certified_hh_mill_levy = ",M132,",certified_override_mill_levy = ",O132,",certified_abate_mill_levy = ",P132,",certified_bond_mill_levy = ",R132,",certified_transport_mill_levy = ",S132,",certified_sbt_mill_levy = ",T132,",cert_supp_cap_construction = ",U132,",certified_other_mill_levy = ",V132,",full_funding_mill_levy = ",X132,",state_funding = ",Z132," WHERE district_number = '",A132,"' AND fiscal_year = 20222023;")</f>
        <v>UPDATE mill_levy SET cert_per_hb201418 = 27,cert_hb201418_tax_credit = 0,certified_catbuy_mill_levy = 0,cert_tot_prog_reserve_fund = 0,certified_hh_mill_levy = 0,certified_override_mill_levy = 7,certified_abate_mill_levy = 0,certified_bond_mill_levy = 3.31,certified_transport_mill_levy = 0,certified_sbt_mill_levy = 0,cert_supp_cap_construction = 0,certified_other_mill_levy = 0,full_funding_mill_levy = 75.903,state_funding = 4762440.38 WHERE district_number = '2620' AND fiscal_year = 20222023;</v>
      </c>
    </row>
    <row r="133" spans="1:28" x14ac:dyDescent="0.2">
      <c r="A133" s="442" t="s">
        <v>362</v>
      </c>
      <c r="B133" s="442" t="s">
        <v>360</v>
      </c>
      <c r="C133" s="443" t="s">
        <v>829</v>
      </c>
      <c r="D133" s="444">
        <v>34193948</v>
      </c>
      <c r="E133" s="444">
        <v>0</v>
      </c>
      <c r="F133" s="444">
        <v>34193948</v>
      </c>
      <c r="G133" s="445">
        <v>0</v>
      </c>
      <c r="H133" s="446">
        <v>27</v>
      </c>
      <c r="I133" s="447">
        <v>0</v>
      </c>
      <c r="J133" s="443">
        <v>27</v>
      </c>
      <c r="K133" s="448">
        <v>0</v>
      </c>
      <c r="L133" s="449">
        <v>0</v>
      </c>
      <c r="M133" s="448">
        <v>0</v>
      </c>
      <c r="N133" s="443">
        <v>0</v>
      </c>
      <c r="O133" s="450">
        <v>5</v>
      </c>
      <c r="P133" s="448">
        <v>0</v>
      </c>
      <c r="Q133" s="451">
        <v>32</v>
      </c>
      <c r="R133" s="447">
        <v>7.4009999999999998</v>
      </c>
      <c r="S133" s="449">
        <v>0</v>
      </c>
      <c r="T133" s="449">
        <v>0</v>
      </c>
      <c r="U133" s="449">
        <v>0</v>
      </c>
      <c r="V133" s="449">
        <v>0</v>
      </c>
      <c r="W133" s="447">
        <v>39.401000000000003</v>
      </c>
      <c r="X133" s="444">
        <v>106.164</v>
      </c>
      <c r="Y133" s="444">
        <v>4320932.6100000003</v>
      </c>
      <c r="Z133" s="444">
        <v>3287567.2440000004</v>
      </c>
      <c r="AB133" s="430" t="str">
        <f t="shared" si="3"/>
        <v>UPDATE mill_levy SET cert_per_hb201418 = 27,cert_hb201418_tax_credit = 0,certified_catbuy_mill_levy = 0,cert_tot_prog_reserve_fund = 0,certified_hh_mill_levy = 0,certified_override_mill_levy = 5,certified_abate_mill_levy = 0,certified_bond_mill_levy = 7.401,certified_transport_mill_levy = 0,certified_sbt_mill_levy = 0,cert_supp_cap_construction = 0,certified_other_mill_levy = 0,full_funding_mill_levy = 106.164,state_funding = 3287567.244 WHERE district_number = '2630' AND fiscal_year = 20222023;</v>
      </c>
    </row>
    <row r="134" spans="1:28" x14ac:dyDescent="0.2">
      <c r="A134" s="442" t="s">
        <v>364</v>
      </c>
      <c r="B134" s="452" t="s">
        <v>365</v>
      </c>
      <c r="C134" s="453" t="s">
        <v>830</v>
      </c>
      <c r="D134" s="444">
        <v>5342831920</v>
      </c>
      <c r="E134" s="444">
        <v>0</v>
      </c>
      <c r="F134" s="444">
        <v>5342831920</v>
      </c>
      <c r="G134" s="445">
        <v>136396.23000000001</v>
      </c>
      <c r="H134" s="446">
        <v>4.4119999999999999</v>
      </c>
      <c r="I134" s="447">
        <v>0</v>
      </c>
      <c r="J134" s="443">
        <v>4.3479999999999999</v>
      </c>
      <c r="K134" s="448">
        <v>6.4000000000000001E-2</v>
      </c>
      <c r="L134" s="449">
        <v>0</v>
      </c>
      <c r="M134" s="460">
        <v>0.13300000000000001</v>
      </c>
      <c r="N134" s="443">
        <v>0</v>
      </c>
      <c r="O134" s="450">
        <v>1.3089999999999999</v>
      </c>
      <c r="P134" s="448">
        <v>2.5999999999999999E-2</v>
      </c>
      <c r="Q134" s="451">
        <v>5.88</v>
      </c>
      <c r="R134" s="447">
        <v>1.5149999999999999</v>
      </c>
      <c r="S134" s="449">
        <v>0</v>
      </c>
      <c r="T134" s="449">
        <v>0</v>
      </c>
      <c r="U134" s="449">
        <v>0</v>
      </c>
      <c r="V134" s="449">
        <v>0</v>
      </c>
      <c r="W134" s="447">
        <v>7.3949999999999996</v>
      </c>
      <c r="X134" s="444">
        <v>3.7240000000000002</v>
      </c>
      <c r="Y134" s="444">
        <v>23259673.48</v>
      </c>
      <c r="Z134" s="444">
        <v>356.74991999869235</v>
      </c>
      <c r="AB134" s="430" t="str">
        <f t="shared" si="3"/>
        <v>UPDATE mill_levy SET cert_per_hb201418 = 4.412,cert_hb201418_tax_credit = 0,certified_catbuy_mill_levy = 0.064,cert_tot_prog_reserve_fund = 0,certified_hh_mill_levy = 0.133,certified_override_mill_levy = 1.309,certified_abate_mill_levy = 0.026,certified_bond_mill_levy = 1.515,certified_transport_mill_levy = 0,certified_sbt_mill_levy = 0,cert_supp_cap_construction = 0,certified_other_mill_levy = 0,full_funding_mill_levy = 3.724,state_funding = 356.749919998692 WHERE district_number = '2640' AND fiscal_year = 20222023;</v>
      </c>
    </row>
    <row r="135" spans="1:28" x14ac:dyDescent="0.2">
      <c r="A135" s="441" t="s">
        <v>367</v>
      </c>
      <c r="B135" s="452" t="s">
        <v>368</v>
      </c>
      <c r="C135" s="453" t="s">
        <v>831</v>
      </c>
      <c r="D135" s="444">
        <v>17490760</v>
      </c>
      <c r="E135" s="444">
        <v>0</v>
      </c>
      <c r="F135" s="444">
        <v>17490760</v>
      </c>
      <c r="G135" s="445">
        <v>1061</v>
      </c>
      <c r="H135" s="446">
        <v>27</v>
      </c>
      <c r="I135" s="447">
        <v>0</v>
      </c>
      <c r="J135" s="443">
        <v>27</v>
      </c>
      <c r="K135" s="448">
        <v>0</v>
      </c>
      <c r="L135" s="449">
        <v>0</v>
      </c>
      <c r="M135" s="448">
        <v>0</v>
      </c>
      <c r="N135" s="443">
        <v>0</v>
      </c>
      <c r="O135" s="450">
        <v>0</v>
      </c>
      <c r="P135" s="448">
        <v>6.0999999999999999E-2</v>
      </c>
      <c r="Q135" s="451">
        <v>27.061</v>
      </c>
      <c r="R135" s="447">
        <v>0</v>
      </c>
      <c r="S135" s="449">
        <v>0</v>
      </c>
      <c r="T135" s="449">
        <v>0</v>
      </c>
      <c r="U135" s="449">
        <v>0</v>
      </c>
      <c r="V135" s="449">
        <v>0</v>
      </c>
      <c r="W135" s="447">
        <v>27.061</v>
      </c>
      <c r="X135" s="444">
        <v>190.959</v>
      </c>
      <c r="Y135" s="444">
        <v>3641777.45</v>
      </c>
      <c r="Z135" s="444">
        <v>3104140.5</v>
      </c>
      <c r="AB135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0.061,certified_bond_mill_levy = 0,certified_transport_mill_levy = 0,certified_sbt_mill_levy = 0,cert_supp_cap_construction = 0,certified_other_mill_levy = 0,full_funding_mill_levy = 190.959,state_funding = 3104140.5 WHERE district_number = '2650' AND fiscal_year = 20222023;</v>
      </c>
    </row>
    <row r="136" spans="1:28" x14ac:dyDescent="0.2">
      <c r="A136" s="441" t="s">
        <v>370</v>
      </c>
      <c r="B136" s="442" t="s">
        <v>368</v>
      </c>
      <c r="C136" s="443" t="s">
        <v>832</v>
      </c>
      <c r="D136" s="444">
        <v>94100442</v>
      </c>
      <c r="E136" s="444">
        <v>3732017</v>
      </c>
      <c r="F136" s="444">
        <v>90368425</v>
      </c>
      <c r="G136" s="445">
        <v>0</v>
      </c>
      <c r="H136" s="446">
        <v>27</v>
      </c>
      <c r="I136" s="447">
        <v>3.4049999999999998</v>
      </c>
      <c r="J136" s="443">
        <v>23.594999999999999</v>
      </c>
      <c r="K136" s="448">
        <v>0</v>
      </c>
      <c r="L136" s="449">
        <v>0</v>
      </c>
      <c r="M136" s="448">
        <v>0</v>
      </c>
      <c r="N136" s="443">
        <v>0</v>
      </c>
      <c r="O136" s="450">
        <v>0</v>
      </c>
      <c r="P136" s="448">
        <v>0</v>
      </c>
      <c r="Q136" s="451">
        <v>23.594999999999999</v>
      </c>
      <c r="R136" s="447">
        <v>3.5960000000000001</v>
      </c>
      <c r="S136" s="449">
        <v>0</v>
      </c>
      <c r="T136" s="449">
        <v>0</v>
      </c>
      <c r="U136" s="449">
        <v>0</v>
      </c>
      <c r="V136" s="449">
        <v>0</v>
      </c>
      <c r="W136" s="447">
        <v>27.190999999999999</v>
      </c>
      <c r="X136" s="444">
        <v>160.01400000000001</v>
      </c>
      <c r="Y136" s="444">
        <v>16450115.33</v>
      </c>
      <c r="Z136" s="444">
        <v>13991193.142125001</v>
      </c>
      <c r="AB136" s="430" t="str">
        <f t="shared" si="3"/>
        <v>UPDATE mill_levy SET cert_per_hb201418 = 27,cert_hb201418_tax_credit = 3.405,certified_catbuy_mill_levy = 0,cert_tot_prog_reserve_fund = 0,certified_hh_mill_levy = 0,certified_override_mill_levy = 0,certified_abate_mill_levy = 0,certified_bond_mill_levy = 3.596,certified_transport_mill_levy = 0,certified_sbt_mill_levy = 0,cert_supp_cap_construction = 0,certified_other_mill_levy = 0,full_funding_mill_levy = 160.014,state_funding = 13991193.142125 WHERE district_number = '2660' AND fiscal_year = 20222023;</v>
      </c>
    </row>
    <row r="137" spans="1:28" x14ac:dyDescent="0.2">
      <c r="A137" s="442" t="s">
        <v>372</v>
      </c>
      <c r="B137" s="452" t="s">
        <v>368</v>
      </c>
      <c r="C137" s="453" t="s">
        <v>833</v>
      </c>
      <c r="D137" s="444">
        <v>28783123</v>
      </c>
      <c r="E137" s="444">
        <v>0</v>
      </c>
      <c r="F137" s="444">
        <v>28783123</v>
      </c>
      <c r="G137" s="445">
        <v>570</v>
      </c>
      <c r="H137" s="446">
        <v>27</v>
      </c>
      <c r="I137" s="447">
        <v>0</v>
      </c>
      <c r="J137" s="443">
        <v>27</v>
      </c>
      <c r="K137" s="448">
        <v>0</v>
      </c>
      <c r="L137" s="449">
        <v>0</v>
      </c>
      <c r="M137" s="448">
        <v>0</v>
      </c>
      <c r="N137" s="443">
        <v>0</v>
      </c>
      <c r="O137" s="450">
        <v>0</v>
      </c>
      <c r="P137" s="448">
        <v>0</v>
      </c>
      <c r="Q137" s="451">
        <v>27</v>
      </c>
      <c r="R137" s="447">
        <v>8.7870000000000008</v>
      </c>
      <c r="S137" s="449">
        <v>0</v>
      </c>
      <c r="T137" s="449">
        <v>0</v>
      </c>
      <c r="U137" s="449">
        <v>0</v>
      </c>
      <c r="V137" s="449">
        <v>0</v>
      </c>
      <c r="W137" s="447">
        <v>35.786999999999999</v>
      </c>
      <c r="X137" s="444">
        <v>122.26300000000001</v>
      </c>
      <c r="Y137" s="444">
        <v>4108593.61</v>
      </c>
      <c r="Z137" s="444">
        <v>3218275.6289999997</v>
      </c>
      <c r="AB137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0,certified_bond_mill_levy = 8.787,certified_transport_mill_levy = 0,certified_sbt_mill_levy = 0,cert_supp_cap_construction = 0,certified_other_mill_levy = 0,full_funding_mill_levy = 122.263,state_funding = 3218275.629 WHERE district_number = '2670' AND fiscal_year = 20222023;</v>
      </c>
    </row>
    <row r="138" spans="1:28" x14ac:dyDescent="0.2">
      <c r="A138" s="441" t="s">
        <v>374</v>
      </c>
      <c r="B138" s="452" t="s">
        <v>368</v>
      </c>
      <c r="C138" s="453" t="s">
        <v>834</v>
      </c>
      <c r="D138" s="444">
        <v>13370150</v>
      </c>
      <c r="E138" s="444">
        <v>0</v>
      </c>
      <c r="F138" s="444">
        <v>13370150</v>
      </c>
      <c r="G138" s="445">
        <v>227</v>
      </c>
      <c r="H138" s="446">
        <v>27.016999999999999</v>
      </c>
      <c r="I138" s="447">
        <v>0</v>
      </c>
      <c r="J138" s="443">
        <v>27.016999999999999</v>
      </c>
      <c r="K138" s="448">
        <v>0</v>
      </c>
      <c r="L138" s="449">
        <v>0</v>
      </c>
      <c r="M138" s="448">
        <v>0</v>
      </c>
      <c r="N138" s="443">
        <v>0</v>
      </c>
      <c r="O138" s="450">
        <v>0</v>
      </c>
      <c r="P138" s="448">
        <v>0</v>
      </c>
      <c r="Q138" s="451">
        <v>27.016999999999999</v>
      </c>
      <c r="R138" s="447">
        <v>0</v>
      </c>
      <c r="S138" s="449">
        <v>0</v>
      </c>
      <c r="T138" s="449">
        <v>0</v>
      </c>
      <c r="U138" s="449">
        <v>0</v>
      </c>
      <c r="V138" s="449">
        <v>0</v>
      </c>
      <c r="W138" s="447">
        <v>27.016999999999999</v>
      </c>
      <c r="X138" s="444">
        <v>257.697</v>
      </c>
      <c r="Y138" s="444">
        <v>4059192.23</v>
      </c>
      <c r="Z138" s="444">
        <v>3647108.49</v>
      </c>
      <c r="AB138" s="430" t="str">
        <f t="shared" si="3"/>
        <v>UPDATE mill_levy SET cert_per_hb201418 = 27.017,cert_hb201418_tax_credit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257.697,state_funding = 3647108.49 WHERE district_number = '2680' AND fiscal_year = 20222023;</v>
      </c>
    </row>
    <row r="139" spans="1:28" x14ac:dyDescent="0.2">
      <c r="A139" s="441" t="s">
        <v>376</v>
      </c>
      <c r="B139" s="442" t="s">
        <v>377</v>
      </c>
      <c r="C139" s="443" t="s">
        <v>835</v>
      </c>
      <c r="D139" s="444">
        <v>1374535187</v>
      </c>
      <c r="E139" s="444">
        <v>123920438</v>
      </c>
      <c r="F139" s="444">
        <v>1250614749</v>
      </c>
      <c r="G139" s="445">
        <v>291596</v>
      </c>
      <c r="H139" s="446">
        <v>27</v>
      </c>
      <c r="I139" s="447">
        <v>0</v>
      </c>
      <c r="J139" s="443">
        <v>27</v>
      </c>
      <c r="K139" s="448">
        <v>0</v>
      </c>
      <c r="L139" s="449">
        <v>0</v>
      </c>
      <c r="M139" s="448">
        <v>0</v>
      </c>
      <c r="N139" s="443">
        <v>0</v>
      </c>
      <c r="O139" s="450">
        <v>0</v>
      </c>
      <c r="P139" s="448">
        <v>0.23300000000000001</v>
      </c>
      <c r="Q139" s="451">
        <v>27.233000000000001</v>
      </c>
      <c r="R139" s="447">
        <v>14.169</v>
      </c>
      <c r="S139" s="449">
        <v>0</v>
      </c>
      <c r="T139" s="449">
        <v>0</v>
      </c>
      <c r="U139" s="449">
        <v>0</v>
      </c>
      <c r="V139" s="449">
        <v>0</v>
      </c>
      <c r="W139" s="447">
        <v>41.402000000000001</v>
      </c>
      <c r="X139" s="444">
        <v>115.15600000000001</v>
      </c>
      <c r="Y139" s="444">
        <v>163687034.40000001</v>
      </c>
      <c r="Z139" s="444">
        <v>126810336.79700002</v>
      </c>
      <c r="AB139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0.233,certified_bond_mill_levy = 14.169,certified_transport_mill_levy = 0,certified_sbt_mill_levy = 0,cert_supp_cap_construction = 0,certified_other_mill_levy = 0,full_funding_mill_levy = 115.156,state_funding = 126810336.797 WHERE district_number = '2690' AND fiscal_year = 20222023;</v>
      </c>
    </row>
    <row r="140" spans="1:28" x14ac:dyDescent="0.2">
      <c r="A140" s="442" t="s">
        <v>379</v>
      </c>
      <c r="B140" s="442" t="s">
        <v>377</v>
      </c>
      <c r="C140" s="443" t="s">
        <v>836</v>
      </c>
      <c r="D140" s="444">
        <v>1052469541</v>
      </c>
      <c r="E140" s="444">
        <v>22030914</v>
      </c>
      <c r="F140" s="444">
        <v>1030438627</v>
      </c>
      <c r="G140" s="445">
        <v>16434</v>
      </c>
      <c r="H140" s="446">
        <v>27</v>
      </c>
      <c r="I140" s="447">
        <v>0</v>
      </c>
      <c r="J140" s="443">
        <v>27</v>
      </c>
      <c r="K140" s="448">
        <v>0</v>
      </c>
      <c r="L140" s="449">
        <v>0</v>
      </c>
      <c r="M140" s="448">
        <v>0</v>
      </c>
      <c r="N140" s="443">
        <v>0</v>
      </c>
      <c r="O140" s="450">
        <v>0</v>
      </c>
      <c r="P140" s="448">
        <v>1.6E-2</v>
      </c>
      <c r="Q140" s="451">
        <v>27.015999999999998</v>
      </c>
      <c r="R140" s="447">
        <v>12.962999999999999</v>
      </c>
      <c r="S140" s="449">
        <v>0</v>
      </c>
      <c r="T140" s="449">
        <v>0</v>
      </c>
      <c r="U140" s="449">
        <v>0</v>
      </c>
      <c r="V140" s="449">
        <v>0</v>
      </c>
      <c r="W140" s="447">
        <v>39.978999999999999</v>
      </c>
      <c r="X140" s="444">
        <v>95.031999999999996</v>
      </c>
      <c r="Y140" s="444">
        <v>110415562.03</v>
      </c>
      <c r="Z140" s="444">
        <v>80367128.240999997</v>
      </c>
      <c r="AB140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0.016,certified_bond_mill_levy = 12.963,certified_transport_mill_levy = 0,certified_sbt_mill_levy = 0,cert_supp_cap_construction = 0,certified_other_mill_levy = 0,full_funding_mill_levy = 95.032,state_funding = 80367128.241 WHERE district_number = '2700' AND fiscal_year = 20222023;</v>
      </c>
    </row>
    <row r="141" spans="1:28" x14ac:dyDescent="0.2">
      <c r="A141" s="441" t="s">
        <v>381</v>
      </c>
      <c r="B141" s="442" t="s">
        <v>382</v>
      </c>
      <c r="C141" s="443" t="s">
        <v>837</v>
      </c>
      <c r="D141" s="444">
        <v>503171210</v>
      </c>
      <c r="E141" s="444">
        <v>0</v>
      </c>
      <c r="F141" s="444">
        <v>503171210</v>
      </c>
      <c r="G141" s="445">
        <v>79333</v>
      </c>
      <c r="H141" s="446">
        <v>5.7670000000000003</v>
      </c>
      <c r="I141" s="447">
        <v>0</v>
      </c>
      <c r="J141" s="443">
        <v>5.7670000000000003</v>
      </c>
      <c r="K141" s="448">
        <v>0</v>
      </c>
      <c r="L141" s="449">
        <v>0</v>
      </c>
      <c r="M141" s="448">
        <v>0</v>
      </c>
      <c r="N141" s="443">
        <v>0</v>
      </c>
      <c r="O141" s="450">
        <v>0.80400000000000005</v>
      </c>
      <c r="P141" s="448">
        <v>0.158</v>
      </c>
      <c r="Q141" s="451">
        <v>6.7290000000000001</v>
      </c>
      <c r="R141" s="447">
        <v>9.1419999999999995</v>
      </c>
      <c r="S141" s="449">
        <v>0</v>
      </c>
      <c r="T141" s="449">
        <v>0</v>
      </c>
      <c r="U141" s="449">
        <v>0</v>
      </c>
      <c r="V141" s="449">
        <v>0</v>
      </c>
      <c r="W141" s="447">
        <v>15.871</v>
      </c>
      <c r="X141" s="444">
        <v>11.077999999999999</v>
      </c>
      <c r="Y141" s="444">
        <v>8211234.9299999997</v>
      </c>
      <c r="Z141" s="444">
        <v>5179861.2919299994</v>
      </c>
      <c r="AB141" s="430" t="str">
        <f t="shared" si="3"/>
        <v>UPDATE mill_levy SET cert_per_hb201418 = 5.767,cert_hb201418_tax_credit = 0,certified_catbuy_mill_levy = 0,cert_tot_prog_reserve_fund = 0,certified_hh_mill_levy = 0,certified_override_mill_levy = 0.804,certified_abate_mill_levy = 0.158,certified_bond_mill_levy = 9.142,certified_transport_mill_levy = 0,certified_sbt_mill_levy = 0,cert_supp_cap_construction = 0,certified_other_mill_levy = 0,full_funding_mill_levy = 11.078,state_funding = 5179861.29193 WHERE district_number = '2710' AND fiscal_year = 20222023;</v>
      </c>
    </row>
    <row r="142" spans="1:28" x14ac:dyDescent="0.2">
      <c r="A142" s="441" t="s">
        <v>384</v>
      </c>
      <c r="B142" s="442" t="s">
        <v>382</v>
      </c>
      <c r="C142" s="443" t="s">
        <v>838</v>
      </c>
      <c r="D142" s="444">
        <v>282111270</v>
      </c>
      <c r="E142" s="444">
        <v>0</v>
      </c>
      <c r="F142" s="444">
        <v>282111270</v>
      </c>
      <c r="G142" s="445">
        <v>1750</v>
      </c>
      <c r="H142" s="446">
        <v>6.1429999999999998</v>
      </c>
      <c r="I142" s="447">
        <v>2.7E-2</v>
      </c>
      <c r="J142" s="443">
        <v>6.1159999999999997</v>
      </c>
      <c r="K142" s="448">
        <v>0</v>
      </c>
      <c r="L142" s="449">
        <v>0</v>
      </c>
      <c r="M142" s="448">
        <v>2.379</v>
      </c>
      <c r="N142" s="443">
        <v>0</v>
      </c>
      <c r="O142" s="450">
        <v>2.67</v>
      </c>
      <c r="P142" s="448">
        <v>6.0000000000000001E-3</v>
      </c>
      <c r="Q142" s="451">
        <v>11.170999999999999</v>
      </c>
      <c r="R142" s="447">
        <v>9.5519999999999996</v>
      </c>
      <c r="S142" s="449">
        <v>0.96499999999999997</v>
      </c>
      <c r="T142" s="449">
        <v>0</v>
      </c>
      <c r="U142" s="449">
        <v>0</v>
      </c>
      <c r="V142" s="449">
        <v>0</v>
      </c>
      <c r="W142" s="447">
        <v>21.687999999999999</v>
      </c>
      <c r="X142" s="444">
        <v>14.731999999999999</v>
      </c>
      <c r="Y142" s="444">
        <v>5812243.7300000004</v>
      </c>
      <c r="Z142" s="444">
        <v>4001736.0226800004</v>
      </c>
      <c r="AB142" s="430" t="str">
        <f t="shared" si="3"/>
        <v>UPDATE mill_levy SET cert_per_hb201418 = 6.143,cert_hb201418_tax_credit = 0.027,certified_catbuy_mill_levy = 0,cert_tot_prog_reserve_fund = 0,certified_hh_mill_levy = 2.379,certified_override_mill_levy = 2.67,certified_abate_mill_levy = 0.006,certified_bond_mill_levy = 9.552,certified_transport_mill_levy = 0.965,certified_sbt_mill_levy = 0,cert_supp_cap_construction = 0,certified_other_mill_levy = 0,full_funding_mill_levy = 14.732,state_funding = 4001736.02268 WHERE district_number = '2720' AND fiscal_year = 20222023;</v>
      </c>
    </row>
    <row r="143" spans="1:28" x14ac:dyDescent="0.2">
      <c r="A143" s="441" t="s">
        <v>386</v>
      </c>
      <c r="B143" s="442" t="s">
        <v>387</v>
      </c>
      <c r="C143" s="443" t="s">
        <v>839</v>
      </c>
      <c r="D143" s="444">
        <v>116215085</v>
      </c>
      <c r="E143" s="444">
        <v>0</v>
      </c>
      <c r="F143" s="444">
        <v>116215085</v>
      </c>
      <c r="G143" s="445">
        <v>8564</v>
      </c>
      <c r="H143" s="446">
        <v>27</v>
      </c>
      <c r="I143" s="447">
        <v>6.6920000000000002</v>
      </c>
      <c r="J143" s="443">
        <v>20.308</v>
      </c>
      <c r="K143" s="448">
        <v>0</v>
      </c>
      <c r="L143" s="449">
        <v>0</v>
      </c>
      <c r="M143" s="448">
        <v>0</v>
      </c>
      <c r="N143" s="443">
        <v>0</v>
      </c>
      <c r="O143" s="450">
        <v>9</v>
      </c>
      <c r="P143" s="448">
        <v>7.3999999999999996E-2</v>
      </c>
      <c r="Q143" s="451">
        <v>29.382000000000001</v>
      </c>
      <c r="R143" s="447">
        <v>11.297000000000001</v>
      </c>
      <c r="S143" s="449">
        <v>0</v>
      </c>
      <c r="T143" s="449">
        <v>0</v>
      </c>
      <c r="U143" s="449">
        <v>0</v>
      </c>
      <c r="V143" s="449">
        <v>0</v>
      </c>
      <c r="W143" s="447">
        <v>40.679000000000002</v>
      </c>
      <c r="X143" s="444">
        <v>39.651000000000003</v>
      </c>
      <c r="Y143" s="444">
        <v>5411602.79</v>
      </c>
      <c r="Z143" s="444">
        <v>2772445.7338200002</v>
      </c>
      <c r="AB143" s="430" t="str">
        <f t="shared" si="3"/>
        <v>UPDATE mill_levy SET cert_per_hb201418 = 27,cert_hb201418_tax_credit = 6.692,certified_catbuy_mill_levy = 0,cert_tot_prog_reserve_fund = 0,certified_hh_mill_levy = 0,certified_override_mill_levy = 9,certified_abate_mill_levy = 0.074,certified_bond_mill_levy = 11.297,certified_transport_mill_levy = 0,certified_sbt_mill_levy = 0,cert_supp_cap_construction = 0,certified_other_mill_levy = 0,full_funding_mill_levy = 39.651,state_funding = 2772445.73382 WHERE district_number = '2730' AND fiscal_year = 20222023;</v>
      </c>
    </row>
    <row r="144" spans="1:28" x14ac:dyDescent="0.2">
      <c r="A144" s="441" t="s">
        <v>389</v>
      </c>
      <c r="B144" s="442" t="s">
        <v>387</v>
      </c>
      <c r="C144" s="443" t="s">
        <v>840</v>
      </c>
      <c r="D144" s="444">
        <v>74217070</v>
      </c>
      <c r="E144" s="444">
        <v>0</v>
      </c>
      <c r="F144" s="444">
        <v>74217070</v>
      </c>
      <c r="G144" s="445">
        <v>921.11</v>
      </c>
      <c r="H144" s="446">
        <v>27</v>
      </c>
      <c r="I144" s="447">
        <v>0</v>
      </c>
      <c r="J144" s="443">
        <v>27</v>
      </c>
      <c r="K144" s="448">
        <v>0</v>
      </c>
      <c r="L144" s="449">
        <v>0</v>
      </c>
      <c r="M144" s="448">
        <v>0</v>
      </c>
      <c r="N144" s="443">
        <v>0</v>
      </c>
      <c r="O144" s="450">
        <v>2.6269999999999998</v>
      </c>
      <c r="P144" s="448">
        <v>1.2E-2</v>
      </c>
      <c r="Q144" s="451">
        <v>29.638999999999999</v>
      </c>
      <c r="R144" s="447">
        <v>7.7910000000000004</v>
      </c>
      <c r="S144" s="449">
        <v>0</v>
      </c>
      <c r="T144" s="449">
        <v>0</v>
      </c>
      <c r="U144" s="449">
        <v>0</v>
      </c>
      <c r="V144" s="449">
        <v>0</v>
      </c>
      <c r="W144" s="447">
        <v>37.43</v>
      </c>
      <c r="X144" s="444">
        <v>137.733</v>
      </c>
      <c r="Y144" s="444">
        <v>11816616.58</v>
      </c>
      <c r="Z144" s="444">
        <v>9544203.2299999986</v>
      </c>
      <c r="AB144" s="430" t="str">
        <f t="shared" si="3"/>
        <v>UPDATE mill_levy SET cert_per_hb201418 = 27,cert_hb201418_tax_credit = 0,certified_catbuy_mill_levy = 0,cert_tot_prog_reserve_fund = 0,certified_hh_mill_levy = 0,certified_override_mill_levy = 2.627,certified_abate_mill_levy = 0.012,certified_bond_mill_levy = 7.791,certified_transport_mill_levy = 0,certified_sbt_mill_levy = 0,cert_supp_cap_construction = 0,certified_other_mill_levy = 0,full_funding_mill_levy = 137.733,state_funding = 9544203.23 WHERE district_number = '2740' AND fiscal_year = 20222023;</v>
      </c>
    </row>
    <row r="145" spans="1:28" x14ac:dyDescent="0.2">
      <c r="A145" s="442" t="s">
        <v>391</v>
      </c>
      <c r="B145" s="452" t="s">
        <v>387</v>
      </c>
      <c r="C145" s="453" t="s">
        <v>841</v>
      </c>
      <c r="D145" s="444">
        <v>43673025</v>
      </c>
      <c r="E145" s="444">
        <v>0</v>
      </c>
      <c r="F145" s="444">
        <v>43673025</v>
      </c>
      <c r="G145" s="445">
        <v>20447.86</v>
      </c>
      <c r="H145" s="446">
        <v>27</v>
      </c>
      <c r="I145" s="447">
        <v>0</v>
      </c>
      <c r="J145" s="443">
        <v>27</v>
      </c>
      <c r="K145" s="448">
        <v>0</v>
      </c>
      <c r="L145" s="449">
        <v>0</v>
      </c>
      <c r="M145" s="448">
        <v>0</v>
      </c>
      <c r="N145" s="443">
        <v>0</v>
      </c>
      <c r="O145" s="450">
        <v>1.7170000000000001</v>
      </c>
      <c r="P145" s="448">
        <v>0.46800000000000003</v>
      </c>
      <c r="Q145" s="451">
        <v>29.184999999999999</v>
      </c>
      <c r="R145" s="447">
        <v>8.9499999999999993</v>
      </c>
      <c r="S145" s="449">
        <v>0</v>
      </c>
      <c r="T145" s="449">
        <v>0</v>
      </c>
      <c r="U145" s="449">
        <v>0</v>
      </c>
      <c r="V145" s="449">
        <v>0</v>
      </c>
      <c r="W145" s="447">
        <v>38.134999999999998</v>
      </c>
      <c r="X145" s="444">
        <v>95.088999999999999</v>
      </c>
      <c r="Y145" s="444">
        <v>4712022.42</v>
      </c>
      <c r="Z145" s="444">
        <v>3420305.2949999999</v>
      </c>
      <c r="AB145" s="430" t="str">
        <f t="shared" si="3"/>
        <v>UPDATE mill_levy SET cert_per_hb201418 = 27,cert_hb201418_tax_credit = 0,certified_catbuy_mill_levy = 0,cert_tot_prog_reserve_fund = 0,certified_hh_mill_levy = 0,certified_override_mill_levy = 1.717,certified_abate_mill_levy = 0.468,certified_bond_mill_levy = 8.95,certified_transport_mill_levy = 0,certified_sbt_mill_levy = 0,cert_supp_cap_construction = 0,certified_other_mill_levy = 0,full_funding_mill_levy = 95.089,state_funding = 3420305.295 WHERE district_number = '2750' AND fiscal_year = 20222023;</v>
      </c>
    </row>
    <row r="146" spans="1:28" x14ac:dyDescent="0.2">
      <c r="A146" s="441" t="s">
        <v>393</v>
      </c>
      <c r="B146" s="442" t="s">
        <v>394</v>
      </c>
      <c r="C146" s="443" t="s">
        <v>842</v>
      </c>
      <c r="D146" s="444">
        <v>149868340</v>
      </c>
      <c r="E146" s="444">
        <v>0</v>
      </c>
      <c r="F146" s="444">
        <v>149868340</v>
      </c>
      <c r="G146" s="445">
        <v>42505</v>
      </c>
      <c r="H146" s="446">
        <v>27</v>
      </c>
      <c r="I146" s="447">
        <v>2.4140000000000001</v>
      </c>
      <c r="J146" s="443">
        <v>24.585999999999999</v>
      </c>
      <c r="K146" s="448">
        <v>0</v>
      </c>
      <c r="L146" s="449">
        <v>0</v>
      </c>
      <c r="M146" s="448">
        <v>0</v>
      </c>
      <c r="N146" s="443">
        <v>0</v>
      </c>
      <c r="O146" s="450">
        <v>6.0419999999999998</v>
      </c>
      <c r="P146" s="448">
        <v>0.28399999999999997</v>
      </c>
      <c r="Q146" s="451">
        <v>30.911999999999999</v>
      </c>
      <c r="R146" s="447">
        <v>12.978</v>
      </c>
      <c r="S146" s="449">
        <v>0</v>
      </c>
      <c r="T146" s="449">
        <v>0</v>
      </c>
      <c r="U146" s="449">
        <v>0</v>
      </c>
      <c r="V146" s="449">
        <v>0</v>
      </c>
      <c r="W146" s="447">
        <v>43.89</v>
      </c>
      <c r="X146" s="444">
        <v>35.36</v>
      </c>
      <c r="Y146" s="444">
        <v>6005312.2199999997</v>
      </c>
      <c r="Z146" s="444">
        <v>2115365.0727599994</v>
      </c>
      <c r="AB146" s="430" t="str">
        <f t="shared" si="3"/>
        <v>UPDATE mill_levy SET cert_per_hb201418 = 27,cert_hb201418_tax_credit = 2.414,certified_catbuy_mill_levy = 0,cert_tot_prog_reserve_fund = 0,certified_hh_mill_levy = 0,certified_override_mill_levy = 6.042,certified_abate_mill_levy = 0.284,certified_bond_mill_levy = 12.978,certified_transport_mill_levy = 0,certified_sbt_mill_levy = 0,cert_supp_cap_construction = 0,certified_other_mill_levy = 0,full_funding_mill_levy = 35.36,state_funding = 2115365.07276 WHERE district_number = '2760' AND fiscal_year = 20222023;</v>
      </c>
    </row>
    <row r="147" spans="1:28" x14ac:dyDescent="0.2">
      <c r="A147" s="454" t="s">
        <v>396</v>
      </c>
      <c r="B147" s="442" t="s">
        <v>394</v>
      </c>
      <c r="C147" s="443" t="s">
        <v>843</v>
      </c>
      <c r="D147" s="444">
        <v>1823519900</v>
      </c>
      <c r="E147" s="444">
        <v>95014110</v>
      </c>
      <c r="F147" s="444">
        <v>1728505790</v>
      </c>
      <c r="G147" s="445">
        <v>125053.48</v>
      </c>
      <c r="H147" s="446">
        <v>6.2629999999999999</v>
      </c>
      <c r="I147" s="447">
        <v>0</v>
      </c>
      <c r="J147" s="443">
        <v>6.2629999999999999</v>
      </c>
      <c r="K147" s="448">
        <v>0</v>
      </c>
      <c r="L147" s="449">
        <v>0</v>
      </c>
      <c r="M147" s="448">
        <v>0.61599999999999999</v>
      </c>
      <c r="N147" s="443">
        <v>0</v>
      </c>
      <c r="O147" s="450">
        <v>3.3780000000000001</v>
      </c>
      <c r="P147" s="448">
        <v>7.1999999999999995E-2</v>
      </c>
      <c r="Q147" s="451">
        <v>10.329000000000001</v>
      </c>
      <c r="R147" s="447">
        <v>5.1189999999999998</v>
      </c>
      <c r="S147" s="449">
        <v>0</v>
      </c>
      <c r="T147" s="449">
        <v>0</v>
      </c>
      <c r="U147" s="449">
        <v>1.1459999999999999</v>
      </c>
      <c r="V147" s="449">
        <v>0</v>
      </c>
      <c r="W147" s="447">
        <v>16.594000000000001</v>
      </c>
      <c r="X147" s="444">
        <v>16.143999999999998</v>
      </c>
      <c r="Y147" s="444">
        <v>30596906</v>
      </c>
      <c r="Z147" s="444">
        <v>18854940.297229998</v>
      </c>
      <c r="AB147" s="430" t="str">
        <f t="shared" si="3"/>
        <v>UPDATE mill_levy SET cert_per_hb201418 = 6.263,cert_hb201418_tax_credit = 0,certified_catbuy_mill_levy = 0,cert_tot_prog_reserve_fund = 0,certified_hh_mill_levy = 0.616,certified_override_mill_levy = 3.378,certified_abate_mill_levy = 0.072,certified_bond_mill_levy = 5.119,certified_transport_mill_levy = 0,certified_sbt_mill_levy = 0,cert_supp_cap_construction = 1.146,certified_other_mill_levy = 0,full_funding_mill_levy = 16.144,state_funding = 18854940.29723 WHERE district_number = '2770' AND fiscal_year = 20222023;</v>
      </c>
    </row>
    <row r="148" spans="1:28" x14ac:dyDescent="0.2">
      <c r="A148" s="454" t="s">
        <v>398</v>
      </c>
      <c r="B148" s="442" t="s">
        <v>394</v>
      </c>
      <c r="C148" s="443" t="s">
        <v>844</v>
      </c>
      <c r="D148" s="444">
        <v>136158550</v>
      </c>
      <c r="E148" s="444">
        <v>0</v>
      </c>
      <c r="F148" s="444">
        <v>136158550</v>
      </c>
      <c r="G148" s="445">
        <v>0</v>
      </c>
      <c r="H148" s="446">
        <v>21.283000000000001</v>
      </c>
      <c r="I148" s="447">
        <v>0</v>
      </c>
      <c r="J148" s="443">
        <v>21.283000000000001</v>
      </c>
      <c r="K148" s="448">
        <v>0</v>
      </c>
      <c r="L148" s="449">
        <v>0</v>
      </c>
      <c r="M148" s="448">
        <v>0</v>
      </c>
      <c r="N148" s="443">
        <v>0</v>
      </c>
      <c r="O148" s="450">
        <v>8.5519999999999996</v>
      </c>
      <c r="P148" s="448">
        <v>0.14899999999999999</v>
      </c>
      <c r="Q148" s="451">
        <v>29.984000000000002</v>
      </c>
      <c r="R148" s="447">
        <v>0</v>
      </c>
      <c r="S148" s="449">
        <v>2.1709999999999998</v>
      </c>
      <c r="T148" s="449">
        <v>0</v>
      </c>
      <c r="U148" s="449">
        <v>6.94</v>
      </c>
      <c r="V148" s="449">
        <v>0</v>
      </c>
      <c r="W148" s="447">
        <v>39.094999999999999</v>
      </c>
      <c r="X148" s="444">
        <v>32.368000000000002</v>
      </c>
      <c r="Y148" s="444">
        <v>5028829.8899999997</v>
      </c>
      <c r="Z148" s="444">
        <v>1926333.5703499997</v>
      </c>
      <c r="AB148" s="430" t="str">
        <f t="shared" si="3"/>
        <v>UPDATE mill_levy SET cert_per_hb201418 = 21.283,cert_hb201418_tax_credit = 0,certified_catbuy_mill_levy = 0,cert_tot_prog_reserve_fund = 0,certified_hh_mill_levy = 0,certified_override_mill_levy = 8.552,certified_abate_mill_levy = 0.149,certified_bond_mill_levy = 0,certified_transport_mill_levy = 2.171,certified_sbt_mill_levy = 0,cert_supp_cap_construction = 6.94,certified_other_mill_levy = 0,full_funding_mill_levy = 32.368,state_funding = 1926333.57035 WHERE district_number = '2780' AND fiscal_year = 20222023;</v>
      </c>
    </row>
    <row r="149" spans="1:28" x14ac:dyDescent="0.2">
      <c r="A149" s="441" t="s">
        <v>400</v>
      </c>
      <c r="B149" s="442" t="s">
        <v>401</v>
      </c>
      <c r="C149" s="443" t="s">
        <v>845</v>
      </c>
      <c r="D149" s="444">
        <v>32410472</v>
      </c>
      <c r="E149" s="444">
        <v>0</v>
      </c>
      <c r="F149" s="444">
        <v>32410472</v>
      </c>
      <c r="G149" s="445">
        <v>0</v>
      </c>
      <c r="H149" s="446">
        <v>27</v>
      </c>
      <c r="I149" s="447">
        <v>0</v>
      </c>
      <c r="J149" s="443">
        <v>27</v>
      </c>
      <c r="K149" s="448">
        <v>0</v>
      </c>
      <c r="L149" s="449">
        <v>0</v>
      </c>
      <c r="M149" s="448">
        <v>0</v>
      </c>
      <c r="N149" s="443">
        <v>0</v>
      </c>
      <c r="O149" s="450">
        <v>0</v>
      </c>
      <c r="P149" s="448">
        <v>5.8999999999999997E-2</v>
      </c>
      <c r="Q149" s="451">
        <v>27.059000000000001</v>
      </c>
      <c r="R149" s="447">
        <v>8.9469999999999992</v>
      </c>
      <c r="S149" s="449">
        <v>0</v>
      </c>
      <c r="T149" s="449">
        <v>0</v>
      </c>
      <c r="U149" s="449">
        <v>0</v>
      </c>
      <c r="V149" s="449">
        <v>0</v>
      </c>
      <c r="W149" s="447">
        <v>36.006</v>
      </c>
      <c r="X149" s="444">
        <v>86.236999999999995</v>
      </c>
      <c r="Y149" s="444">
        <v>3297793.59</v>
      </c>
      <c r="Z149" s="444">
        <v>2195259.9159999997</v>
      </c>
      <c r="AB149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0.059,certified_bond_mill_levy = 8.947,certified_transport_mill_levy = 0,certified_sbt_mill_levy = 0,cert_supp_cap_construction = 0,certified_other_mill_levy = 0,full_funding_mill_levy = 86.237,state_funding = 2195259.916 WHERE district_number = '2790' AND fiscal_year = 20222023;</v>
      </c>
    </row>
    <row r="150" spans="1:28" x14ac:dyDescent="0.2">
      <c r="A150" s="441" t="s">
        <v>403</v>
      </c>
      <c r="B150" s="442" t="s">
        <v>401</v>
      </c>
      <c r="C150" s="443" t="s">
        <v>846</v>
      </c>
      <c r="D150" s="444">
        <v>43794331</v>
      </c>
      <c r="E150" s="444">
        <v>0</v>
      </c>
      <c r="F150" s="444">
        <v>43794331</v>
      </c>
      <c r="G150" s="445">
        <v>0</v>
      </c>
      <c r="H150" s="446">
        <v>27</v>
      </c>
      <c r="I150" s="447">
        <v>0</v>
      </c>
      <c r="J150" s="443">
        <v>27</v>
      </c>
      <c r="K150" s="448">
        <v>0</v>
      </c>
      <c r="L150" s="449">
        <v>0</v>
      </c>
      <c r="M150" s="448">
        <v>0</v>
      </c>
      <c r="N150" s="443">
        <v>0</v>
      </c>
      <c r="O150" s="450">
        <v>4.5670000000000002</v>
      </c>
      <c r="P150" s="448">
        <v>0.156</v>
      </c>
      <c r="Q150" s="451">
        <v>31.722999999999999</v>
      </c>
      <c r="R150" s="447">
        <v>9.1050000000000004</v>
      </c>
      <c r="S150" s="449">
        <v>0</v>
      </c>
      <c r="T150" s="449">
        <v>0</v>
      </c>
      <c r="U150" s="449">
        <v>0</v>
      </c>
      <c r="V150" s="449">
        <v>0</v>
      </c>
      <c r="W150" s="447">
        <v>40.828000000000003</v>
      </c>
      <c r="X150" s="444">
        <v>76.787999999999997</v>
      </c>
      <c r="Y150" s="444">
        <v>4205760.08</v>
      </c>
      <c r="Z150" s="444">
        <v>2897062.003</v>
      </c>
      <c r="AB150" s="430" t="str">
        <f t="shared" si="3"/>
        <v>UPDATE mill_levy SET cert_per_hb201418 = 27,cert_hb201418_tax_credit = 0,certified_catbuy_mill_levy = 0,cert_tot_prog_reserve_fund = 0,certified_hh_mill_levy = 0,certified_override_mill_levy = 4.567,certified_abate_mill_levy = 0.156,certified_bond_mill_levy = 9.105,certified_transport_mill_levy = 0,certified_sbt_mill_levy = 0,cert_supp_cap_construction = 0,certified_other_mill_levy = 0,full_funding_mill_levy = 76.788,state_funding = 2897062.003 WHERE district_number = '2800' AND fiscal_year = 20222023;</v>
      </c>
    </row>
    <row r="151" spans="1:28" x14ac:dyDescent="0.2">
      <c r="A151" s="441" t="s">
        <v>404</v>
      </c>
      <c r="B151" s="442" t="s">
        <v>401</v>
      </c>
      <c r="C151" s="443" t="s">
        <v>847</v>
      </c>
      <c r="D151" s="444">
        <v>41561228</v>
      </c>
      <c r="E151" s="444">
        <v>0</v>
      </c>
      <c r="F151" s="444">
        <v>41561228</v>
      </c>
      <c r="G151" s="445">
        <v>2452</v>
      </c>
      <c r="H151" s="446">
        <v>27</v>
      </c>
      <c r="I151" s="447">
        <v>0</v>
      </c>
      <c r="J151" s="443">
        <v>27</v>
      </c>
      <c r="K151" s="448">
        <v>0</v>
      </c>
      <c r="L151" s="449">
        <v>0</v>
      </c>
      <c r="M151" s="448">
        <v>0</v>
      </c>
      <c r="N151" s="443">
        <v>0</v>
      </c>
      <c r="O151" s="450">
        <v>0</v>
      </c>
      <c r="P151" s="448">
        <v>5.8999999999999997E-2</v>
      </c>
      <c r="Q151" s="451">
        <v>27.059000000000001</v>
      </c>
      <c r="R151" s="447">
        <v>10.311</v>
      </c>
      <c r="S151" s="449">
        <v>0</v>
      </c>
      <c r="T151" s="449">
        <v>0</v>
      </c>
      <c r="U151" s="449">
        <v>0</v>
      </c>
      <c r="V151" s="449">
        <v>0</v>
      </c>
      <c r="W151" s="447">
        <v>37.369999999999997</v>
      </c>
      <c r="X151" s="444">
        <v>160.63999999999999</v>
      </c>
      <c r="Y151" s="444">
        <v>7821202.0700000003</v>
      </c>
      <c r="Z151" s="444">
        <v>6527427.7440000009</v>
      </c>
      <c r="AB151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0.059,certified_bond_mill_levy = 10.311,certified_transport_mill_levy = 0,certified_sbt_mill_levy = 0,cert_supp_cap_construction = 0,certified_other_mill_levy = 0,full_funding_mill_levy = 160.64,state_funding = 6527427.744 WHERE district_number = '2810' AND fiscal_year = 20222023;</v>
      </c>
    </row>
    <row r="152" spans="1:28" x14ac:dyDescent="0.2">
      <c r="A152" s="442" t="s">
        <v>406</v>
      </c>
      <c r="B152" s="442" t="s">
        <v>407</v>
      </c>
      <c r="C152" s="443" t="s">
        <v>848</v>
      </c>
      <c r="D152" s="444">
        <v>73362974</v>
      </c>
      <c r="E152" s="444">
        <v>0</v>
      </c>
      <c r="F152" s="444">
        <v>73362974</v>
      </c>
      <c r="G152" s="445">
        <v>1687</v>
      </c>
      <c r="H152" s="446">
        <v>15.009</v>
      </c>
      <c r="I152" s="447">
        <v>4.3999999999999997E-2</v>
      </c>
      <c r="J152" s="443">
        <v>14.965</v>
      </c>
      <c r="K152" s="448">
        <v>0</v>
      </c>
      <c r="L152" s="449">
        <v>0</v>
      </c>
      <c r="M152" s="448">
        <v>0.27</v>
      </c>
      <c r="N152" s="443">
        <v>0</v>
      </c>
      <c r="O152" s="450">
        <v>0</v>
      </c>
      <c r="P152" s="448">
        <v>2.3E-2</v>
      </c>
      <c r="Q152" s="451">
        <v>15.257999999999999</v>
      </c>
      <c r="R152" s="447">
        <v>1.25</v>
      </c>
      <c r="S152" s="449">
        <v>0</v>
      </c>
      <c r="T152" s="449">
        <v>0</v>
      </c>
      <c r="U152" s="449">
        <v>0</v>
      </c>
      <c r="V152" s="449">
        <v>0</v>
      </c>
      <c r="W152" s="447">
        <v>16.507999999999999</v>
      </c>
      <c r="X152" s="444">
        <v>23.013999999999999</v>
      </c>
      <c r="Y152" s="444">
        <v>1893445.02</v>
      </c>
      <c r="Z152" s="444">
        <v>721934.32409000001</v>
      </c>
      <c r="AB152" s="430" t="str">
        <f t="shared" si="3"/>
        <v>UPDATE mill_levy SET cert_per_hb201418 = 15.009,cert_hb201418_tax_credit = 0.044,certified_catbuy_mill_levy = 0,cert_tot_prog_reserve_fund = 0,certified_hh_mill_levy = 0.27,certified_override_mill_levy = 0,certified_abate_mill_levy = 0.023,certified_bond_mill_levy = 1.25,certified_transport_mill_levy = 0,certified_sbt_mill_levy = 0,cert_supp_cap_construction = 0,certified_other_mill_levy = 0,full_funding_mill_levy = 23.014,state_funding = 721934.32409 WHERE district_number = '2820' AND fiscal_year = 20222023;</v>
      </c>
    </row>
    <row r="153" spans="1:28" x14ac:dyDescent="0.2">
      <c r="A153" s="441" t="s">
        <v>409</v>
      </c>
      <c r="B153" s="442" t="s">
        <v>410</v>
      </c>
      <c r="C153" s="443" t="s">
        <v>849</v>
      </c>
      <c r="D153" s="444">
        <v>1224240494</v>
      </c>
      <c r="E153" s="444">
        <v>0</v>
      </c>
      <c r="F153" s="444">
        <v>1224240494</v>
      </c>
      <c r="G153" s="445">
        <v>108957</v>
      </c>
      <c r="H153" s="446">
        <v>7.2809999999999997</v>
      </c>
      <c r="I153" s="447">
        <v>0</v>
      </c>
      <c r="J153" s="443">
        <v>7.2809999999999997</v>
      </c>
      <c r="K153" s="448">
        <v>0</v>
      </c>
      <c r="L153" s="449">
        <v>0</v>
      </c>
      <c r="M153" s="448">
        <v>0</v>
      </c>
      <c r="N153" s="443">
        <v>0</v>
      </c>
      <c r="O153" s="450">
        <v>3.036</v>
      </c>
      <c r="P153" s="448">
        <v>8.8999999999999996E-2</v>
      </c>
      <c r="Q153" s="451">
        <v>10.406000000000001</v>
      </c>
      <c r="R153" s="447">
        <v>3.129</v>
      </c>
      <c r="S153" s="449">
        <v>0.34399999999999997</v>
      </c>
      <c r="T153" s="449">
        <v>0</v>
      </c>
      <c r="U153" s="449">
        <v>0</v>
      </c>
      <c r="V153" s="449">
        <v>0</v>
      </c>
      <c r="W153" s="447">
        <v>13.879</v>
      </c>
      <c r="X153" s="444">
        <v>9.9</v>
      </c>
      <c r="Y153" s="444">
        <v>13370071.560000001</v>
      </c>
      <c r="Z153" s="444">
        <v>4078512.7731340001</v>
      </c>
      <c r="AB153" s="430" t="str">
        <f t="shared" si="3"/>
        <v>UPDATE mill_levy SET cert_per_hb201418 = 7.281,cert_hb201418_tax_credit = 0,certified_catbuy_mill_levy = 0,cert_tot_prog_reserve_fund = 0,certified_hh_mill_levy = 0,certified_override_mill_levy = 3.036,certified_abate_mill_levy = 0.089,certified_bond_mill_levy = 3.129,certified_transport_mill_levy = 0.344,certified_sbt_mill_levy = 0,cert_supp_cap_construction = 0,certified_other_mill_levy = 0,full_funding_mill_levy = 9.9,state_funding = 4078512.773134 WHERE district_number = '2830' AND fiscal_year = 20222023;</v>
      </c>
    </row>
    <row r="154" spans="1:28" x14ac:dyDescent="0.2">
      <c r="A154" s="442" t="s">
        <v>412</v>
      </c>
      <c r="B154" s="442" t="s">
        <v>410</v>
      </c>
      <c r="C154" s="443" t="s">
        <v>850</v>
      </c>
      <c r="D154" s="444">
        <v>52792979</v>
      </c>
      <c r="E154" s="444">
        <v>0</v>
      </c>
      <c r="F154" s="444">
        <v>52792979</v>
      </c>
      <c r="G154" s="445">
        <v>3069.36</v>
      </c>
      <c r="H154" s="446">
        <v>16.998999999999999</v>
      </c>
      <c r="I154" s="447">
        <v>9.0890000000000004</v>
      </c>
      <c r="J154" s="443">
        <v>7.91</v>
      </c>
      <c r="K154" s="448">
        <v>0</v>
      </c>
      <c r="L154" s="449">
        <v>0</v>
      </c>
      <c r="M154" s="448">
        <v>0</v>
      </c>
      <c r="N154" s="443">
        <v>0</v>
      </c>
      <c r="O154" s="450">
        <v>8.5649999999999995</v>
      </c>
      <c r="P154" s="448">
        <v>5.8000000000000003E-2</v>
      </c>
      <c r="Q154" s="451">
        <v>15.532999999999999</v>
      </c>
      <c r="R154" s="447">
        <v>0</v>
      </c>
      <c r="S154" s="449">
        <v>0</v>
      </c>
      <c r="T154" s="449">
        <v>0</v>
      </c>
      <c r="U154" s="449">
        <v>0</v>
      </c>
      <c r="V154" s="449">
        <v>0</v>
      </c>
      <c r="W154" s="447">
        <v>15.532999999999999</v>
      </c>
      <c r="X154" s="444">
        <v>58.061999999999998</v>
      </c>
      <c r="Y154" s="444">
        <v>3659286.27</v>
      </c>
      <c r="Z154" s="444">
        <v>3221226.8261100003</v>
      </c>
      <c r="AB154" s="430" t="str">
        <f t="shared" si="3"/>
        <v>UPDATE mill_levy SET cert_per_hb201418 = 16.999,cert_hb201418_tax_credit = 9.089,certified_catbuy_mill_levy = 0,cert_tot_prog_reserve_fund = 0,certified_hh_mill_levy = 0,certified_override_mill_levy = 8.565,certified_abate_mill_levy = 0.058,certified_bond_mill_levy = 0,certified_transport_mill_levy = 0,certified_sbt_mill_levy = 0,cert_supp_cap_construction = 0,certified_other_mill_levy = 0,full_funding_mill_levy = 58.062,state_funding = 3221226.82611 WHERE district_number = '2840' AND fiscal_year = 20222023;</v>
      </c>
    </row>
    <row r="155" spans="1:28" x14ac:dyDescent="0.2">
      <c r="A155" s="441" t="s">
        <v>414</v>
      </c>
      <c r="B155" s="442" t="s">
        <v>415</v>
      </c>
      <c r="C155" s="443" t="s">
        <v>851</v>
      </c>
      <c r="D155" s="444">
        <v>30678247</v>
      </c>
      <c r="E155" s="444">
        <v>0</v>
      </c>
      <c r="F155" s="444">
        <v>30678247</v>
      </c>
      <c r="G155" s="445">
        <v>5491.8</v>
      </c>
      <c r="H155" s="446">
        <v>27</v>
      </c>
      <c r="I155" s="447">
        <v>0</v>
      </c>
      <c r="J155" s="443">
        <v>27</v>
      </c>
      <c r="K155" s="448">
        <v>0</v>
      </c>
      <c r="L155" s="449">
        <v>0</v>
      </c>
      <c r="M155" s="448">
        <v>0</v>
      </c>
      <c r="N155" s="443">
        <v>0</v>
      </c>
      <c r="O155" s="450">
        <v>0</v>
      </c>
      <c r="P155" s="448">
        <v>0.17899999999999999</v>
      </c>
      <c r="Q155" s="451">
        <v>27.178999999999998</v>
      </c>
      <c r="R155" s="447">
        <v>13.528</v>
      </c>
      <c r="S155" s="449">
        <v>0</v>
      </c>
      <c r="T155" s="449">
        <v>0</v>
      </c>
      <c r="U155" s="449">
        <v>0</v>
      </c>
      <c r="V155" s="449">
        <v>0</v>
      </c>
      <c r="W155" s="447">
        <v>40.707000000000001</v>
      </c>
      <c r="X155" s="444">
        <v>191.75200000000001</v>
      </c>
      <c r="Y155" s="444">
        <v>7647683.2000000002</v>
      </c>
      <c r="Z155" s="444">
        <v>6610995.25</v>
      </c>
      <c r="AB155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0.179,certified_bond_mill_levy = 13.528,certified_transport_mill_levy = 0,certified_sbt_mill_levy = 0,cert_supp_cap_construction = 0,certified_other_mill_levy = 0,full_funding_mill_levy = 191.752,state_funding = 6610995.25 WHERE district_number = '2862' AND fiscal_year = 20222023;</v>
      </c>
    </row>
    <row r="156" spans="1:28" x14ac:dyDescent="0.2">
      <c r="A156" s="441" t="s">
        <v>417</v>
      </c>
      <c r="B156" s="442" t="s">
        <v>415</v>
      </c>
      <c r="C156" s="443" t="s">
        <v>852</v>
      </c>
      <c r="D156" s="444">
        <v>29919210</v>
      </c>
      <c r="E156" s="444">
        <v>0</v>
      </c>
      <c r="F156" s="444">
        <v>29919210</v>
      </c>
      <c r="G156" s="445">
        <v>0</v>
      </c>
      <c r="H156" s="446">
        <v>27</v>
      </c>
      <c r="I156" s="447">
        <v>5.8000000000000003E-2</v>
      </c>
      <c r="J156" s="443">
        <v>26.942</v>
      </c>
      <c r="K156" s="448">
        <v>0</v>
      </c>
      <c r="L156" s="449">
        <v>0</v>
      </c>
      <c r="M156" s="448">
        <v>2.4809999999999999</v>
      </c>
      <c r="N156" s="443">
        <v>0</v>
      </c>
      <c r="O156" s="450">
        <v>0</v>
      </c>
      <c r="P156" s="448">
        <v>0</v>
      </c>
      <c r="Q156" s="451">
        <v>29.422999999999998</v>
      </c>
      <c r="R156" s="447">
        <v>13</v>
      </c>
      <c r="S156" s="449">
        <v>0</v>
      </c>
      <c r="T156" s="449">
        <v>0</v>
      </c>
      <c r="U156" s="449">
        <v>0</v>
      </c>
      <c r="V156" s="449">
        <v>0</v>
      </c>
      <c r="W156" s="447">
        <v>42.423000000000002</v>
      </c>
      <c r="X156" s="444">
        <v>84.903999999999996</v>
      </c>
      <c r="Y156" s="444">
        <v>2780155.05</v>
      </c>
      <c r="Z156" s="444">
        <v>1880500.6441799996</v>
      </c>
      <c r="AB156" s="430" t="str">
        <f t="shared" si="3"/>
        <v>UPDATE mill_levy SET cert_per_hb201418 = 27,cert_hb201418_tax_credit = 0.058,certified_catbuy_mill_levy = 0,cert_tot_prog_reserve_fund = 0,certified_hh_mill_levy = 2.481,certified_override_mill_levy = 0,certified_abate_mill_levy = 0,certified_bond_mill_levy = 13,certified_transport_mill_levy = 0,certified_sbt_mill_levy = 0,cert_supp_cap_construction = 0,certified_other_mill_levy = 0,full_funding_mill_levy = 84.904,state_funding = 1880500.64418 WHERE district_number = '2865' AND fiscal_year = 20222023;</v>
      </c>
    </row>
    <row r="157" spans="1:28" x14ac:dyDescent="0.2">
      <c r="A157" s="454" t="s">
        <v>419</v>
      </c>
      <c r="B157" s="442" t="s">
        <v>420</v>
      </c>
      <c r="C157" s="443" t="s">
        <v>853</v>
      </c>
      <c r="D157" s="444">
        <v>3457385818</v>
      </c>
      <c r="E157" s="444">
        <v>64449845</v>
      </c>
      <c r="F157" s="444">
        <v>3392935973</v>
      </c>
      <c r="G157" s="445">
        <v>62827</v>
      </c>
      <c r="H157" s="446">
        <v>10.666</v>
      </c>
      <c r="I157" s="447">
        <v>0</v>
      </c>
      <c r="J157" s="443">
        <v>10.666</v>
      </c>
      <c r="K157" s="448">
        <v>0</v>
      </c>
      <c r="L157" s="449">
        <v>0</v>
      </c>
      <c r="M157" s="448">
        <v>0.435</v>
      </c>
      <c r="N157" s="443">
        <v>0</v>
      </c>
      <c r="O157" s="450">
        <v>1.8120000000000001</v>
      </c>
      <c r="P157" s="448">
        <v>1.7999999999999999E-2</v>
      </c>
      <c r="Q157" s="451">
        <v>12.930999999999999</v>
      </c>
      <c r="R157" s="447">
        <v>1.591</v>
      </c>
      <c r="S157" s="449">
        <v>0.25900000000000001</v>
      </c>
      <c r="T157" s="449">
        <v>0</v>
      </c>
      <c r="U157" s="449">
        <v>1</v>
      </c>
      <c r="V157" s="449">
        <v>0</v>
      </c>
      <c r="W157" s="447">
        <v>15.781000000000001</v>
      </c>
      <c r="X157" s="444">
        <v>10.648</v>
      </c>
      <c r="Y157" s="444">
        <v>41747412.399999999</v>
      </c>
      <c r="Z157" s="444">
        <v>3857337.9419819983</v>
      </c>
      <c r="AB157" s="430" t="str">
        <f t="shared" si="3"/>
        <v>UPDATE mill_levy SET cert_per_hb201418 = 10.666,cert_hb201418_tax_credit = 0,certified_catbuy_mill_levy = 0,cert_tot_prog_reserve_fund = 0,certified_hh_mill_levy = 0.435,certified_override_mill_levy = 1.812,certified_abate_mill_levy = 0.018,certified_bond_mill_levy = 1.591,certified_transport_mill_levy = 0.259,certified_sbt_mill_levy = 0,cert_supp_cap_construction = 1,certified_other_mill_levy = 0,full_funding_mill_levy = 10.648,state_funding = 3857337.941982 WHERE district_number = '3000' AND fiscal_year = 20222023;</v>
      </c>
    </row>
    <row r="158" spans="1:28" x14ac:dyDescent="0.2">
      <c r="A158" s="441" t="s">
        <v>421</v>
      </c>
      <c r="B158" s="442" t="s">
        <v>422</v>
      </c>
      <c r="C158" s="443" t="s">
        <v>854</v>
      </c>
      <c r="D158" s="444">
        <v>413811820</v>
      </c>
      <c r="E158" s="444">
        <v>0</v>
      </c>
      <c r="F158" s="444">
        <v>413811820</v>
      </c>
      <c r="G158" s="445">
        <v>1934</v>
      </c>
      <c r="H158" s="446">
        <v>9.2579999999999991</v>
      </c>
      <c r="I158" s="447">
        <v>0</v>
      </c>
      <c r="J158" s="443">
        <v>9.2579999999999991</v>
      </c>
      <c r="K158" s="448">
        <v>0</v>
      </c>
      <c r="L158" s="457">
        <v>0</v>
      </c>
      <c r="M158" s="448">
        <v>0</v>
      </c>
      <c r="N158" s="443">
        <v>0</v>
      </c>
      <c r="O158" s="450">
        <v>1.411</v>
      </c>
      <c r="P158" s="448">
        <v>5.0000000000000001E-3</v>
      </c>
      <c r="Q158" s="451">
        <v>10.673999999999999</v>
      </c>
      <c r="R158" s="447">
        <v>1.1879999999999999</v>
      </c>
      <c r="S158" s="449">
        <v>0</v>
      </c>
      <c r="T158" s="449">
        <v>0</v>
      </c>
      <c r="U158" s="449">
        <v>0</v>
      </c>
      <c r="V158" s="449">
        <v>0</v>
      </c>
      <c r="W158" s="447">
        <v>11.862</v>
      </c>
      <c r="X158" s="444">
        <v>9.2579999999999991</v>
      </c>
      <c r="Y158" s="444">
        <v>4765168.7699999996</v>
      </c>
      <c r="Z158" s="444">
        <v>454763.92431999941</v>
      </c>
      <c r="AB158" s="430" t="str">
        <f t="shared" si="3"/>
        <v>UPDATE mill_levy SET cert_per_hb201418 = 9.258,cert_hb201418_tax_credit = 0,certified_catbuy_mill_levy = 0,cert_tot_prog_reserve_fund = 0,certified_hh_mill_levy = 0,certified_override_mill_levy = 1.411,certified_abate_mill_levy = 0.005,certified_bond_mill_levy = 1.188,certified_transport_mill_levy = 0,certified_sbt_mill_levy = 0,cert_supp_cap_construction = 0,certified_other_mill_levy = 0,full_funding_mill_levy = 9.258,state_funding = 454763.924319999 WHERE district_number = '3010' AND fiscal_year = 20222023;</v>
      </c>
    </row>
    <row r="159" spans="1:28" x14ac:dyDescent="0.2">
      <c r="A159" s="441" t="s">
        <v>424</v>
      </c>
      <c r="B159" s="442" t="s">
        <v>422</v>
      </c>
      <c r="C159" s="443" t="s">
        <v>855</v>
      </c>
      <c r="D159" s="444">
        <v>429146870</v>
      </c>
      <c r="E159" s="444">
        <v>12686157</v>
      </c>
      <c r="F159" s="444">
        <v>416460713</v>
      </c>
      <c r="G159" s="445">
        <v>26986</v>
      </c>
      <c r="H159" s="446">
        <v>27</v>
      </c>
      <c r="I159" s="447">
        <v>0.45</v>
      </c>
      <c r="J159" s="443">
        <v>26.55</v>
      </c>
      <c r="K159" s="448">
        <v>0</v>
      </c>
      <c r="L159" s="449">
        <v>0</v>
      </c>
      <c r="M159" s="448">
        <v>0</v>
      </c>
      <c r="N159" s="443">
        <v>0</v>
      </c>
      <c r="O159" s="450">
        <v>2.6419999999999999</v>
      </c>
      <c r="P159" s="448">
        <v>6.5000000000000002E-2</v>
      </c>
      <c r="Q159" s="451">
        <v>29.257000000000001</v>
      </c>
      <c r="R159" s="447">
        <v>0</v>
      </c>
      <c r="S159" s="449">
        <v>0</v>
      </c>
      <c r="T159" s="449">
        <v>0</v>
      </c>
      <c r="U159" s="449">
        <v>0</v>
      </c>
      <c r="V159" s="449">
        <v>0</v>
      </c>
      <c r="W159" s="447">
        <v>29.257000000000001</v>
      </c>
      <c r="X159" s="444">
        <v>47.796999999999997</v>
      </c>
      <c r="Y159" s="444">
        <v>21970505.670000002</v>
      </c>
      <c r="Z159" s="444">
        <v>10040049.289850002</v>
      </c>
      <c r="AB159" s="430" t="str">
        <f t="shared" si="3"/>
        <v>UPDATE mill_levy SET cert_per_hb201418 = 27,cert_hb201418_tax_credit = 0.45,certified_catbuy_mill_levy = 0,cert_tot_prog_reserve_fund = 0,certified_hh_mill_levy = 0,certified_override_mill_levy = 2.642,certified_abate_mill_levy = 0.065,certified_bond_mill_levy = 0,certified_transport_mill_levy = 0,certified_sbt_mill_levy = 0,cert_supp_cap_construction = 0,certified_other_mill_levy = 0,full_funding_mill_levy = 47.797,state_funding = 10040049.28985 WHERE district_number = '3020' AND fiscal_year = 20222023;</v>
      </c>
    </row>
    <row r="160" spans="1:28" x14ac:dyDescent="0.2">
      <c r="A160" s="441" t="s">
        <v>426</v>
      </c>
      <c r="B160" s="442" t="s">
        <v>427</v>
      </c>
      <c r="C160" s="443" t="s">
        <v>856</v>
      </c>
      <c r="D160" s="444">
        <v>49086452</v>
      </c>
      <c r="E160" s="444">
        <v>0</v>
      </c>
      <c r="F160" s="444">
        <v>49086452</v>
      </c>
      <c r="G160" s="445">
        <v>91</v>
      </c>
      <c r="H160" s="446">
        <v>27</v>
      </c>
      <c r="I160" s="447">
        <v>0</v>
      </c>
      <c r="J160" s="443">
        <v>27</v>
      </c>
      <c r="K160" s="448">
        <v>0</v>
      </c>
      <c r="L160" s="449">
        <v>0</v>
      </c>
      <c r="M160" s="448">
        <v>0</v>
      </c>
      <c r="N160" s="443">
        <v>0</v>
      </c>
      <c r="O160" s="450">
        <v>0</v>
      </c>
      <c r="P160" s="448">
        <v>0.14099999999999999</v>
      </c>
      <c r="Q160" s="451">
        <v>27.140999999999998</v>
      </c>
      <c r="R160" s="447">
        <v>9.94</v>
      </c>
      <c r="S160" s="449">
        <v>0</v>
      </c>
      <c r="T160" s="449">
        <v>0</v>
      </c>
      <c r="U160" s="449">
        <v>0</v>
      </c>
      <c r="V160" s="449">
        <v>0</v>
      </c>
      <c r="W160" s="447">
        <v>37.081000000000003</v>
      </c>
      <c r="X160" s="444">
        <v>99.549000000000007</v>
      </c>
      <c r="Y160" s="444">
        <v>5643145.6299999999</v>
      </c>
      <c r="Z160" s="444">
        <v>4160760.946</v>
      </c>
      <c r="AB160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0.141,certified_bond_mill_levy = 9.94,certified_transport_mill_levy = 0,certified_sbt_mill_levy = 0,cert_supp_cap_construction = 0,certified_other_mill_levy = 0,full_funding_mill_levy = 99.549,state_funding = 4160760.946 WHERE district_number = '3030' AND fiscal_year = 20222023;</v>
      </c>
    </row>
    <row r="161" spans="1:28" x14ac:dyDescent="0.2">
      <c r="A161" s="441" t="s">
        <v>429</v>
      </c>
      <c r="B161" s="442" t="s">
        <v>427</v>
      </c>
      <c r="C161" s="443" t="s">
        <v>857</v>
      </c>
      <c r="D161" s="444">
        <v>29787304</v>
      </c>
      <c r="E161" s="444">
        <v>0</v>
      </c>
      <c r="F161" s="444">
        <v>29787304</v>
      </c>
      <c r="G161" s="445">
        <v>2752</v>
      </c>
      <c r="H161" s="446">
        <v>27</v>
      </c>
      <c r="I161" s="447">
        <v>8.8190000000000008</v>
      </c>
      <c r="J161" s="443">
        <v>18.181000000000001</v>
      </c>
      <c r="K161" s="448">
        <v>0</v>
      </c>
      <c r="L161" s="449">
        <v>0</v>
      </c>
      <c r="M161" s="448">
        <v>0.23300000000000001</v>
      </c>
      <c r="N161" s="443">
        <v>0</v>
      </c>
      <c r="O161" s="450">
        <v>8.4</v>
      </c>
      <c r="P161" s="448">
        <v>9.1999999999999998E-2</v>
      </c>
      <c r="Q161" s="451">
        <v>26.905999999999999</v>
      </c>
      <c r="R161" s="447">
        <v>0</v>
      </c>
      <c r="S161" s="449">
        <v>0</v>
      </c>
      <c r="T161" s="449">
        <v>0</v>
      </c>
      <c r="U161" s="449">
        <v>0</v>
      </c>
      <c r="V161" s="449">
        <v>0</v>
      </c>
      <c r="W161" s="447">
        <v>26.905999999999999</v>
      </c>
      <c r="X161" s="444">
        <v>52.533000000000001</v>
      </c>
      <c r="Y161" s="444">
        <v>1991377.31</v>
      </c>
      <c r="Z161" s="444">
        <v>1382782.895976</v>
      </c>
      <c r="AB161" s="430" t="str">
        <f t="shared" si="3"/>
        <v>UPDATE mill_levy SET cert_per_hb201418 = 27,cert_hb201418_tax_credit = 8.819,certified_catbuy_mill_levy = 0,cert_tot_prog_reserve_fund = 0,certified_hh_mill_levy = 0.233,certified_override_mill_levy = 8.4,certified_abate_mill_levy = 0.092,certified_bond_mill_levy = 0,certified_transport_mill_levy = 0,certified_sbt_mill_levy = 0,cert_supp_cap_construction = 0,certified_other_mill_levy = 0,full_funding_mill_levy = 52.533,state_funding = 1382782.895976 WHERE district_number = '3040' AND fiscal_year = 20222023;</v>
      </c>
    </row>
    <row r="162" spans="1:28" x14ac:dyDescent="0.2">
      <c r="A162" s="441" t="s">
        <v>431</v>
      </c>
      <c r="B162" s="442" t="s">
        <v>427</v>
      </c>
      <c r="C162" s="443" t="s">
        <v>858</v>
      </c>
      <c r="D162" s="444">
        <v>22633247</v>
      </c>
      <c r="E162" s="444">
        <v>0</v>
      </c>
      <c r="F162" s="444">
        <v>22633247</v>
      </c>
      <c r="G162" s="445">
        <v>2561</v>
      </c>
      <c r="H162" s="446">
        <v>27</v>
      </c>
      <c r="I162" s="447">
        <v>0</v>
      </c>
      <c r="J162" s="443">
        <v>27</v>
      </c>
      <c r="K162" s="448">
        <v>0</v>
      </c>
      <c r="L162" s="449">
        <v>0</v>
      </c>
      <c r="M162" s="448">
        <v>0</v>
      </c>
      <c r="N162" s="443">
        <v>0</v>
      </c>
      <c r="O162" s="450">
        <v>0</v>
      </c>
      <c r="P162" s="448">
        <v>0</v>
      </c>
      <c r="Q162" s="451">
        <v>27</v>
      </c>
      <c r="R162" s="447">
        <v>7.1879999999999997</v>
      </c>
      <c r="S162" s="449">
        <v>0</v>
      </c>
      <c r="T162" s="449">
        <v>0</v>
      </c>
      <c r="U162" s="449">
        <v>0</v>
      </c>
      <c r="V162" s="449">
        <v>0</v>
      </c>
      <c r="W162" s="447">
        <v>34.188000000000002</v>
      </c>
      <c r="X162" s="444">
        <v>144.59</v>
      </c>
      <c r="Y162" s="444">
        <v>3689779.86</v>
      </c>
      <c r="Z162" s="444">
        <v>3037369.4129999997</v>
      </c>
      <c r="AB162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0,certified_bond_mill_levy = 7.188,certified_transport_mill_levy = 0,certified_sbt_mill_levy = 0,cert_supp_cap_construction = 0,certified_other_mill_levy = 0,full_funding_mill_levy = 144.59,state_funding = 3037369.413 WHERE district_number = '3050' AND fiscal_year = 20222023;</v>
      </c>
    </row>
    <row r="163" spans="1:28" x14ac:dyDescent="0.2">
      <c r="A163" s="441" t="s">
        <v>433</v>
      </c>
      <c r="B163" s="442" t="s">
        <v>427</v>
      </c>
      <c r="C163" s="443" t="s">
        <v>859</v>
      </c>
      <c r="D163" s="444">
        <v>33049681</v>
      </c>
      <c r="E163" s="444">
        <v>0</v>
      </c>
      <c r="F163" s="444">
        <v>33049681</v>
      </c>
      <c r="G163" s="445">
        <v>207</v>
      </c>
      <c r="H163" s="446">
        <v>27</v>
      </c>
      <c r="I163" s="447">
        <v>0</v>
      </c>
      <c r="J163" s="443">
        <v>27</v>
      </c>
      <c r="K163" s="448">
        <v>0</v>
      </c>
      <c r="L163" s="457">
        <v>0</v>
      </c>
      <c r="M163" s="448">
        <v>0</v>
      </c>
      <c r="N163" s="443">
        <v>0</v>
      </c>
      <c r="O163" s="450">
        <v>0</v>
      </c>
      <c r="P163" s="448">
        <v>0</v>
      </c>
      <c r="Q163" s="451">
        <v>27</v>
      </c>
      <c r="R163" s="447">
        <v>0</v>
      </c>
      <c r="S163" s="449">
        <v>0</v>
      </c>
      <c r="T163" s="449">
        <v>0</v>
      </c>
      <c r="U163" s="449">
        <v>0</v>
      </c>
      <c r="V163" s="449">
        <v>0</v>
      </c>
      <c r="W163" s="447">
        <v>27</v>
      </c>
      <c r="X163" s="444">
        <v>82.545000000000002</v>
      </c>
      <c r="Y163" s="444">
        <v>2767543.75</v>
      </c>
      <c r="Z163" s="444">
        <v>1790644.963</v>
      </c>
      <c r="AB163" s="430" t="str">
        <f t="shared" si="3"/>
        <v>UPDATE mill_levy SET cert_per_hb201418 = 27,cert_hb201418_tax_credit = 0,certified_catbuy_mill_levy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82.545,state_funding = 1790644.963 WHERE district_number = '3060' AND fiscal_year = 20222023;</v>
      </c>
    </row>
    <row r="164" spans="1:28" x14ac:dyDescent="0.2">
      <c r="A164" s="441" t="s">
        <v>435</v>
      </c>
      <c r="B164" s="442" t="s">
        <v>427</v>
      </c>
      <c r="C164" s="443" t="s">
        <v>860</v>
      </c>
      <c r="D164" s="444">
        <v>35612732</v>
      </c>
      <c r="E164" s="444">
        <v>0</v>
      </c>
      <c r="F164" s="444">
        <v>35612732</v>
      </c>
      <c r="G164" s="445">
        <v>15506</v>
      </c>
      <c r="H164" s="446">
        <v>27</v>
      </c>
      <c r="I164" s="447">
        <v>3.2280000000000002</v>
      </c>
      <c r="J164" s="443">
        <v>23.771999999999998</v>
      </c>
      <c r="K164" s="448">
        <v>0</v>
      </c>
      <c r="L164" s="449">
        <v>0</v>
      </c>
      <c r="M164" s="448">
        <v>2.161</v>
      </c>
      <c r="N164" s="443">
        <v>0</v>
      </c>
      <c r="O164" s="450">
        <v>5.7560000000000002</v>
      </c>
      <c r="P164" s="448">
        <v>0.435</v>
      </c>
      <c r="Q164" s="451">
        <v>32.124000000000002</v>
      </c>
      <c r="R164" s="447">
        <v>0</v>
      </c>
      <c r="S164" s="449">
        <v>0</v>
      </c>
      <c r="T164" s="449">
        <v>0</v>
      </c>
      <c r="U164" s="449">
        <v>0</v>
      </c>
      <c r="V164" s="449">
        <v>0</v>
      </c>
      <c r="W164" s="447">
        <v>32.124000000000002</v>
      </c>
      <c r="X164" s="444">
        <v>38.994999999999997</v>
      </c>
      <c r="Y164" s="444">
        <v>1710188.19</v>
      </c>
      <c r="Z164" s="444">
        <v>753008.93489599985</v>
      </c>
      <c r="AB164" s="430" t="str">
        <f t="shared" si="3"/>
        <v>UPDATE mill_levy SET cert_per_hb201418 = 27,cert_hb201418_tax_credit = 3.228,certified_catbuy_mill_levy = 0,cert_tot_prog_reserve_fund = 0,certified_hh_mill_levy = 2.161,certified_override_mill_levy = 5.756,certified_abate_mill_levy = 0.435,certified_bond_mill_levy = 0,certified_transport_mill_levy = 0,certified_sbt_mill_levy = 0,cert_supp_cap_construction = 0,certified_other_mill_levy = 0,full_funding_mill_levy = 38.995,state_funding = 753008.934896 WHERE district_number = '3070' AND fiscal_year = 20222023;</v>
      </c>
    </row>
    <row r="165" spans="1:28" x14ac:dyDescent="0.2">
      <c r="A165" s="441" t="s">
        <v>437</v>
      </c>
      <c r="B165" s="442" t="s">
        <v>438</v>
      </c>
      <c r="C165" s="443" t="s">
        <v>861</v>
      </c>
      <c r="D165" s="444">
        <v>1403918270</v>
      </c>
      <c r="E165" s="444">
        <v>219592</v>
      </c>
      <c r="F165" s="444">
        <v>1403698678</v>
      </c>
      <c r="G165" s="445">
        <v>1825.97</v>
      </c>
      <c r="H165" s="446">
        <v>9.6389999999999993</v>
      </c>
      <c r="I165" s="447">
        <v>0</v>
      </c>
      <c r="J165" s="443">
        <v>9.6389999999999993</v>
      </c>
      <c r="K165" s="448">
        <v>0</v>
      </c>
      <c r="L165" s="449">
        <v>0</v>
      </c>
      <c r="M165" s="448">
        <v>0</v>
      </c>
      <c r="N165" s="443">
        <v>0</v>
      </c>
      <c r="O165" s="450">
        <v>2.7810000000000001</v>
      </c>
      <c r="P165" s="448">
        <v>1E-3</v>
      </c>
      <c r="Q165" s="451">
        <v>12.420999999999999</v>
      </c>
      <c r="R165" s="447">
        <v>3.6</v>
      </c>
      <c r="S165" s="449">
        <v>0</v>
      </c>
      <c r="T165" s="449">
        <v>0</v>
      </c>
      <c r="U165" s="449">
        <v>0</v>
      </c>
      <c r="V165" s="449">
        <v>0</v>
      </c>
      <c r="W165" s="447">
        <v>16.021000000000001</v>
      </c>
      <c r="X165" s="444">
        <v>10.983000000000001</v>
      </c>
      <c r="Y165" s="444">
        <v>20277824.690000001</v>
      </c>
      <c r="Z165" s="444">
        <v>6055149.0827580011</v>
      </c>
      <c r="AB165" s="430" t="str">
        <f t="shared" si="3"/>
        <v>UPDATE mill_levy SET cert_per_hb201418 = 9.639,cert_hb201418_tax_credit = 0,certified_catbuy_mill_levy = 0,cert_tot_prog_reserve_fund = 0,certified_hh_mill_levy = 0,certified_override_mill_levy = 2.781,certified_abate_mill_levy = 0.001,certified_bond_mill_levy = 3.6,certified_transport_mill_levy = 0,certified_sbt_mill_levy = 0,cert_supp_cap_construction = 0,certified_other_mill_levy = 0,full_funding_mill_levy = 10.983,state_funding = 6055149.082758 WHERE district_number = '3080' AND fiscal_year = 20222023;</v>
      </c>
    </row>
    <row r="166" spans="1:28" x14ac:dyDescent="0.2">
      <c r="A166" s="441" t="s">
        <v>440</v>
      </c>
      <c r="B166" s="442" t="s">
        <v>438</v>
      </c>
      <c r="C166" s="443" t="s">
        <v>862</v>
      </c>
      <c r="D166" s="444">
        <v>832928770</v>
      </c>
      <c r="E166" s="444">
        <v>0</v>
      </c>
      <c r="F166" s="444">
        <v>832928770</v>
      </c>
      <c r="G166" s="445">
        <v>3284</v>
      </c>
      <c r="H166" s="446">
        <v>22.207999999999998</v>
      </c>
      <c r="I166" s="447">
        <v>0</v>
      </c>
      <c r="J166" s="443">
        <v>22.207999999999998</v>
      </c>
      <c r="K166" s="448">
        <v>0</v>
      </c>
      <c r="L166" s="449">
        <v>0</v>
      </c>
      <c r="M166" s="448">
        <v>0</v>
      </c>
      <c r="N166" s="443">
        <v>0</v>
      </c>
      <c r="O166" s="450">
        <v>3.242</v>
      </c>
      <c r="P166" s="448">
        <v>4.0000000000000001E-3</v>
      </c>
      <c r="Q166" s="451">
        <v>25.454000000000001</v>
      </c>
      <c r="R166" s="447">
        <v>11.378</v>
      </c>
      <c r="S166" s="449">
        <v>0</v>
      </c>
      <c r="T166" s="449">
        <v>0</v>
      </c>
      <c r="U166" s="449">
        <v>0</v>
      </c>
      <c r="V166" s="449">
        <v>0</v>
      </c>
      <c r="W166" s="447">
        <v>36.832000000000001</v>
      </c>
      <c r="X166" s="444">
        <v>17.068999999999999</v>
      </c>
      <c r="Y166" s="444">
        <v>22248675.289999999</v>
      </c>
      <c r="Z166" s="444">
        <v>2806928.8258400001</v>
      </c>
      <c r="AB166" s="430" t="str">
        <f t="shared" si="3"/>
        <v>UPDATE mill_levy SET cert_per_hb201418 = 22.208,cert_hb201418_tax_credit = 0,certified_catbuy_mill_levy = 0,cert_tot_prog_reserve_fund = 0,certified_hh_mill_levy = 0,certified_override_mill_levy = 3.242,certified_abate_mill_levy = 0.004,certified_bond_mill_levy = 11.378,certified_transport_mill_levy = 0,certified_sbt_mill_levy = 0,cert_supp_cap_construction = 0,certified_other_mill_levy = 0,full_funding_mill_levy = 17.069,state_funding = 2806928.82584 WHERE district_number = '3085' AND fiscal_year = 20222023;</v>
      </c>
    </row>
    <row r="167" spans="1:28" x14ac:dyDescent="0.2">
      <c r="A167" s="441" t="s">
        <v>442</v>
      </c>
      <c r="B167" s="442" t="s">
        <v>438</v>
      </c>
      <c r="C167" s="443" t="s">
        <v>863</v>
      </c>
      <c r="D167" s="444">
        <v>2159653710</v>
      </c>
      <c r="E167" s="444">
        <v>0</v>
      </c>
      <c r="F167" s="444">
        <v>2159653710</v>
      </c>
      <c r="G167" s="445">
        <v>55628.14</v>
      </c>
      <c r="H167" s="446">
        <v>10.845000000000001</v>
      </c>
      <c r="I167" s="447">
        <v>0</v>
      </c>
      <c r="J167" s="443">
        <v>10.845000000000001</v>
      </c>
      <c r="K167" s="448">
        <v>0</v>
      </c>
      <c r="L167" s="449">
        <v>0</v>
      </c>
      <c r="M167" s="448">
        <v>2.1999999999999999E-2</v>
      </c>
      <c r="N167" s="443">
        <v>0</v>
      </c>
      <c r="O167" s="450">
        <v>2.0840000000000001</v>
      </c>
      <c r="P167" s="448">
        <v>2.5999999999999999E-2</v>
      </c>
      <c r="Q167" s="451">
        <v>12.977</v>
      </c>
      <c r="R167" s="447">
        <v>3.0190000000000001</v>
      </c>
      <c r="S167" s="449">
        <v>0</v>
      </c>
      <c r="T167" s="449">
        <v>0</v>
      </c>
      <c r="U167" s="449">
        <v>0</v>
      </c>
      <c r="V167" s="449">
        <v>0</v>
      </c>
      <c r="W167" s="447">
        <v>15.996</v>
      </c>
      <c r="X167" s="444">
        <v>10.797000000000001</v>
      </c>
      <c r="Y167" s="444">
        <v>28782923.780000001</v>
      </c>
      <c r="Z167" s="444">
        <v>4449050.2050499991</v>
      </c>
      <c r="AB167" s="430" t="str">
        <f t="shared" si="3"/>
        <v>UPDATE mill_levy SET cert_per_hb201418 = 10.845,cert_hb201418_tax_credit = 0,certified_catbuy_mill_levy = 0,cert_tot_prog_reserve_fund = 0,certified_hh_mill_levy = 0.022,certified_override_mill_levy = 2.084,certified_abate_mill_levy = 0.026,certified_bond_mill_levy = 3.019,certified_transport_mill_levy = 0,certified_sbt_mill_levy = 0,cert_supp_cap_construction = 0,certified_other_mill_levy = 0,full_funding_mill_levy = 10.797,state_funding = 4449050.20505 WHERE district_number = '3090' AND fiscal_year = 20222023;</v>
      </c>
    </row>
    <row r="168" spans="1:28" x14ac:dyDescent="0.2">
      <c r="A168" s="441" t="s">
        <v>444</v>
      </c>
      <c r="B168" s="442" t="s">
        <v>438</v>
      </c>
      <c r="C168" s="443" t="s">
        <v>864</v>
      </c>
      <c r="D168" s="444">
        <v>1920561490</v>
      </c>
      <c r="E168" s="444">
        <v>1352866</v>
      </c>
      <c r="F168" s="444">
        <v>1919208624</v>
      </c>
      <c r="G168" s="445">
        <v>0</v>
      </c>
      <c r="H168" s="446">
        <v>27</v>
      </c>
      <c r="I168" s="447">
        <v>0</v>
      </c>
      <c r="J168" s="443">
        <v>27</v>
      </c>
      <c r="K168" s="448">
        <v>0</v>
      </c>
      <c r="L168" s="449">
        <v>0</v>
      </c>
      <c r="M168" s="448">
        <v>0</v>
      </c>
      <c r="N168" s="443">
        <v>0</v>
      </c>
      <c r="O168" s="450">
        <v>5.8339999999999996</v>
      </c>
      <c r="P168" s="448">
        <v>0.16600000000000001</v>
      </c>
      <c r="Q168" s="451">
        <v>33</v>
      </c>
      <c r="R168" s="447">
        <v>15.319000000000001</v>
      </c>
      <c r="S168" s="449">
        <v>0</v>
      </c>
      <c r="T168" s="449">
        <v>0</v>
      </c>
      <c r="U168" s="449">
        <v>0</v>
      </c>
      <c r="V168" s="449">
        <v>0</v>
      </c>
      <c r="W168" s="447">
        <v>48.319000000000003</v>
      </c>
      <c r="X168" s="444">
        <v>34.323</v>
      </c>
      <c r="Y168" s="444">
        <v>91250813.739999995</v>
      </c>
      <c r="Z168" s="444">
        <v>37239681.221999995</v>
      </c>
      <c r="AB168" s="430" t="str">
        <f t="shared" si="3"/>
        <v>UPDATE mill_levy SET cert_per_hb201418 = 27,cert_hb201418_tax_credit = 0,certified_catbuy_mill_levy = 0,cert_tot_prog_reserve_fund = 0,certified_hh_mill_levy = 0,certified_override_mill_levy = 5.834,certified_abate_mill_levy = 0.166,certified_bond_mill_levy = 15.319,certified_transport_mill_levy = 0,certified_sbt_mill_levy = 0,cert_supp_cap_construction = 0,certified_other_mill_levy = 0,full_funding_mill_levy = 34.323,state_funding = 37239681.222 WHERE district_number = '3100' AND fiscal_year = 20222023;</v>
      </c>
    </row>
    <row r="169" spans="1:28" x14ac:dyDescent="0.2">
      <c r="A169" s="441" t="s">
        <v>446</v>
      </c>
      <c r="B169" s="442" t="s">
        <v>438</v>
      </c>
      <c r="C169" s="443" t="s">
        <v>865</v>
      </c>
      <c r="D169" s="444">
        <v>1203687970</v>
      </c>
      <c r="E169" s="444">
        <v>0</v>
      </c>
      <c r="F169" s="444">
        <v>1203687970</v>
      </c>
      <c r="G169" s="445">
        <v>29702</v>
      </c>
      <c r="H169" s="446">
        <v>27</v>
      </c>
      <c r="I169" s="447">
        <v>4.5860000000000003</v>
      </c>
      <c r="J169" s="443">
        <v>22.414000000000001</v>
      </c>
      <c r="K169" s="448">
        <v>0</v>
      </c>
      <c r="L169" s="449">
        <v>0</v>
      </c>
      <c r="M169" s="448">
        <v>0</v>
      </c>
      <c r="N169" s="443">
        <v>0</v>
      </c>
      <c r="O169" s="450">
        <v>3.738</v>
      </c>
      <c r="P169" s="448">
        <v>2.5000000000000001E-2</v>
      </c>
      <c r="Q169" s="451">
        <v>26.177</v>
      </c>
      <c r="R169" s="447">
        <v>9.9019999999999992</v>
      </c>
      <c r="S169" s="449">
        <v>0</v>
      </c>
      <c r="T169" s="449">
        <v>0</v>
      </c>
      <c r="U169" s="449">
        <v>0</v>
      </c>
      <c r="V169" s="449">
        <v>0</v>
      </c>
      <c r="W169" s="447">
        <v>36.079000000000001</v>
      </c>
      <c r="X169" s="444">
        <v>28.454999999999998</v>
      </c>
      <c r="Y169" s="444">
        <v>42892475.670000002</v>
      </c>
      <c r="Z169" s="444">
        <v>15011868.970420003</v>
      </c>
      <c r="AB169" s="430" t="str">
        <f t="shared" si="3"/>
        <v>UPDATE mill_levy SET cert_per_hb201418 = 27,cert_hb201418_tax_credit = 4.586,certified_catbuy_mill_levy = 0,cert_tot_prog_reserve_fund = 0,certified_hh_mill_levy = 0,certified_override_mill_levy = 3.738,certified_abate_mill_levy = 0.025,certified_bond_mill_levy = 9.902,certified_transport_mill_levy = 0,certified_sbt_mill_levy = 0,cert_supp_cap_construction = 0,certified_other_mill_levy = 0,full_funding_mill_levy = 28.455,state_funding = 15011868.97042 WHERE district_number = '3110' AND fiscal_year = 20222023;</v>
      </c>
    </row>
    <row r="170" spans="1:28" x14ac:dyDescent="0.2">
      <c r="A170" s="441" t="s">
        <v>448</v>
      </c>
      <c r="B170" s="442" t="s">
        <v>438</v>
      </c>
      <c r="C170" s="443" t="s">
        <v>866</v>
      </c>
      <c r="D170" s="444">
        <v>2535686750</v>
      </c>
      <c r="E170" s="444">
        <v>146229360</v>
      </c>
      <c r="F170" s="444">
        <v>2389457390</v>
      </c>
      <c r="G170" s="445">
        <v>214292</v>
      </c>
      <c r="H170" s="446">
        <v>27</v>
      </c>
      <c r="I170" s="447">
        <v>0</v>
      </c>
      <c r="J170" s="443">
        <v>27</v>
      </c>
      <c r="K170" s="448">
        <v>0</v>
      </c>
      <c r="L170" s="449">
        <v>0</v>
      </c>
      <c r="M170" s="448">
        <v>0</v>
      </c>
      <c r="N170" s="443">
        <v>0</v>
      </c>
      <c r="O170" s="450">
        <v>10</v>
      </c>
      <c r="P170" s="448">
        <v>0.09</v>
      </c>
      <c r="Q170" s="451">
        <v>37.090000000000003</v>
      </c>
      <c r="R170" s="447">
        <v>10</v>
      </c>
      <c r="S170" s="449">
        <v>0</v>
      </c>
      <c r="T170" s="449">
        <v>0</v>
      </c>
      <c r="U170" s="449">
        <v>0</v>
      </c>
      <c r="V170" s="449">
        <v>0</v>
      </c>
      <c r="W170" s="447">
        <v>47.09</v>
      </c>
      <c r="X170" s="444">
        <v>77.081000000000003</v>
      </c>
      <c r="Y170" s="444">
        <v>254903396.11000001</v>
      </c>
      <c r="Z170" s="444">
        <v>187158459.45000002</v>
      </c>
      <c r="AB170" s="430" t="str">
        <f t="shared" si="3"/>
        <v>UPDATE mill_levy SET cert_per_hb201418 = 27,cert_hb201418_tax_credit = 0,certified_catbuy_mill_levy = 0,cert_tot_prog_reserve_fund = 0,certified_hh_mill_levy = 0,certified_override_mill_levy = 10,certified_abate_mill_levy = 0.09,certified_bond_mill_levy = 10,certified_transport_mill_levy = 0,certified_sbt_mill_levy = 0,cert_supp_cap_construction = 0,certified_other_mill_levy = 0,full_funding_mill_levy = 77.081,state_funding = 187158459.45 WHERE district_number = '3120' AND fiscal_year = 20222023;</v>
      </c>
    </row>
    <row r="171" spans="1:28" x14ac:dyDescent="0.2">
      <c r="A171" s="441" t="s">
        <v>450</v>
      </c>
      <c r="B171" s="442" t="s">
        <v>438</v>
      </c>
      <c r="C171" s="443" t="s">
        <v>867</v>
      </c>
      <c r="D171" s="444">
        <v>3132126660</v>
      </c>
      <c r="E171" s="444">
        <v>0</v>
      </c>
      <c r="F171" s="444">
        <v>3132126660</v>
      </c>
      <c r="G171" s="445">
        <v>0</v>
      </c>
      <c r="H171" s="446">
        <v>5.6239999999999997</v>
      </c>
      <c r="I171" s="447">
        <v>0</v>
      </c>
      <c r="J171" s="443">
        <v>4.0039999999999996</v>
      </c>
      <c r="K171" s="448">
        <v>0.20699999999999999</v>
      </c>
      <c r="L171" s="449">
        <v>1.413</v>
      </c>
      <c r="M171" s="448">
        <v>0</v>
      </c>
      <c r="N171" s="443">
        <v>0</v>
      </c>
      <c r="O171" s="450">
        <v>0.92800000000000005</v>
      </c>
      <c r="P171" s="448">
        <v>0</v>
      </c>
      <c r="Q171" s="451">
        <v>6.5519999999999996</v>
      </c>
      <c r="R171" s="447">
        <v>3.8</v>
      </c>
      <c r="S171" s="449">
        <v>0</v>
      </c>
      <c r="T171" s="449">
        <v>0</v>
      </c>
      <c r="U171" s="449">
        <v>0</v>
      </c>
      <c r="V171" s="449">
        <v>0</v>
      </c>
      <c r="W171" s="447">
        <v>10.352</v>
      </c>
      <c r="X171" s="444">
        <v>2.7509999999999999</v>
      </c>
      <c r="Y171" s="444">
        <v>13151936.9</v>
      </c>
      <c r="Z171" s="444">
        <v>933.32627999898978</v>
      </c>
      <c r="AB171" s="430" t="str">
        <f t="shared" si="3"/>
        <v>UPDATE mill_levy SET cert_per_hb201418 = 5.624,cert_hb201418_tax_credit = 0,certified_catbuy_mill_levy = 0.207,cert_tot_prog_reserve_fund = 1.413,certified_hh_mill_levy = 0,certified_override_mill_levy = 0.928,certified_abate_mill_levy = 0,certified_bond_mill_levy = 3.8,certified_transport_mill_levy = 0,certified_sbt_mill_levy = 0,cert_supp_cap_construction = 0,certified_other_mill_levy = 0,full_funding_mill_levy = 2.751,state_funding = 933.32627999899 WHERE district_number = '3130' AND fiscal_year = 20222023;</v>
      </c>
    </row>
    <row r="172" spans="1:28" x14ac:dyDescent="0.2">
      <c r="A172" s="441" t="s">
        <v>452</v>
      </c>
      <c r="B172" s="452" t="s">
        <v>438</v>
      </c>
      <c r="C172" s="453" t="s">
        <v>868</v>
      </c>
      <c r="D172" s="444">
        <v>1189016630</v>
      </c>
      <c r="E172" s="444">
        <v>34853615</v>
      </c>
      <c r="F172" s="444">
        <v>1154163015</v>
      </c>
      <c r="G172" s="445">
        <v>19112.27</v>
      </c>
      <c r="H172" s="446">
        <v>12.143000000000001</v>
      </c>
      <c r="I172" s="447">
        <v>0</v>
      </c>
      <c r="J172" s="443">
        <v>12.143000000000001</v>
      </c>
      <c r="K172" s="448">
        <v>0</v>
      </c>
      <c r="L172" s="449">
        <v>0</v>
      </c>
      <c r="M172" s="448">
        <v>0</v>
      </c>
      <c r="N172" s="443">
        <v>0</v>
      </c>
      <c r="O172" s="450">
        <v>2.3170000000000002</v>
      </c>
      <c r="P172" s="448">
        <v>0</v>
      </c>
      <c r="Q172" s="451">
        <v>14.46</v>
      </c>
      <c r="R172" s="447">
        <v>4.0309999999999997</v>
      </c>
      <c r="S172" s="449">
        <v>0</v>
      </c>
      <c r="T172" s="449">
        <v>0</v>
      </c>
      <c r="U172" s="449">
        <v>0</v>
      </c>
      <c r="V172" s="449">
        <v>0</v>
      </c>
      <c r="W172" s="447">
        <v>18.491</v>
      </c>
      <c r="X172" s="444">
        <v>14.268000000000001</v>
      </c>
      <c r="Y172" s="444">
        <v>26761209.670000002</v>
      </c>
      <c r="Z172" s="444">
        <v>12045549.848855002</v>
      </c>
      <c r="AB172" s="430" t="str">
        <f t="shared" si="3"/>
        <v>UPDATE mill_levy SET cert_per_hb201418 = 12.143,cert_hb201418_tax_credit = 0,certified_catbuy_mill_levy = 0,cert_tot_prog_reserve_fund = 0,certified_hh_mill_levy = 0,certified_override_mill_levy = 2.317,certified_abate_mill_levy = 0,certified_bond_mill_levy = 4.031,certified_transport_mill_levy = 0,certified_sbt_mill_levy = 0,cert_supp_cap_construction = 0,certified_other_mill_levy = 0,full_funding_mill_levy = 14.268,state_funding = 12045549.848855 WHERE district_number = '3140' AND fiscal_year = 20222023;</v>
      </c>
    </row>
    <row r="173" spans="1:28" x14ac:dyDescent="0.2">
      <c r="A173" s="441" t="s">
        <v>454</v>
      </c>
      <c r="B173" s="442" t="s">
        <v>438</v>
      </c>
      <c r="C173" s="443" t="s">
        <v>869</v>
      </c>
      <c r="D173" s="444">
        <v>671251470</v>
      </c>
      <c r="E173" s="444">
        <v>0</v>
      </c>
      <c r="F173" s="444">
        <v>671251470</v>
      </c>
      <c r="G173" s="445">
        <v>2862.06</v>
      </c>
      <c r="H173" s="446">
        <v>27</v>
      </c>
      <c r="I173" s="447">
        <v>6.12</v>
      </c>
      <c r="J173" s="443">
        <v>16.899000000000001</v>
      </c>
      <c r="K173" s="448">
        <v>0.91900000000000004</v>
      </c>
      <c r="L173" s="449">
        <v>3.0619999999999998</v>
      </c>
      <c r="M173" s="448">
        <v>0</v>
      </c>
      <c r="N173" s="443">
        <v>0</v>
      </c>
      <c r="O173" s="450">
        <v>1.341</v>
      </c>
      <c r="P173" s="448">
        <v>4.0000000000000001E-3</v>
      </c>
      <c r="Q173" s="451">
        <v>22.225000000000001</v>
      </c>
      <c r="R173" s="447">
        <v>10.96</v>
      </c>
      <c r="S173" s="449">
        <v>0</v>
      </c>
      <c r="T173" s="449">
        <v>0</v>
      </c>
      <c r="U173" s="449">
        <v>0</v>
      </c>
      <c r="V173" s="449">
        <v>0</v>
      </c>
      <c r="W173" s="447">
        <v>33.185000000000002</v>
      </c>
      <c r="X173" s="444">
        <v>18.222999999999999</v>
      </c>
      <c r="Y173" s="444">
        <v>11876720.48</v>
      </c>
      <c r="Z173" s="444">
        <v>0</v>
      </c>
      <c r="AB173" s="430" t="str">
        <f t="shared" si="3"/>
        <v>UPDATE mill_levy SET cert_per_hb201418 = 27,cert_hb201418_tax_credit = 6.12,certified_catbuy_mill_levy = 0.919,cert_tot_prog_reserve_fund = 3.062,certified_hh_mill_levy = 0,certified_override_mill_levy = 1.341,certified_abate_mill_levy = 0.004,certified_bond_mill_levy = 10.96,certified_transport_mill_levy = 0,certified_sbt_mill_levy = 0,cert_supp_cap_construction = 0,certified_other_mill_levy = 0,full_funding_mill_levy = 18.223,state_funding = 0 WHERE district_number = '3145' AND fiscal_year = 20222023;</v>
      </c>
    </row>
    <row r="174" spans="1:28" x14ac:dyDescent="0.2">
      <c r="A174" s="441" t="s">
        <v>456</v>
      </c>
      <c r="B174" s="452" t="s">
        <v>438</v>
      </c>
      <c r="C174" s="453" t="s">
        <v>870</v>
      </c>
      <c r="D174" s="444">
        <v>481139240</v>
      </c>
      <c r="E174" s="444">
        <v>0</v>
      </c>
      <c r="F174" s="444">
        <v>481139240</v>
      </c>
      <c r="G174" s="445">
        <v>22.66</v>
      </c>
      <c r="H174" s="446">
        <v>12.375999999999999</v>
      </c>
      <c r="I174" s="447">
        <v>0</v>
      </c>
      <c r="J174" s="443">
        <v>6.3780000000000001</v>
      </c>
      <c r="K174" s="448">
        <v>0.217</v>
      </c>
      <c r="L174" s="449">
        <v>5.7809999999999997</v>
      </c>
      <c r="M174" s="448">
        <v>0</v>
      </c>
      <c r="N174" s="443">
        <v>0</v>
      </c>
      <c r="O174" s="450">
        <v>1.913</v>
      </c>
      <c r="P174" s="448">
        <v>0</v>
      </c>
      <c r="Q174" s="451">
        <v>14.289</v>
      </c>
      <c r="R174" s="447">
        <v>0</v>
      </c>
      <c r="S174" s="449">
        <v>0</v>
      </c>
      <c r="T174" s="449">
        <v>0</v>
      </c>
      <c r="U174" s="449">
        <v>0</v>
      </c>
      <c r="V174" s="449">
        <v>0</v>
      </c>
      <c r="W174" s="447">
        <v>14.289</v>
      </c>
      <c r="X174" s="444">
        <v>4.1840000000000002</v>
      </c>
      <c r="Y174" s="444">
        <v>3378415.69</v>
      </c>
      <c r="Z174" s="444">
        <v>1.7462298274040222E-10</v>
      </c>
      <c r="AB174" s="430" t="str">
        <f t="shared" si="3"/>
        <v>UPDATE mill_levy SET cert_per_hb201418 = 12.376,cert_hb201418_tax_credit = 0,certified_catbuy_mill_levy = 0.217,cert_tot_prog_reserve_fund = 5.781,certified_hh_mill_levy = 0,certified_override_mill_levy = 1.913,certified_abate_mill_levy = 0,certified_bond_mill_levy = 0,certified_transport_mill_levy = 0,certified_sbt_mill_levy = 0,cert_supp_cap_construction = 0,certified_other_mill_levy = 0,full_funding_mill_levy = 4.184,state_funding = 1.74622982740402E-10 WHERE district_number = '3146' AND fiscal_year = 20222023;</v>
      </c>
    </row>
    <row r="175" spans="1:28" x14ac:dyDescent="0.2">
      <c r="A175" s="441" t="s">
        <v>458</v>
      </c>
      <c r="B175" s="442" t="s">
        <v>438</v>
      </c>
      <c r="C175" s="443" t="s">
        <v>871</v>
      </c>
      <c r="D175" s="444">
        <v>536117010</v>
      </c>
      <c r="E175" s="444">
        <v>0</v>
      </c>
      <c r="F175" s="444">
        <v>536117010</v>
      </c>
      <c r="G175" s="445">
        <v>11</v>
      </c>
      <c r="H175" s="446">
        <v>5.0679999999999996</v>
      </c>
      <c r="I175" s="447">
        <v>0</v>
      </c>
      <c r="J175" s="443">
        <v>5.0679999999999996</v>
      </c>
      <c r="K175" s="448">
        <v>0</v>
      </c>
      <c r="L175" s="449">
        <v>0</v>
      </c>
      <c r="M175" s="448">
        <v>0</v>
      </c>
      <c r="N175" s="443">
        <v>0</v>
      </c>
      <c r="O175" s="450">
        <v>0.129</v>
      </c>
      <c r="P175" s="448">
        <v>0</v>
      </c>
      <c r="Q175" s="451">
        <v>5.1970000000000001</v>
      </c>
      <c r="R175" s="447">
        <v>0.433</v>
      </c>
      <c r="S175" s="449">
        <v>0</v>
      </c>
      <c r="T175" s="449">
        <v>0</v>
      </c>
      <c r="U175" s="449">
        <v>0</v>
      </c>
      <c r="V175" s="449">
        <v>0</v>
      </c>
      <c r="W175" s="447">
        <v>5.63</v>
      </c>
      <c r="X175" s="444">
        <v>5.5129999999999999</v>
      </c>
      <c r="Y175" s="444">
        <v>3425421.11</v>
      </c>
      <c r="Z175" s="444">
        <v>613563.14332000026</v>
      </c>
      <c r="AB175" s="430" t="str">
        <f t="shared" si="3"/>
        <v>UPDATE mill_levy SET cert_per_hb201418 = 5.068,cert_hb201418_tax_credit = 0,certified_catbuy_mill_levy = 0,cert_tot_prog_reserve_fund = 0,certified_hh_mill_levy = 0,certified_override_mill_levy = 0.129,certified_abate_mill_levy = 0,certified_bond_mill_levy = 0.433,certified_transport_mill_levy = 0,certified_sbt_mill_levy = 0,cert_supp_cap_construction = 0,certified_other_mill_levy = 0,full_funding_mill_levy = 5.513,state_funding = 613563.14332 WHERE district_number = '3147' AND fiscal_year = 20222023;</v>
      </c>
    </row>
    <row r="176" spans="1:28" x14ac:dyDescent="0.2">
      <c r="A176" s="441" t="s">
        <v>460</v>
      </c>
      <c r="B176" s="442" t="s">
        <v>438</v>
      </c>
      <c r="C176" s="443" t="s">
        <v>872</v>
      </c>
      <c r="D176" s="444">
        <v>557676850</v>
      </c>
      <c r="E176" s="444">
        <v>0</v>
      </c>
      <c r="F176" s="444">
        <v>557676850</v>
      </c>
      <c r="G176" s="445">
        <v>580.74</v>
      </c>
      <c r="H176" s="446">
        <v>4.2930000000000001</v>
      </c>
      <c r="I176" s="447">
        <v>0</v>
      </c>
      <c r="J176" s="443">
        <v>2.4649999999999999</v>
      </c>
      <c r="K176" s="448">
        <v>0.13</v>
      </c>
      <c r="L176" s="449">
        <v>1.698</v>
      </c>
      <c r="M176" s="448">
        <v>0</v>
      </c>
      <c r="N176" s="443">
        <v>0</v>
      </c>
      <c r="O176" s="450">
        <v>0.72599999999999998</v>
      </c>
      <c r="P176" s="448">
        <v>1E-3</v>
      </c>
      <c r="Q176" s="451">
        <v>5.0199999999999996</v>
      </c>
      <c r="R176" s="447">
        <v>0</v>
      </c>
      <c r="S176" s="449">
        <v>0</v>
      </c>
      <c r="T176" s="449">
        <v>0</v>
      </c>
      <c r="U176" s="449">
        <v>0</v>
      </c>
      <c r="V176" s="449">
        <v>0</v>
      </c>
      <c r="W176" s="447">
        <v>5.0199999999999996</v>
      </c>
      <c r="X176" s="444">
        <v>2.153</v>
      </c>
      <c r="Y176" s="444">
        <v>1484796</v>
      </c>
      <c r="Z176" s="444">
        <v>46.856099999815342</v>
      </c>
      <c r="AB176" s="430" t="str">
        <f t="shared" si="3"/>
        <v>UPDATE mill_levy SET cert_per_hb201418 = 4.293,cert_hb201418_tax_credit = 0,certified_catbuy_mill_levy = 0.13,cert_tot_prog_reserve_fund = 1.698,certified_hh_mill_levy = 0,certified_override_mill_levy = 0.726,certified_abate_mill_levy = 0.001,certified_bond_mill_levy = 0,certified_transport_mill_levy = 0,certified_sbt_mill_levy = 0,cert_supp_cap_construction = 0,certified_other_mill_levy = 0,full_funding_mill_levy = 2.153,state_funding = 46.8560999998153 WHERE district_number = '3148' AND fiscal_year = 20222023;</v>
      </c>
    </row>
    <row r="177" spans="1:28" x14ac:dyDescent="0.2">
      <c r="A177" s="441" t="s">
        <v>462</v>
      </c>
      <c r="B177" s="442" t="s">
        <v>463</v>
      </c>
      <c r="C177" s="443" t="s">
        <v>873</v>
      </c>
      <c r="D177" s="444">
        <v>155374900</v>
      </c>
      <c r="E177" s="444">
        <v>0</v>
      </c>
      <c r="F177" s="444">
        <v>155374900</v>
      </c>
      <c r="G177" s="445">
        <v>14508</v>
      </c>
      <c r="H177" s="446">
        <v>22.344999999999999</v>
      </c>
      <c r="I177" s="447">
        <v>0</v>
      </c>
      <c r="J177" s="443">
        <v>22.344999999999999</v>
      </c>
      <c r="K177" s="448">
        <v>0</v>
      </c>
      <c r="L177" s="449">
        <v>0</v>
      </c>
      <c r="M177" s="448">
        <v>0</v>
      </c>
      <c r="N177" s="443">
        <v>0</v>
      </c>
      <c r="O177" s="450">
        <v>7.68</v>
      </c>
      <c r="P177" s="448">
        <v>9.2999999999999999E-2</v>
      </c>
      <c r="Q177" s="451">
        <v>30.117999999999999</v>
      </c>
      <c r="R177" s="447">
        <v>8.9139999999999997</v>
      </c>
      <c r="S177" s="449">
        <v>0</v>
      </c>
      <c r="T177" s="449">
        <v>0</v>
      </c>
      <c r="U177" s="449">
        <v>0</v>
      </c>
      <c r="V177" s="449">
        <v>0</v>
      </c>
      <c r="W177" s="447">
        <v>39.031999999999996</v>
      </c>
      <c r="X177" s="444">
        <v>57.661000000000001</v>
      </c>
      <c r="Y177" s="444">
        <v>10706968.07</v>
      </c>
      <c r="Z177" s="444">
        <v>6905126.3795000007</v>
      </c>
      <c r="AB177" s="430" t="str">
        <f t="shared" si="3"/>
        <v>UPDATE mill_levy SET cert_per_hb201418 = 22.345,cert_hb201418_tax_credit = 0,certified_catbuy_mill_levy = 0,cert_tot_prog_reserve_fund = 0,certified_hh_mill_levy = 0,certified_override_mill_levy = 7.68,certified_abate_mill_levy = 0.093,certified_bond_mill_levy = 8.914,certified_transport_mill_levy = 0,certified_sbt_mill_levy = 0,cert_supp_cap_construction = 0,certified_other_mill_levy = 0,full_funding_mill_levy = 57.661,state_funding = 6905126.3795 WHERE district_number = '3200' AND fiscal_year = 20222023;</v>
      </c>
    </row>
    <row r="178" spans="1:28" x14ac:dyDescent="0.2">
      <c r="A178" s="441" t="s">
        <v>465</v>
      </c>
      <c r="B178" s="442" t="s">
        <v>463</v>
      </c>
      <c r="C178" s="443" t="s">
        <v>874</v>
      </c>
      <c r="D178" s="444">
        <v>128960910</v>
      </c>
      <c r="E178" s="444">
        <v>0</v>
      </c>
      <c r="F178" s="444">
        <v>128960910</v>
      </c>
      <c r="G178" s="445">
        <v>0</v>
      </c>
      <c r="H178" s="446">
        <v>27</v>
      </c>
      <c r="I178" s="447">
        <v>7.968</v>
      </c>
      <c r="J178" s="443">
        <v>19.032</v>
      </c>
      <c r="K178" s="448">
        <v>0</v>
      </c>
      <c r="L178" s="449">
        <v>0</v>
      </c>
      <c r="M178" s="448">
        <v>0</v>
      </c>
      <c r="N178" s="443">
        <v>0</v>
      </c>
      <c r="O178" s="450">
        <v>15.356999999999999</v>
      </c>
      <c r="P178" s="448">
        <v>0.16300000000000001</v>
      </c>
      <c r="Q178" s="451">
        <v>34.552</v>
      </c>
      <c r="R178" s="447">
        <v>8.7799999999999994</v>
      </c>
      <c r="S178" s="449">
        <v>0</v>
      </c>
      <c r="T178" s="449">
        <v>0</v>
      </c>
      <c r="U178" s="449">
        <v>0</v>
      </c>
      <c r="V178" s="449">
        <v>0</v>
      </c>
      <c r="W178" s="447">
        <v>43.332000000000001</v>
      </c>
      <c r="X178" s="444">
        <v>54.578000000000003</v>
      </c>
      <c r="Y178" s="444">
        <v>8940971.0099999998</v>
      </c>
      <c r="Z178" s="444">
        <v>6281074.5008800002</v>
      </c>
      <c r="AB178" s="430" t="str">
        <f t="shared" si="3"/>
        <v>UPDATE mill_levy SET cert_per_hb201418 = 27,cert_hb201418_tax_credit = 7.968,certified_catbuy_mill_levy = 0,cert_tot_prog_reserve_fund = 0,certified_hh_mill_levy = 0,certified_override_mill_levy = 15.357,certified_abate_mill_levy = 0.163,certified_bond_mill_levy = 8.78,certified_transport_mill_levy = 0,certified_sbt_mill_levy = 0,cert_supp_cap_construction = 0,certified_other_mill_levy = 0,full_funding_mill_levy = 54.578,state_funding = 6281074.50088 WHERE district_number = '3210' AND fiscal_year = 20222023;</v>
      </c>
    </row>
    <row r="179" spans="1:28" x14ac:dyDescent="0.2">
      <c r="A179" s="441" t="s">
        <v>467</v>
      </c>
      <c r="B179" s="442" t="s">
        <v>463</v>
      </c>
      <c r="C179" s="443" t="s">
        <v>875</v>
      </c>
      <c r="D179" s="444">
        <v>17680301</v>
      </c>
      <c r="E179" s="444">
        <v>0</v>
      </c>
      <c r="F179" s="444">
        <v>17680301</v>
      </c>
      <c r="G179" s="445">
        <v>0</v>
      </c>
      <c r="H179" s="446">
        <v>27</v>
      </c>
      <c r="I179" s="447">
        <v>1.502</v>
      </c>
      <c r="J179" s="443">
        <v>25.498000000000001</v>
      </c>
      <c r="K179" s="448">
        <v>0</v>
      </c>
      <c r="L179" s="449">
        <v>0</v>
      </c>
      <c r="M179" s="448">
        <v>0</v>
      </c>
      <c r="N179" s="443">
        <v>0</v>
      </c>
      <c r="O179" s="450">
        <v>0</v>
      </c>
      <c r="P179" s="448">
        <v>5.0999999999999997E-2</v>
      </c>
      <c r="Q179" s="451">
        <v>25.548999999999999</v>
      </c>
      <c r="R179" s="447">
        <v>15</v>
      </c>
      <c r="S179" s="449">
        <v>0</v>
      </c>
      <c r="T179" s="449">
        <v>0</v>
      </c>
      <c r="U179" s="449">
        <v>0</v>
      </c>
      <c r="V179" s="449">
        <v>0</v>
      </c>
      <c r="W179" s="447">
        <v>40.548999999999999</v>
      </c>
      <c r="X179" s="444">
        <v>149.54400000000001</v>
      </c>
      <c r="Y179" s="444">
        <v>3290841.9</v>
      </c>
      <c r="Z179" s="444">
        <v>2791805.3951019999</v>
      </c>
      <c r="AB179" s="430" t="str">
        <f t="shared" si="3"/>
        <v>UPDATE mill_levy SET cert_per_hb201418 = 27,cert_hb201418_tax_credit = 1.502,certified_catbuy_mill_levy = 0,cert_tot_prog_reserve_fund = 0,certified_hh_mill_levy = 0,certified_override_mill_levy = 0,certified_abate_mill_levy = 0.051,certified_bond_mill_levy = 15,certified_transport_mill_levy = 0,certified_sbt_mill_levy = 0,cert_supp_cap_construction = 0,certified_other_mill_levy = 0,full_funding_mill_levy = 149.544,state_funding = 2791805.395102 WHERE district_number = '3220' AND fiscal_year = 20222023;</v>
      </c>
    </row>
    <row r="180" spans="1:28" x14ac:dyDescent="0.2">
      <c r="A180" s="441" t="s">
        <v>469</v>
      </c>
      <c r="B180" s="442" t="s">
        <v>463</v>
      </c>
      <c r="C180" s="443" t="s">
        <v>876</v>
      </c>
      <c r="D180" s="444">
        <v>15084490</v>
      </c>
      <c r="E180" s="444">
        <v>0</v>
      </c>
      <c r="F180" s="444">
        <v>15084490</v>
      </c>
      <c r="G180" s="445">
        <v>446.09</v>
      </c>
      <c r="H180" s="446">
        <v>27</v>
      </c>
      <c r="I180" s="447">
        <v>3.3250000000000002</v>
      </c>
      <c r="J180" s="443">
        <v>23.675000000000001</v>
      </c>
      <c r="K180" s="448">
        <v>0</v>
      </c>
      <c r="L180" s="449">
        <v>0</v>
      </c>
      <c r="M180" s="448">
        <v>0</v>
      </c>
      <c r="N180" s="443">
        <v>0</v>
      </c>
      <c r="O180" s="450">
        <v>0</v>
      </c>
      <c r="P180" s="448">
        <v>0</v>
      </c>
      <c r="Q180" s="451">
        <v>23.675000000000001</v>
      </c>
      <c r="R180" s="447">
        <v>0</v>
      </c>
      <c r="S180" s="449">
        <v>0</v>
      </c>
      <c r="T180" s="449">
        <v>0</v>
      </c>
      <c r="U180" s="449">
        <v>0</v>
      </c>
      <c r="V180" s="449">
        <v>0</v>
      </c>
      <c r="W180" s="447">
        <v>23.675000000000001</v>
      </c>
      <c r="X180" s="444">
        <v>80.775000000000006</v>
      </c>
      <c r="Y180" s="444">
        <v>1676825.22</v>
      </c>
      <c r="Z180" s="444">
        <v>1281726.7192499998</v>
      </c>
      <c r="AB180" s="430" t="str">
        <f t="shared" si="3"/>
        <v>UPDATE mill_levy SET cert_per_hb201418 = 27,cert_hb201418_tax_credit = 3.325,certified_catbuy_mill_levy = 0,cert_tot_prog_reserve_fund = 0,certified_hh_mill_levy = 0,certified_override_mill_levy = 0,certified_abate_mill_levy = 0,certified_bond_mill_levy = 0,certified_transport_mill_levy = 0,certified_sbt_mill_levy = 0,cert_supp_cap_construction = 0,certified_other_mill_levy = 0,full_funding_mill_levy = 80.775,state_funding = 1281726.71925 WHERE district_number = '3230' AND fiscal_year = 20222023;</v>
      </c>
    </row>
    <row r="181" spans="1:28" x14ac:dyDescent="0.2">
      <c r="K181" s="463"/>
      <c r="Q181" s="464">
        <f t="shared" ref="Q181:W181" si="4">SUM(Q3:Q180)</f>
        <v>4694.8909999999996</v>
      </c>
      <c r="R181" s="464">
        <f t="shared" si="4"/>
        <v>1098.4117000000006</v>
      </c>
      <c r="S181" s="464">
        <f t="shared" si="4"/>
        <v>6.8419999999999996</v>
      </c>
      <c r="T181" s="464">
        <f t="shared" si="4"/>
        <v>10</v>
      </c>
      <c r="U181" s="464">
        <f t="shared" si="4"/>
        <v>43.306999999999995</v>
      </c>
      <c r="V181" s="464">
        <f t="shared" si="4"/>
        <v>6.3159999999999998</v>
      </c>
      <c r="W181" s="464">
        <f t="shared" si="4"/>
        <v>5859.767700000004</v>
      </c>
      <c r="X181" s="464">
        <f t="shared" ref="X181:Z181" si="5">SUM(X3:X180)</f>
        <v>14642.691000000001</v>
      </c>
      <c r="Y181" s="464">
        <f t="shared" si="5"/>
        <v>9778908437.2500019</v>
      </c>
      <c r="Z181" s="464">
        <f t="shared" si="5"/>
        <v>5592169565.0243273</v>
      </c>
    </row>
    <row r="182" spans="1:28" x14ac:dyDescent="0.2">
      <c r="D182" s="428">
        <f>SUM(D3:D181)</f>
        <v>181939629841</v>
      </c>
      <c r="E182" s="428">
        <f>SUM(E3:E181)</f>
        <v>5723901581</v>
      </c>
      <c r="F182" s="428">
        <f>SUM(F3:F181)</f>
        <v>176215728260</v>
      </c>
      <c r="G182" s="428">
        <f>SUM(G3:G181)</f>
        <v>40160399.936999992</v>
      </c>
      <c r="H182" s="465">
        <f t="shared" ref="H182:P182" si="6">SUM(H3:H181)</f>
        <v>4128.9659999999985</v>
      </c>
      <c r="I182" s="465">
        <f t="shared" si="6"/>
        <v>283.154</v>
      </c>
      <c r="J182" s="465">
        <f t="shared" si="6"/>
        <v>3841.6849999999986</v>
      </c>
      <c r="K182" s="465">
        <f t="shared" si="6"/>
        <v>4.2119999999999997</v>
      </c>
      <c r="L182" s="465">
        <f t="shared" si="6"/>
        <v>16.777000000000001</v>
      </c>
      <c r="M182" s="465">
        <f t="shared" si="6"/>
        <v>35.535999999999994</v>
      </c>
      <c r="N182" s="465">
        <f t="shared" si="6"/>
        <v>4.2999999999999997E-2</v>
      </c>
      <c r="O182" s="465">
        <f t="shared" si="6"/>
        <v>783.06399999999951</v>
      </c>
      <c r="P182" s="465">
        <f t="shared" si="6"/>
        <v>18.473999999999993</v>
      </c>
      <c r="Q182" s="466"/>
      <c r="R182" s="466"/>
      <c r="S182" s="466"/>
      <c r="T182" s="466"/>
      <c r="U182" s="466"/>
      <c r="V182" s="466"/>
      <c r="W182" s="466"/>
    </row>
  </sheetData>
  <autoFilter ref="A2:W180" xr:uid="{00000000-0001-0000-0100-000000000000}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E716-E9D9-4705-A818-D21A0F8AEB59}">
  <dimension ref="A1:GT361"/>
  <sheetViews>
    <sheetView topLeftCell="A138" zoomScale="103" zoomScaleNormal="130" workbookViewId="0">
      <selection activeCell="G157" sqref="G157"/>
    </sheetView>
  </sheetViews>
  <sheetFormatPr defaultColWidth="8.625" defaultRowHeight="12.75" x14ac:dyDescent="0.2"/>
  <cols>
    <col min="1" max="1" width="6.125" style="468" bestFit="1" customWidth="1"/>
    <col min="2" max="2" width="14.375" style="468" bestFit="1" customWidth="1"/>
    <col min="3" max="3" width="21.75" style="468" bestFit="1" customWidth="1"/>
    <col min="4" max="4" width="17.75" style="444" customWidth="1"/>
    <col min="5" max="5" width="15.125" style="444" customWidth="1"/>
    <col min="6" max="6" width="17.875" style="444" customWidth="1"/>
    <col min="7" max="7" width="14" style="444" customWidth="1"/>
    <col min="8" max="8" width="11.375" style="481" customWidth="1"/>
    <col min="9" max="9" width="10.375" style="471" customWidth="1"/>
    <col min="10" max="10" width="10" style="475" customWidth="1"/>
    <col min="11" max="11" width="9" style="468" customWidth="1"/>
    <col min="12" max="12" width="9.125" style="468" customWidth="1"/>
    <col min="13" max="13" width="11.375" style="468" customWidth="1"/>
    <col min="14" max="14" width="10.375" style="469" customWidth="1"/>
    <col min="15" max="15" width="11.375" style="469" customWidth="1"/>
    <col min="16" max="16" width="14.375" style="469" customWidth="1"/>
    <col min="17" max="17" width="9.75" style="469" customWidth="1"/>
    <col min="18" max="18" width="19.375" style="471" customWidth="1"/>
    <col min="19" max="20" width="12.625" style="468" customWidth="1"/>
    <col min="21" max="22" width="12.625" style="477" customWidth="1"/>
    <col min="23" max="23" width="12.625" style="471" customWidth="1"/>
    <col min="24" max="24" width="17.375" style="468" customWidth="1"/>
    <col min="25" max="25" width="24.75" style="564" bestFit="1" customWidth="1"/>
    <col min="26" max="26" width="22.5" style="564" bestFit="1" customWidth="1"/>
    <col min="27" max="16384" width="8.625" style="472"/>
  </cols>
  <sheetData>
    <row r="1" spans="1:202" x14ac:dyDescent="0.2">
      <c r="A1" s="468">
        <v>1</v>
      </c>
      <c r="B1" s="468">
        <v>2</v>
      </c>
      <c r="C1" s="468">
        <v>3</v>
      </c>
      <c r="D1" s="444">
        <v>4</v>
      </c>
      <c r="E1" s="444">
        <v>5</v>
      </c>
      <c r="F1" s="444">
        <v>6</v>
      </c>
      <c r="G1" s="444">
        <v>7</v>
      </c>
      <c r="H1" s="468">
        <v>8</v>
      </c>
      <c r="I1" s="468">
        <v>9</v>
      </c>
      <c r="J1" s="469">
        <v>10</v>
      </c>
      <c r="K1" s="468">
        <v>11</v>
      </c>
      <c r="L1" s="468">
        <v>12</v>
      </c>
      <c r="M1" s="468">
        <v>13</v>
      </c>
      <c r="N1" s="469">
        <v>14</v>
      </c>
      <c r="O1" s="469">
        <v>15</v>
      </c>
      <c r="P1" s="469">
        <v>16</v>
      </c>
      <c r="Q1" s="469">
        <v>17</v>
      </c>
      <c r="R1" s="468">
        <v>18</v>
      </c>
      <c r="S1" s="468">
        <v>19</v>
      </c>
      <c r="T1" s="468">
        <v>20</v>
      </c>
      <c r="U1" s="468">
        <v>21</v>
      </c>
      <c r="V1" s="468">
        <v>22</v>
      </c>
      <c r="W1" s="468">
        <v>23</v>
      </c>
      <c r="X1" s="468">
        <v>24</v>
      </c>
      <c r="Y1" s="564">
        <v>25</v>
      </c>
      <c r="Z1" s="564">
        <v>26</v>
      </c>
    </row>
    <row r="2" spans="1:202" s="579" customFormat="1" ht="15" x14ac:dyDescent="0.25">
      <c r="D2" s="574" t="s">
        <v>974</v>
      </c>
      <c r="E2" s="580"/>
      <c r="F2" s="580"/>
      <c r="G2" s="580"/>
      <c r="H2" s="575" t="s">
        <v>963</v>
      </c>
      <c r="I2" s="575" t="s">
        <v>963</v>
      </c>
      <c r="J2" s="576" t="s">
        <v>963</v>
      </c>
      <c r="K2" s="577"/>
      <c r="L2" s="577"/>
      <c r="M2" s="577"/>
      <c r="N2" s="577"/>
      <c r="O2" s="577"/>
      <c r="P2" s="577"/>
      <c r="Q2" s="578" t="s">
        <v>977</v>
      </c>
      <c r="R2" s="577"/>
      <c r="S2" s="577"/>
      <c r="T2" s="577"/>
      <c r="U2" s="577"/>
      <c r="V2" s="577"/>
      <c r="W2" s="578" t="s">
        <v>964</v>
      </c>
      <c r="X2" s="581" t="s">
        <v>962</v>
      </c>
      <c r="Y2" s="582"/>
      <c r="Z2" s="583"/>
    </row>
    <row r="3" spans="1:202" s="572" customFormat="1" ht="93.75" customHeight="1" x14ac:dyDescent="0.15">
      <c r="A3" s="566" t="s">
        <v>58</v>
      </c>
      <c r="B3" s="567" t="s">
        <v>965</v>
      </c>
      <c r="C3" s="567" t="s">
        <v>60</v>
      </c>
      <c r="D3" s="568" t="s">
        <v>61</v>
      </c>
      <c r="E3" s="568" t="s">
        <v>62</v>
      </c>
      <c r="F3" s="568" t="s">
        <v>966</v>
      </c>
      <c r="G3" s="568" t="s">
        <v>967</v>
      </c>
      <c r="H3" s="569" t="s">
        <v>975</v>
      </c>
      <c r="I3" s="569" t="s">
        <v>976</v>
      </c>
      <c r="J3" s="570" t="s">
        <v>985</v>
      </c>
      <c r="K3" s="571" t="s">
        <v>978</v>
      </c>
      <c r="L3" s="571" t="s">
        <v>979</v>
      </c>
      <c r="M3" s="571" t="s">
        <v>980</v>
      </c>
      <c r="N3" s="571" t="s">
        <v>981</v>
      </c>
      <c r="O3" s="571" t="s">
        <v>982</v>
      </c>
      <c r="P3" s="571" t="s">
        <v>968</v>
      </c>
      <c r="Q3" s="570" t="s">
        <v>969</v>
      </c>
      <c r="R3" s="571" t="s">
        <v>78</v>
      </c>
      <c r="S3" s="571" t="s">
        <v>970</v>
      </c>
      <c r="T3" s="571" t="s">
        <v>971</v>
      </c>
      <c r="U3" s="571" t="s">
        <v>972</v>
      </c>
      <c r="V3" s="571" t="s">
        <v>983</v>
      </c>
      <c r="W3" s="570" t="s">
        <v>973</v>
      </c>
      <c r="X3" s="565" t="s">
        <v>949</v>
      </c>
      <c r="Y3" s="563" t="s">
        <v>948</v>
      </c>
      <c r="Z3" s="563" t="s">
        <v>947</v>
      </c>
      <c r="AB3" s="573"/>
      <c r="AC3" s="573"/>
    </row>
    <row r="4" spans="1:202" s="470" customFormat="1" ht="15.75" x14ac:dyDescent="0.25">
      <c r="A4" s="468" t="s">
        <v>28</v>
      </c>
      <c r="B4" s="468" t="s">
        <v>82</v>
      </c>
      <c r="C4" s="473" t="s">
        <v>700</v>
      </c>
      <c r="D4" s="498">
        <v>1417489250</v>
      </c>
      <c r="E4" s="498">
        <v>29652330</v>
      </c>
      <c r="F4" s="498">
        <v>1387836920</v>
      </c>
      <c r="G4" s="498">
        <v>2022933.97</v>
      </c>
      <c r="H4" s="474">
        <v>27</v>
      </c>
      <c r="I4" s="474">
        <v>0</v>
      </c>
      <c r="J4" s="475">
        <v>27</v>
      </c>
      <c r="K4" s="476">
        <v>0</v>
      </c>
      <c r="L4" s="477">
        <v>0</v>
      </c>
      <c r="M4" s="476">
        <v>0.17599999999999999</v>
      </c>
      <c r="N4" s="475">
        <v>0</v>
      </c>
      <c r="O4" s="478">
        <v>15.913</v>
      </c>
      <c r="P4" s="479">
        <v>0.17299999999999999</v>
      </c>
      <c r="Q4" s="480">
        <v>43.262</v>
      </c>
      <c r="R4" s="481">
        <v>9.952</v>
      </c>
      <c r="S4" s="481">
        <v>0</v>
      </c>
      <c r="T4" s="481">
        <v>0</v>
      </c>
      <c r="U4" s="481">
        <v>0</v>
      </c>
      <c r="V4" s="481">
        <v>0</v>
      </c>
      <c r="W4" s="481">
        <v>53.213999999999999</v>
      </c>
      <c r="X4" s="481">
        <v>62.795999999999999</v>
      </c>
      <c r="Y4" s="564">
        <v>80653886.700000003</v>
      </c>
      <c r="Z4" s="564">
        <v>44515956.469999999</v>
      </c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562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  <c r="BB4" s="562"/>
      <c r="BC4" s="562"/>
      <c r="BD4" s="562"/>
      <c r="BE4" s="562"/>
      <c r="BF4" s="562"/>
      <c r="BG4" s="562"/>
      <c r="BH4" s="562"/>
      <c r="BI4" s="562"/>
      <c r="BJ4" s="562"/>
      <c r="BK4" s="562"/>
      <c r="BL4" s="562"/>
      <c r="BM4" s="562"/>
      <c r="BN4" s="562"/>
      <c r="BO4" s="562"/>
      <c r="BP4" s="562"/>
      <c r="BQ4" s="562"/>
      <c r="BR4" s="562"/>
      <c r="BS4" s="562"/>
      <c r="BT4" s="562"/>
      <c r="BU4" s="562"/>
      <c r="BV4" s="562"/>
      <c r="BW4" s="562"/>
      <c r="BX4" s="562"/>
      <c r="BY4" s="562"/>
      <c r="BZ4" s="562"/>
      <c r="CA4" s="562"/>
      <c r="CB4" s="562"/>
      <c r="CC4" s="562"/>
      <c r="CD4" s="562"/>
      <c r="CE4" s="562"/>
      <c r="CF4" s="562"/>
      <c r="CG4" s="562"/>
      <c r="CH4" s="562"/>
      <c r="CI4" s="562"/>
      <c r="CJ4" s="562"/>
      <c r="CK4" s="562"/>
      <c r="CL4" s="562"/>
      <c r="CM4" s="562"/>
      <c r="CN4" s="562"/>
      <c r="CO4" s="562"/>
      <c r="CP4" s="562"/>
      <c r="CQ4" s="562"/>
      <c r="CR4" s="562"/>
      <c r="CS4" s="562"/>
      <c r="CT4" s="562"/>
      <c r="CU4" s="562"/>
      <c r="CV4" s="562"/>
      <c r="CW4" s="562"/>
      <c r="CX4" s="562"/>
      <c r="CY4" s="562"/>
      <c r="CZ4" s="562"/>
      <c r="DA4" s="562"/>
      <c r="DB4" s="562"/>
      <c r="DC4" s="562"/>
      <c r="DD4" s="562"/>
      <c r="DE4" s="562"/>
      <c r="DF4" s="562"/>
      <c r="DG4" s="562"/>
      <c r="DH4" s="562"/>
      <c r="DI4" s="562"/>
      <c r="DJ4" s="562"/>
      <c r="DK4" s="562"/>
      <c r="DL4" s="562"/>
      <c r="DM4" s="562"/>
      <c r="DN4" s="562"/>
      <c r="DO4" s="562"/>
      <c r="DP4" s="562"/>
      <c r="DQ4" s="562"/>
      <c r="DR4" s="562"/>
      <c r="DS4" s="562"/>
      <c r="DT4" s="562"/>
      <c r="DU4" s="562"/>
      <c r="DV4" s="562"/>
      <c r="DW4" s="562"/>
      <c r="DX4" s="562"/>
      <c r="DY4" s="562"/>
      <c r="DZ4" s="562"/>
      <c r="EA4" s="562"/>
      <c r="EB4" s="562"/>
      <c r="EC4" s="562"/>
      <c r="ED4" s="562"/>
      <c r="EE4" s="562"/>
      <c r="EF4" s="562"/>
      <c r="EG4" s="562"/>
      <c r="EH4" s="562"/>
      <c r="EI4" s="562"/>
      <c r="EJ4" s="562"/>
      <c r="EK4" s="562"/>
      <c r="EL4" s="562"/>
      <c r="EM4" s="562"/>
      <c r="EN4" s="562"/>
      <c r="EO4" s="562"/>
      <c r="EP4" s="562"/>
      <c r="EQ4" s="562"/>
      <c r="ER4" s="562"/>
      <c r="ES4" s="562"/>
      <c r="ET4" s="562"/>
      <c r="EU4" s="562"/>
      <c r="EV4" s="562"/>
      <c r="EW4" s="562"/>
      <c r="EX4" s="562"/>
      <c r="EY4" s="562"/>
      <c r="EZ4" s="562"/>
      <c r="FA4" s="562"/>
      <c r="FB4" s="562"/>
      <c r="FC4" s="562"/>
      <c r="FD4" s="562"/>
      <c r="FE4" s="562"/>
      <c r="FF4" s="562"/>
      <c r="FG4" s="562"/>
      <c r="FH4" s="562"/>
      <c r="FI4" s="562"/>
      <c r="FJ4" s="562"/>
      <c r="FK4" s="562"/>
      <c r="FL4" s="562"/>
      <c r="FM4" s="562"/>
      <c r="FN4" s="562"/>
      <c r="FO4" s="562"/>
      <c r="FP4" s="562"/>
      <c r="FQ4" s="562"/>
      <c r="FR4" s="562"/>
      <c r="FS4" s="562"/>
      <c r="FT4" s="562"/>
      <c r="FU4" s="562"/>
      <c r="FV4" s="562"/>
      <c r="FW4" s="562"/>
      <c r="FX4" s="562"/>
      <c r="FY4" s="562"/>
      <c r="FZ4" s="562"/>
      <c r="GA4" s="562"/>
      <c r="GB4" s="562"/>
      <c r="GC4" s="562"/>
      <c r="GD4" s="562"/>
      <c r="GE4" s="562"/>
      <c r="GF4" s="562"/>
      <c r="GG4" s="562"/>
      <c r="GH4" s="562"/>
      <c r="GI4" s="562"/>
      <c r="GJ4" s="562"/>
      <c r="GK4" s="562"/>
      <c r="GL4" s="562"/>
      <c r="GM4" s="562"/>
      <c r="GN4" s="562"/>
      <c r="GO4" s="562"/>
      <c r="GP4" s="562"/>
      <c r="GQ4" s="562"/>
      <c r="GR4" s="562"/>
      <c r="GS4" s="562"/>
      <c r="GT4" s="562"/>
    </row>
    <row r="5" spans="1:202" s="470" customFormat="1" ht="15" x14ac:dyDescent="0.25">
      <c r="A5" s="468" t="s">
        <v>84</v>
      </c>
      <c r="B5" s="468" t="s">
        <v>82</v>
      </c>
      <c r="C5" s="473" t="s">
        <v>701</v>
      </c>
      <c r="D5" s="498">
        <v>4980811638</v>
      </c>
      <c r="E5" s="498">
        <v>498575766</v>
      </c>
      <c r="F5" s="498">
        <v>4482235872</v>
      </c>
      <c r="G5" s="498">
        <v>3864799.74</v>
      </c>
      <c r="H5" s="474">
        <v>27</v>
      </c>
      <c r="I5" s="474">
        <v>0</v>
      </c>
      <c r="J5" s="475">
        <v>27</v>
      </c>
      <c r="K5" s="476">
        <v>0</v>
      </c>
      <c r="L5" s="477">
        <v>0</v>
      </c>
      <c r="M5" s="476">
        <v>0</v>
      </c>
      <c r="N5" s="475">
        <v>0</v>
      </c>
      <c r="O5" s="478">
        <v>16.756</v>
      </c>
      <c r="P5" s="479">
        <v>0.28399999999999997</v>
      </c>
      <c r="Q5" s="480">
        <v>44.04</v>
      </c>
      <c r="R5" s="481">
        <v>18.664999999999999</v>
      </c>
      <c r="S5" s="481">
        <v>0</v>
      </c>
      <c r="T5" s="481">
        <v>0</v>
      </c>
      <c r="U5" s="481">
        <v>0</v>
      </c>
      <c r="V5" s="481">
        <v>0</v>
      </c>
      <c r="W5" s="481">
        <v>62.704999999999998</v>
      </c>
      <c r="X5" s="481">
        <v>101.749</v>
      </c>
      <c r="Y5" s="564">
        <v>449772841.01999998</v>
      </c>
      <c r="Z5" s="564">
        <v>326091551.14999998</v>
      </c>
    </row>
    <row r="6" spans="1:202" s="470" customFormat="1" x14ac:dyDescent="0.2">
      <c r="A6" s="468" t="s">
        <v>86</v>
      </c>
      <c r="B6" s="468" t="s">
        <v>82</v>
      </c>
      <c r="C6" s="473" t="s">
        <v>702</v>
      </c>
      <c r="D6" s="444">
        <v>1478816330</v>
      </c>
      <c r="E6" s="444">
        <v>14866340</v>
      </c>
      <c r="F6" s="444">
        <v>1463949990</v>
      </c>
      <c r="G6" s="445">
        <v>861862.5</v>
      </c>
      <c r="H6" s="474">
        <v>27</v>
      </c>
      <c r="I6" s="474">
        <v>0</v>
      </c>
      <c r="J6" s="475">
        <v>27</v>
      </c>
      <c r="K6" s="476">
        <v>0</v>
      </c>
      <c r="L6" s="477">
        <v>0</v>
      </c>
      <c r="M6" s="476">
        <v>0</v>
      </c>
      <c r="N6" s="475">
        <v>0</v>
      </c>
      <c r="O6" s="478">
        <v>11.944000000000001</v>
      </c>
      <c r="P6" s="479">
        <v>0.157</v>
      </c>
      <c r="Q6" s="480">
        <v>39.100999999999999</v>
      </c>
      <c r="R6" s="481">
        <v>9.66</v>
      </c>
      <c r="S6" s="481">
        <v>0</v>
      </c>
      <c r="T6" s="481">
        <v>0</v>
      </c>
      <c r="U6" s="481">
        <v>0</v>
      </c>
      <c r="V6" s="481">
        <v>0</v>
      </c>
      <c r="W6" s="481">
        <v>48.760999999999996</v>
      </c>
      <c r="X6" s="481">
        <v>55.529000000000003</v>
      </c>
      <c r="Y6" s="564">
        <v>72711906.049999997</v>
      </c>
      <c r="Z6" s="564">
        <v>36569224.210000001</v>
      </c>
    </row>
    <row r="7" spans="1:202" s="470" customFormat="1" x14ac:dyDescent="0.2">
      <c r="A7" s="468" t="s">
        <v>88</v>
      </c>
      <c r="B7" s="468" t="s">
        <v>82</v>
      </c>
      <c r="C7" s="473" t="s">
        <v>703</v>
      </c>
      <c r="D7" s="444">
        <v>3605239737</v>
      </c>
      <c r="E7" s="444">
        <v>264239888</v>
      </c>
      <c r="F7" s="444">
        <v>3340999849</v>
      </c>
      <c r="G7" s="445">
        <v>3419376.7</v>
      </c>
      <c r="H7" s="474">
        <v>27</v>
      </c>
      <c r="I7" s="474">
        <v>0</v>
      </c>
      <c r="J7" s="475">
        <v>27</v>
      </c>
      <c r="K7" s="476">
        <v>0</v>
      </c>
      <c r="L7" s="477">
        <v>0</v>
      </c>
      <c r="M7" s="476">
        <v>0</v>
      </c>
      <c r="N7" s="475">
        <v>0</v>
      </c>
      <c r="O7" s="478">
        <v>8.2330000000000005</v>
      </c>
      <c r="P7" s="479">
        <v>0.42699999999999999</v>
      </c>
      <c r="Q7" s="480">
        <v>35.660000000000004</v>
      </c>
      <c r="R7" s="481">
        <v>20.984000000000002</v>
      </c>
      <c r="S7" s="481">
        <v>0</v>
      </c>
      <c r="T7" s="481">
        <v>0</v>
      </c>
      <c r="U7" s="481">
        <v>0</v>
      </c>
      <c r="V7" s="481">
        <v>0</v>
      </c>
      <c r="W7" s="481">
        <v>56.644000000000005</v>
      </c>
      <c r="X7" s="481">
        <v>82.369</v>
      </c>
      <c r="Y7" s="564">
        <v>281818758.99000001</v>
      </c>
      <c r="Z7" s="564">
        <v>183644483.94999999</v>
      </c>
    </row>
    <row r="8" spans="1:202" s="470" customFormat="1" x14ac:dyDescent="0.2">
      <c r="A8" s="468" t="s">
        <v>90</v>
      </c>
      <c r="B8" s="468" t="s">
        <v>82</v>
      </c>
      <c r="C8" s="473" t="s">
        <v>704</v>
      </c>
      <c r="D8" s="444">
        <v>825008196</v>
      </c>
      <c r="E8" s="444">
        <v>0</v>
      </c>
      <c r="F8" s="444">
        <v>825008196</v>
      </c>
      <c r="G8" s="445">
        <v>98121.159999999989</v>
      </c>
      <c r="H8" s="474">
        <v>25.265000000000001</v>
      </c>
      <c r="I8" s="474">
        <v>0</v>
      </c>
      <c r="J8" s="475">
        <v>25.265000000000001</v>
      </c>
      <c r="K8" s="476">
        <v>0</v>
      </c>
      <c r="L8" s="477">
        <v>0</v>
      </c>
      <c r="M8" s="476">
        <v>0</v>
      </c>
      <c r="N8" s="475">
        <v>0</v>
      </c>
      <c r="O8" s="478">
        <v>0</v>
      </c>
      <c r="P8" s="479">
        <v>6.3E-2</v>
      </c>
      <c r="Q8" s="480">
        <v>25.327999999999999</v>
      </c>
      <c r="R8" s="481">
        <v>0</v>
      </c>
      <c r="S8" s="481">
        <v>0</v>
      </c>
      <c r="T8" s="481">
        <v>0</v>
      </c>
      <c r="U8" s="481">
        <v>0</v>
      </c>
      <c r="V8" s="481">
        <v>0</v>
      </c>
      <c r="W8" s="481">
        <v>25.327999999999999</v>
      </c>
      <c r="X8" s="481">
        <v>53.401000000000003</v>
      </c>
      <c r="Y8" s="564">
        <v>22749083.649999999</v>
      </c>
      <c r="Z8" s="564">
        <v>11666262.289999999</v>
      </c>
    </row>
    <row r="9" spans="1:202" s="470" customFormat="1" x14ac:dyDescent="0.2">
      <c r="A9" s="468" t="s">
        <v>92</v>
      </c>
      <c r="B9" s="468" t="s">
        <v>82</v>
      </c>
      <c r="C9" s="473" t="s">
        <v>705</v>
      </c>
      <c r="D9" s="444">
        <v>144358161</v>
      </c>
      <c r="E9" s="444">
        <v>0</v>
      </c>
      <c r="F9" s="444">
        <v>144358161</v>
      </c>
      <c r="G9" s="445">
        <v>15757.880000000001</v>
      </c>
      <c r="H9" s="474">
        <v>27</v>
      </c>
      <c r="I9" s="474">
        <v>0</v>
      </c>
      <c r="J9" s="475">
        <v>27</v>
      </c>
      <c r="K9" s="476">
        <v>0</v>
      </c>
      <c r="L9" s="477">
        <v>0</v>
      </c>
      <c r="M9" s="476">
        <v>0</v>
      </c>
      <c r="N9" s="475">
        <v>0</v>
      </c>
      <c r="O9" s="478">
        <v>2.2909999999999999</v>
      </c>
      <c r="P9" s="479">
        <v>0.01</v>
      </c>
      <c r="Q9" s="480">
        <v>29.301000000000002</v>
      </c>
      <c r="R9" s="481">
        <v>11.457000000000001</v>
      </c>
      <c r="S9" s="481">
        <v>0</v>
      </c>
      <c r="T9" s="481">
        <v>0</v>
      </c>
      <c r="U9" s="481">
        <v>0</v>
      </c>
      <c r="V9" s="481">
        <v>0</v>
      </c>
      <c r="W9" s="481">
        <v>40.758000000000003</v>
      </c>
      <c r="X9" s="481">
        <v>92.5</v>
      </c>
      <c r="Y9" s="564">
        <v>13754347.65</v>
      </c>
      <c r="Z9" s="564">
        <v>9700284.8499999996</v>
      </c>
    </row>
    <row r="10" spans="1:202" s="470" customFormat="1" x14ac:dyDescent="0.2">
      <c r="A10" s="468" t="s">
        <v>94</v>
      </c>
      <c r="B10" s="468" t="s">
        <v>82</v>
      </c>
      <c r="C10" s="473" t="s">
        <v>706</v>
      </c>
      <c r="D10" s="444">
        <v>1257665831</v>
      </c>
      <c r="E10" s="444">
        <v>1561244</v>
      </c>
      <c r="F10" s="444">
        <v>1256104587</v>
      </c>
      <c r="G10" s="445">
        <v>1006852.88</v>
      </c>
      <c r="H10" s="474">
        <v>27</v>
      </c>
      <c r="I10" s="474">
        <v>0</v>
      </c>
      <c r="J10" s="475">
        <v>27</v>
      </c>
      <c r="K10" s="476">
        <v>0</v>
      </c>
      <c r="L10" s="477">
        <v>0</v>
      </c>
      <c r="M10" s="476">
        <v>0.46500000000000002</v>
      </c>
      <c r="N10" s="475">
        <v>0</v>
      </c>
      <c r="O10" s="478">
        <v>25.012</v>
      </c>
      <c r="P10" s="479">
        <v>0.19500000000000001</v>
      </c>
      <c r="Q10" s="480">
        <v>52.672000000000004</v>
      </c>
      <c r="R10" s="481">
        <v>7.4459999999999997</v>
      </c>
      <c r="S10" s="481">
        <v>0</v>
      </c>
      <c r="T10" s="481">
        <v>0</v>
      </c>
      <c r="U10" s="481">
        <v>0</v>
      </c>
      <c r="V10" s="481">
        <v>0</v>
      </c>
      <c r="W10" s="481">
        <v>60.118000000000002</v>
      </c>
      <c r="X10" s="481">
        <v>80.710999999999999</v>
      </c>
      <c r="Y10" s="564">
        <v>99836562.569999993</v>
      </c>
      <c r="Z10" s="564">
        <v>65340419.719999999</v>
      </c>
    </row>
    <row r="11" spans="1:202" s="470" customFormat="1" x14ac:dyDescent="0.2">
      <c r="A11" s="468" t="s">
        <v>96</v>
      </c>
      <c r="B11" s="468" t="s">
        <v>97</v>
      </c>
      <c r="C11" s="473" t="s">
        <v>707</v>
      </c>
      <c r="D11" s="444">
        <v>194575096</v>
      </c>
      <c r="E11" s="444">
        <v>0</v>
      </c>
      <c r="F11" s="444">
        <v>194575096</v>
      </c>
      <c r="G11" s="445">
        <v>13159.07</v>
      </c>
      <c r="H11" s="474">
        <v>27</v>
      </c>
      <c r="I11" s="474">
        <v>0</v>
      </c>
      <c r="J11" s="475">
        <v>27</v>
      </c>
      <c r="K11" s="476">
        <v>0</v>
      </c>
      <c r="L11" s="477">
        <v>0</v>
      </c>
      <c r="M11" s="476">
        <v>0</v>
      </c>
      <c r="N11" s="475">
        <v>0</v>
      </c>
      <c r="O11" s="478">
        <v>0</v>
      </c>
      <c r="P11" s="479">
        <v>2.3E-2</v>
      </c>
      <c r="Q11" s="480">
        <v>27.023</v>
      </c>
      <c r="R11" s="481">
        <v>0</v>
      </c>
      <c r="S11" s="481">
        <v>0</v>
      </c>
      <c r="T11" s="481">
        <v>0</v>
      </c>
      <c r="U11" s="481">
        <v>0</v>
      </c>
      <c r="V11" s="481">
        <v>0</v>
      </c>
      <c r="W11" s="481">
        <v>27.023</v>
      </c>
      <c r="X11" s="481">
        <v>122.267</v>
      </c>
      <c r="Y11" s="564">
        <v>24863991.039999999</v>
      </c>
      <c r="Z11" s="564">
        <v>18946441.850000001</v>
      </c>
    </row>
    <row r="12" spans="1:202" s="470" customFormat="1" x14ac:dyDescent="0.2">
      <c r="A12" s="468" t="s">
        <v>98</v>
      </c>
      <c r="B12" s="468" t="s">
        <v>97</v>
      </c>
      <c r="C12" s="473" t="s">
        <v>708</v>
      </c>
      <c r="D12" s="444">
        <v>51058223</v>
      </c>
      <c r="E12" s="444">
        <v>0</v>
      </c>
      <c r="F12" s="444">
        <v>51058223</v>
      </c>
      <c r="G12" s="445">
        <v>6712</v>
      </c>
      <c r="H12" s="474">
        <v>27</v>
      </c>
      <c r="I12" s="474">
        <v>0</v>
      </c>
      <c r="J12" s="475">
        <v>27</v>
      </c>
      <c r="K12" s="476">
        <v>0</v>
      </c>
      <c r="L12" s="477">
        <v>0</v>
      </c>
      <c r="M12" s="476">
        <v>0</v>
      </c>
      <c r="N12" s="475">
        <v>0</v>
      </c>
      <c r="O12" s="478">
        <v>0</v>
      </c>
      <c r="P12" s="479">
        <v>0</v>
      </c>
      <c r="Q12" s="480">
        <v>27</v>
      </c>
      <c r="R12" s="481">
        <v>6.6</v>
      </c>
      <c r="S12" s="481">
        <v>0</v>
      </c>
      <c r="T12" s="481">
        <v>0</v>
      </c>
      <c r="U12" s="481">
        <v>0</v>
      </c>
      <c r="V12" s="481">
        <v>0</v>
      </c>
      <c r="W12" s="481">
        <v>33.6</v>
      </c>
      <c r="X12" s="481">
        <v>80.772000000000006</v>
      </c>
      <c r="Y12" s="564">
        <v>4375286.1900000004</v>
      </c>
      <c r="Z12" s="564">
        <v>2813489.04</v>
      </c>
    </row>
    <row r="13" spans="1:202" s="470" customFormat="1" x14ac:dyDescent="0.2">
      <c r="A13" s="468" t="s">
        <v>100</v>
      </c>
      <c r="B13" s="468" t="s">
        <v>101</v>
      </c>
      <c r="C13" s="473" t="s">
        <v>709</v>
      </c>
      <c r="D13" s="444">
        <v>999843800</v>
      </c>
      <c r="E13" s="444">
        <v>71737332</v>
      </c>
      <c r="F13" s="444">
        <v>928106468</v>
      </c>
      <c r="G13" s="445">
        <v>633022.86</v>
      </c>
      <c r="H13" s="474">
        <v>27</v>
      </c>
      <c r="I13" s="474">
        <v>0.10499999999999998</v>
      </c>
      <c r="J13" s="475">
        <v>26.895</v>
      </c>
      <c r="K13" s="476">
        <v>0</v>
      </c>
      <c r="L13" s="477">
        <v>0</v>
      </c>
      <c r="M13" s="476">
        <v>0</v>
      </c>
      <c r="N13" s="475">
        <v>0</v>
      </c>
      <c r="O13" s="478">
        <v>7.3319999999999999</v>
      </c>
      <c r="P13" s="479">
        <v>0.25600000000000001</v>
      </c>
      <c r="Q13" s="480">
        <v>34.482999999999997</v>
      </c>
      <c r="R13" s="481">
        <v>10.769</v>
      </c>
      <c r="S13" s="481">
        <v>0</v>
      </c>
      <c r="T13" s="481">
        <v>0</v>
      </c>
      <c r="U13" s="481">
        <v>5.819</v>
      </c>
      <c r="V13" s="481">
        <v>0</v>
      </c>
      <c r="W13" s="481">
        <v>51.070999999999998</v>
      </c>
      <c r="X13" s="481">
        <v>26.885999999999999</v>
      </c>
      <c r="Y13" s="564">
        <v>26455657.420000002</v>
      </c>
      <c r="Z13" s="564">
        <v>427.8</v>
      </c>
    </row>
    <row r="14" spans="1:202" s="470" customFormat="1" x14ac:dyDescent="0.2">
      <c r="A14" s="468" t="s">
        <v>103</v>
      </c>
      <c r="B14" s="468" t="s">
        <v>101</v>
      </c>
      <c r="C14" s="473" t="s">
        <v>710</v>
      </c>
      <c r="D14" s="444">
        <v>416935854</v>
      </c>
      <c r="E14" s="444">
        <v>39374694</v>
      </c>
      <c r="F14" s="444">
        <v>377561160</v>
      </c>
      <c r="G14" s="445">
        <v>535393.64</v>
      </c>
      <c r="H14" s="474">
        <v>27</v>
      </c>
      <c r="I14" s="474">
        <v>1.0529999999999999</v>
      </c>
      <c r="J14" s="475">
        <v>25.946999999999999</v>
      </c>
      <c r="K14" s="476">
        <v>0</v>
      </c>
      <c r="L14" s="477">
        <v>0</v>
      </c>
      <c r="M14" s="476">
        <v>0</v>
      </c>
      <c r="N14" s="475">
        <v>0</v>
      </c>
      <c r="O14" s="478">
        <v>11.561999999999999</v>
      </c>
      <c r="P14" s="479">
        <v>0.315</v>
      </c>
      <c r="Q14" s="480">
        <v>37.823999999999998</v>
      </c>
      <c r="R14" s="481">
        <v>4.3860000000000001</v>
      </c>
      <c r="S14" s="481">
        <v>0</v>
      </c>
      <c r="T14" s="481">
        <v>0</v>
      </c>
      <c r="U14" s="481">
        <v>0</v>
      </c>
      <c r="V14" s="481">
        <v>0</v>
      </c>
      <c r="W14" s="481">
        <v>42.21</v>
      </c>
      <c r="X14" s="481">
        <v>36.97</v>
      </c>
      <c r="Y14" s="564">
        <v>13714030.26</v>
      </c>
      <c r="Z14" s="564">
        <v>3940901.57</v>
      </c>
    </row>
    <row r="15" spans="1:202" s="470" customFormat="1" x14ac:dyDescent="0.2">
      <c r="A15" s="468" t="s">
        <v>105</v>
      </c>
      <c r="B15" s="468" t="s">
        <v>101</v>
      </c>
      <c r="C15" s="473" t="s">
        <v>711</v>
      </c>
      <c r="D15" s="444">
        <v>9596004233</v>
      </c>
      <c r="E15" s="444">
        <v>65683495</v>
      </c>
      <c r="F15" s="444">
        <v>9530320738</v>
      </c>
      <c r="G15" s="445">
        <v>3232633.24</v>
      </c>
      <c r="H15" s="474">
        <v>18.756</v>
      </c>
      <c r="I15" s="474">
        <v>0</v>
      </c>
      <c r="J15" s="475">
        <v>18.756</v>
      </c>
      <c r="K15" s="476">
        <v>0</v>
      </c>
      <c r="L15" s="477">
        <v>0</v>
      </c>
      <c r="M15" s="476">
        <v>0.72399999999999998</v>
      </c>
      <c r="N15" s="475">
        <v>4.2999999999999997E-2</v>
      </c>
      <c r="O15" s="478">
        <v>16.994</v>
      </c>
      <c r="P15" s="479">
        <v>0.249</v>
      </c>
      <c r="Q15" s="480">
        <v>36.765999999999998</v>
      </c>
      <c r="R15" s="481">
        <v>12.141</v>
      </c>
      <c r="S15" s="481">
        <v>0</v>
      </c>
      <c r="T15" s="481">
        <v>0</v>
      </c>
      <c r="U15" s="482">
        <v>5.0549999999999997</v>
      </c>
      <c r="V15" s="482">
        <v>0</v>
      </c>
      <c r="W15" s="481">
        <v>53.961999999999996</v>
      </c>
      <c r="X15" s="481">
        <v>58.692</v>
      </c>
      <c r="Y15" s="564">
        <v>594074253.87</v>
      </c>
      <c r="Z15" s="564">
        <v>395372209.60000002</v>
      </c>
    </row>
    <row r="16" spans="1:202" s="470" customFormat="1" x14ac:dyDescent="0.2">
      <c r="A16" s="468" t="s">
        <v>107</v>
      </c>
      <c r="B16" s="468" t="s">
        <v>101</v>
      </c>
      <c r="C16" s="473" t="s">
        <v>712</v>
      </c>
      <c r="D16" s="444">
        <v>2796629263</v>
      </c>
      <c r="E16" s="444">
        <v>29509540</v>
      </c>
      <c r="F16" s="444">
        <v>2767119723</v>
      </c>
      <c r="G16" s="445">
        <v>2555535.0099999998</v>
      </c>
      <c r="H16" s="474">
        <v>27</v>
      </c>
      <c r="I16" s="474">
        <v>0</v>
      </c>
      <c r="J16" s="475">
        <v>27</v>
      </c>
      <c r="K16" s="476">
        <v>0</v>
      </c>
      <c r="L16" s="477">
        <v>0</v>
      </c>
      <c r="M16" s="476">
        <v>0.93100000000000005</v>
      </c>
      <c r="N16" s="475">
        <v>0</v>
      </c>
      <c r="O16" s="478">
        <v>10.648999999999999</v>
      </c>
      <c r="P16" s="479">
        <v>0.36699999999999999</v>
      </c>
      <c r="Q16" s="480">
        <v>38.946999999999996</v>
      </c>
      <c r="R16" s="481">
        <v>15.846</v>
      </c>
      <c r="S16" s="481">
        <v>0</v>
      </c>
      <c r="T16" s="481">
        <v>10</v>
      </c>
      <c r="U16" s="481">
        <v>0</v>
      </c>
      <c r="V16" s="481">
        <v>0</v>
      </c>
      <c r="W16" s="481">
        <v>64.792999999999992</v>
      </c>
      <c r="X16" s="481">
        <v>51.631999999999998</v>
      </c>
      <c r="Y16" s="564">
        <v>144353814.78</v>
      </c>
      <c r="Z16" s="564">
        <v>66227724.280000001</v>
      </c>
    </row>
    <row r="17" spans="1:26" s="470" customFormat="1" x14ac:dyDescent="0.2">
      <c r="A17" s="468" t="s">
        <v>109</v>
      </c>
      <c r="B17" s="468" t="s">
        <v>101</v>
      </c>
      <c r="C17" s="473" t="s">
        <v>713</v>
      </c>
      <c r="D17" s="444">
        <v>55607526</v>
      </c>
      <c r="E17" s="444">
        <v>0</v>
      </c>
      <c r="F17" s="444">
        <v>55607526</v>
      </c>
      <c r="G17" s="445">
        <v>4849.93</v>
      </c>
      <c r="H17" s="474">
        <v>27</v>
      </c>
      <c r="I17" s="474">
        <v>0</v>
      </c>
      <c r="J17" s="475">
        <v>27</v>
      </c>
      <c r="K17" s="476">
        <v>0</v>
      </c>
      <c r="L17" s="477">
        <v>0</v>
      </c>
      <c r="M17" s="476">
        <v>0.123</v>
      </c>
      <c r="N17" s="475">
        <v>0</v>
      </c>
      <c r="O17" s="478">
        <v>0</v>
      </c>
      <c r="P17" s="479">
        <v>0</v>
      </c>
      <c r="Q17" s="480">
        <v>27.123000000000001</v>
      </c>
      <c r="R17" s="481">
        <v>9.9440000000000008</v>
      </c>
      <c r="S17" s="481">
        <v>0</v>
      </c>
      <c r="T17" s="481">
        <v>0</v>
      </c>
      <c r="U17" s="481">
        <v>0</v>
      </c>
      <c r="V17" s="481">
        <v>0</v>
      </c>
      <c r="W17" s="481">
        <v>37.067</v>
      </c>
      <c r="X17" s="481">
        <v>89.387</v>
      </c>
      <c r="Y17" s="564">
        <v>5346390.8499999996</v>
      </c>
      <c r="Z17" s="564">
        <v>3669876.18</v>
      </c>
    </row>
    <row r="18" spans="1:26" s="470" customFormat="1" x14ac:dyDescent="0.2">
      <c r="A18" s="468" t="s">
        <v>111</v>
      </c>
      <c r="B18" s="468" t="s">
        <v>101</v>
      </c>
      <c r="C18" s="473" t="s">
        <v>714</v>
      </c>
      <c r="D18" s="444">
        <v>6108837153</v>
      </c>
      <c r="E18" s="444">
        <v>167168174</v>
      </c>
      <c r="F18" s="444">
        <v>5941668979</v>
      </c>
      <c r="G18" s="445">
        <v>13534328.380000001</v>
      </c>
      <c r="H18" s="474">
        <v>27</v>
      </c>
      <c r="I18" s="474">
        <v>0</v>
      </c>
      <c r="J18" s="475">
        <v>27</v>
      </c>
      <c r="K18" s="476">
        <v>0</v>
      </c>
      <c r="L18" s="477">
        <v>0</v>
      </c>
      <c r="M18" s="476">
        <v>0</v>
      </c>
      <c r="N18" s="475">
        <v>0</v>
      </c>
      <c r="O18" s="478">
        <v>22.513999999999999</v>
      </c>
      <c r="P18" s="479">
        <v>0.53200000000000003</v>
      </c>
      <c r="Q18" s="480">
        <v>50.045999999999992</v>
      </c>
      <c r="R18" s="481">
        <v>15.901</v>
      </c>
      <c r="S18" s="481">
        <v>0</v>
      </c>
      <c r="T18" s="481">
        <v>0</v>
      </c>
      <c r="U18" s="481">
        <v>5.3840000000000003</v>
      </c>
      <c r="V18" s="481">
        <v>0</v>
      </c>
      <c r="W18" s="481">
        <v>71.330999999999989</v>
      </c>
      <c r="X18" s="481">
        <v>77.626999999999995</v>
      </c>
      <c r="Y18" s="564">
        <v>501713271.12</v>
      </c>
      <c r="Z18" s="564">
        <v>320887440.85000002</v>
      </c>
    </row>
    <row r="19" spans="1:26" s="470" customFormat="1" x14ac:dyDescent="0.2">
      <c r="A19" s="468" t="s">
        <v>113</v>
      </c>
      <c r="B19" s="468" t="s">
        <v>101</v>
      </c>
      <c r="C19" s="473" t="s">
        <v>715</v>
      </c>
      <c r="D19" s="444">
        <v>76776491</v>
      </c>
      <c r="E19" s="444">
        <v>0</v>
      </c>
      <c r="F19" s="444">
        <v>76776491</v>
      </c>
      <c r="G19" s="445">
        <v>4515.2299999999996</v>
      </c>
      <c r="H19" s="474">
        <v>27</v>
      </c>
      <c r="I19" s="474">
        <v>0</v>
      </c>
      <c r="J19" s="475">
        <v>27</v>
      </c>
      <c r="K19" s="476">
        <v>0</v>
      </c>
      <c r="L19" s="477">
        <v>0</v>
      </c>
      <c r="M19" s="476">
        <v>0</v>
      </c>
      <c r="N19" s="475">
        <v>0</v>
      </c>
      <c r="O19" s="478">
        <v>3.4449999999999998</v>
      </c>
      <c r="P19" s="479">
        <v>0.20200000000000001</v>
      </c>
      <c r="Q19" s="480">
        <v>30.647000000000002</v>
      </c>
      <c r="R19" s="481">
        <v>0</v>
      </c>
      <c r="S19" s="481">
        <v>0</v>
      </c>
      <c r="T19" s="481">
        <v>0</v>
      </c>
      <c r="U19" s="481">
        <v>0</v>
      </c>
      <c r="V19" s="481">
        <v>0</v>
      </c>
      <c r="W19" s="481">
        <v>30.647000000000002</v>
      </c>
      <c r="X19" s="481">
        <v>1047</v>
      </c>
      <c r="Y19" s="564">
        <v>80785561.099999994</v>
      </c>
      <c r="Z19" s="564">
        <v>78597080</v>
      </c>
    </row>
    <row r="20" spans="1:26" s="470" customFormat="1" x14ac:dyDescent="0.2">
      <c r="A20" s="468" t="s">
        <v>115</v>
      </c>
      <c r="B20" s="468" t="s">
        <v>116</v>
      </c>
      <c r="C20" s="473" t="s">
        <v>716</v>
      </c>
      <c r="D20" s="444">
        <v>635984290</v>
      </c>
      <c r="E20" s="444">
        <v>5223090</v>
      </c>
      <c r="F20" s="444">
        <v>630761200</v>
      </c>
      <c r="G20" s="445">
        <v>80131.88</v>
      </c>
      <c r="H20" s="474">
        <v>27</v>
      </c>
      <c r="I20" s="474">
        <v>0.98600000000000021</v>
      </c>
      <c r="J20" s="475">
        <v>26.013999999999999</v>
      </c>
      <c r="K20" s="476">
        <v>0</v>
      </c>
      <c r="L20" s="477">
        <v>0</v>
      </c>
      <c r="M20" s="476">
        <v>0</v>
      </c>
      <c r="N20" s="475">
        <v>0</v>
      </c>
      <c r="O20" s="478">
        <v>2.9889999999999999</v>
      </c>
      <c r="P20" s="479">
        <v>9.6000000000000002E-2</v>
      </c>
      <c r="Q20" s="480">
        <v>29.099</v>
      </c>
      <c r="R20" s="481">
        <v>0</v>
      </c>
      <c r="S20" s="481">
        <v>0</v>
      </c>
      <c r="T20" s="481">
        <v>0</v>
      </c>
      <c r="U20" s="481">
        <v>0</v>
      </c>
      <c r="V20" s="481">
        <v>0</v>
      </c>
      <c r="W20" s="481">
        <v>29.099</v>
      </c>
      <c r="X20" s="481">
        <v>29.696999999999999</v>
      </c>
      <c r="Y20" s="564">
        <v>19638317.809999999</v>
      </c>
      <c r="Z20" s="564">
        <v>2300219.16</v>
      </c>
    </row>
    <row r="21" spans="1:26" s="470" customFormat="1" x14ac:dyDescent="0.2">
      <c r="A21" s="468" t="s">
        <v>117</v>
      </c>
      <c r="B21" s="468" t="s">
        <v>118</v>
      </c>
      <c r="C21" s="473" t="s">
        <v>717</v>
      </c>
      <c r="D21" s="444">
        <v>27162257</v>
      </c>
      <c r="E21" s="444">
        <v>0</v>
      </c>
      <c r="F21" s="444">
        <v>27162257</v>
      </c>
      <c r="G21" s="445">
        <v>3500.49</v>
      </c>
      <c r="H21" s="474">
        <v>27</v>
      </c>
      <c r="I21" s="474">
        <v>2.6989999999999998</v>
      </c>
      <c r="J21" s="475">
        <v>24.301000000000002</v>
      </c>
      <c r="K21" s="476">
        <v>0</v>
      </c>
      <c r="L21" s="477">
        <v>0</v>
      </c>
      <c r="M21" s="476">
        <v>0</v>
      </c>
      <c r="N21" s="475">
        <v>0</v>
      </c>
      <c r="O21" s="478">
        <v>5</v>
      </c>
      <c r="P21" s="479">
        <v>1.2999999999999999E-2</v>
      </c>
      <c r="Q21" s="480">
        <v>28.314000000000004</v>
      </c>
      <c r="R21" s="481">
        <v>13.64</v>
      </c>
      <c r="S21" s="481">
        <v>0</v>
      </c>
      <c r="T21" s="481">
        <v>0</v>
      </c>
      <c r="U21" s="481">
        <v>0</v>
      </c>
      <c r="V21" s="481">
        <v>0</v>
      </c>
      <c r="W21" s="481">
        <v>41.954000000000008</v>
      </c>
      <c r="X21" s="481">
        <v>119.999</v>
      </c>
      <c r="Y21" s="564">
        <v>3366043.9</v>
      </c>
      <c r="Z21" s="564">
        <v>2677980.5299999998</v>
      </c>
    </row>
    <row r="22" spans="1:26" s="470" customFormat="1" x14ac:dyDescent="0.2">
      <c r="A22" s="468" t="s">
        <v>120</v>
      </c>
      <c r="B22" s="468" t="s">
        <v>118</v>
      </c>
      <c r="C22" s="473" t="s">
        <v>718</v>
      </c>
      <c r="D22" s="444">
        <v>32652374</v>
      </c>
      <c r="E22" s="444">
        <v>0</v>
      </c>
      <c r="F22" s="444">
        <v>32652374</v>
      </c>
      <c r="G22" s="445">
        <v>686.71</v>
      </c>
      <c r="H22" s="474">
        <v>26.992000000000001</v>
      </c>
      <c r="I22" s="474">
        <v>3.1909999999999998</v>
      </c>
      <c r="J22" s="475">
        <v>23.801000000000002</v>
      </c>
      <c r="K22" s="476">
        <v>0</v>
      </c>
      <c r="L22" s="477">
        <v>0</v>
      </c>
      <c r="M22" s="476">
        <v>0</v>
      </c>
      <c r="N22" s="475">
        <v>0</v>
      </c>
      <c r="O22" s="478">
        <v>0</v>
      </c>
      <c r="P22" s="479">
        <v>0</v>
      </c>
      <c r="Q22" s="480">
        <v>23.801000000000002</v>
      </c>
      <c r="R22" s="481">
        <v>0</v>
      </c>
      <c r="S22" s="481">
        <v>0</v>
      </c>
      <c r="T22" s="481">
        <v>0</v>
      </c>
      <c r="U22" s="481">
        <v>0</v>
      </c>
      <c r="V22" s="481">
        <v>0</v>
      </c>
      <c r="W22" s="481">
        <v>23.801000000000002</v>
      </c>
      <c r="X22" s="481">
        <v>41.695</v>
      </c>
      <c r="Y22" s="564">
        <v>1434339.35</v>
      </c>
      <c r="Z22" s="564">
        <v>584617.64</v>
      </c>
    </row>
    <row r="23" spans="1:26" s="470" customFormat="1" x14ac:dyDescent="0.2">
      <c r="A23" s="468" t="s">
        <v>122</v>
      </c>
      <c r="B23" s="468" t="s">
        <v>118</v>
      </c>
      <c r="C23" s="473" t="s">
        <v>719</v>
      </c>
      <c r="D23" s="444">
        <v>36426592</v>
      </c>
      <c r="E23" s="444">
        <v>0</v>
      </c>
      <c r="F23" s="444">
        <v>36426592</v>
      </c>
      <c r="G23" s="445">
        <v>4802.17</v>
      </c>
      <c r="H23" s="474">
        <v>27</v>
      </c>
      <c r="I23" s="474">
        <v>0</v>
      </c>
      <c r="J23" s="475">
        <v>27</v>
      </c>
      <c r="K23" s="476">
        <v>0</v>
      </c>
      <c r="L23" s="477">
        <v>0</v>
      </c>
      <c r="M23" s="476">
        <v>0</v>
      </c>
      <c r="N23" s="475">
        <v>0</v>
      </c>
      <c r="O23" s="478">
        <v>0</v>
      </c>
      <c r="P23" s="479">
        <v>0</v>
      </c>
      <c r="Q23" s="480">
        <v>27</v>
      </c>
      <c r="R23" s="481">
        <v>11.375</v>
      </c>
      <c r="S23" s="481">
        <v>0</v>
      </c>
      <c r="T23" s="481">
        <v>0</v>
      </c>
      <c r="U23" s="481">
        <v>0</v>
      </c>
      <c r="V23" s="481">
        <v>0</v>
      </c>
      <c r="W23" s="481">
        <v>38.375</v>
      </c>
      <c r="X23" s="481">
        <v>115.473</v>
      </c>
      <c r="Y23" s="564">
        <v>4403278.97</v>
      </c>
      <c r="Z23" s="564">
        <v>3305674.54</v>
      </c>
    </row>
    <row r="24" spans="1:26" s="470" customFormat="1" x14ac:dyDescent="0.2">
      <c r="A24" s="468" t="s">
        <v>124</v>
      </c>
      <c r="B24" s="468" t="s">
        <v>118</v>
      </c>
      <c r="C24" s="473" t="s">
        <v>720</v>
      </c>
      <c r="D24" s="444">
        <v>6862473</v>
      </c>
      <c r="E24" s="444">
        <v>0</v>
      </c>
      <c r="F24" s="444">
        <v>6862473</v>
      </c>
      <c r="G24" s="445">
        <v>758.17</v>
      </c>
      <c r="H24" s="474">
        <v>27</v>
      </c>
      <c r="I24" s="474">
        <v>0</v>
      </c>
      <c r="J24" s="475">
        <v>27</v>
      </c>
      <c r="K24" s="476">
        <v>0</v>
      </c>
      <c r="L24" s="477">
        <v>0</v>
      </c>
      <c r="M24" s="476">
        <v>0</v>
      </c>
      <c r="N24" s="475">
        <v>0</v>
      </c>
      <c r="O24" s="478">
        <v>0</v>
      </c>
      <c r="P24" s="479">
        <v>1.7000000000000001E-2</v>
      </c>
      <c r="Q24" s="480">
        <v>27.016999999999999</v>
      </c>
      <c r="R24" s="481">
        <v>0</v>
      </c>
      <c r="S24" s="481">
        <v>0</v>
      </c>
      <c r="T24" s="481">
        <v>0</v>
      </c>
      <c r="U24" s="481">
        <v>0</v>
      </c>
      <c r="V24" s="481">
        <v>0</v>
      </c>
      <c r="W24" s="481">
        <v>27.016999999999999</v>
      </c>
      <c r="X24" s="481">
        <v>390.74599999999998</v>
      </c>
      <c r="Y24" s="564">
        <v>2801531.69</v>
      </c>
      <c r="Z24" s="564">
        <v>2590303.52</v>
      </c>
    </row>
    <row r="25" spans="1:26" s="470" customFormat="1" x14ac:dyDescent="0.2">
      <c r="A25" s="468" t="s">
        <v>126</v>
      </c>
      <c r="B25" s="468" t="s">
        <v>118</v>
      </c>
      <c r="C25" s="473" t="s">
        <v>721</v>
      </c>
      <c r="D25" s="444">
        <v>18548323</v>
      </c>
      <c r="E25" s="444">
        <v>0</v>
      </c>
      <c r="F25" s="444">
        <v>18548323</v>
      </c>
      <c r="G25" s="445">
        <v>2576.21</v>
      </c>
      <c r="H25" s="474">
        <v>18.3</v>
      </c>
      <c r="I25" s="474">
        <v>2.5439999999999996</v>
      </c>
      <c r="J25" s="475">
        <v>15.756</v>
      </c>
      <c r="K25" s="476">
        <v>0</v>
      </c>
      <c r="L25" s="477">
        <v>0</v>
      </c>
      <c r="M25" s="476">
        <v>0.249</v>
      </c>
      <c r="N25" s="475">
        <v>0</v>
      </c>
      <c r="O25" s="478">
        <v>8.0359999999999996</v>
      </c>
      <c r="P25" s="479">
        <v>0</v>
      </c>
      <c r="Q25" s="480">
        <v>24.040999999999997</v>
      </c>
      <c r="R25" s="481">
        <v>0</v>
      </c>
      <c r="S25" s="481">
        <v>0</v>
      </c>
      <c r="T25" s="481">
        <v>0</v>
      </c>
      <c r="U25" s="481">
        <v>0</v>
      </c>
      <c r="V25" s="481">
        <v>0</v>
      </c>
      <c r="W25" s="481">
        <v>24.040999999999997</v>
      </c>
      <c r="X25" s="481">
        <v>66.441999999999993</v>
      </c>
      <c r="Y25" s="564">
        <v>1302093.54</v>
      </c>
      <c r="Z25" s="564">
        <v>973224.98</v>
      </c>
    </row>
    <row r="26" spans="1:26" s="470" customFormat="1" x14ac:dyDescent="0.2">
      <c r="A26" s="468" t="s">
        <v>128</v>
      </c>
      <c r="B26" s="468" t="s">
        <v>129</v>
      </c>
      <c r="C26" s="473" t="s">
        <v>722</v>
      </c>
      <c r="D26" s="444">
        <v>74486900</v>
      </c>
      <c r="E26" s="444">
        <v>0</v>
      </c>
      <c r="F26" s="444">
        <v>74486900</v>
      </c>
      <c r="G26" s="445">
        <v>5944.72</v>
      </c>
      <c r="H26" s="474">
        <v>27</v>
      </c>
      <c r="I26" s="474">
        <v>2.5019999999999998</v>
      </c>
      <c r="J26" s="475">
        <v>24.498000000000001</v>
      </c>
      <c r="K26" s="476">
        <v>0</v>
      </c>
      <c r="L26" s="477">
        <v>0</v>
      </c>
      <c r="M26" s="476">
        <v>0</v>
      </c>
      <c r="N26" s="475">
        <v>0</v>
      </c>
      <c r="O26" s="478">
        <v>0</v>
      </c>
      <c r="P26" s="479">
        <v>8.9999999999999993E-3</v>
      </c>
      <c r="Q26" s="480">
        <v>24.507000000000001</v>
      </c>
      <c r="R26" s="481">
        <v>0</v>
      </c>
      <c r="S26" s="481">
        <v>0</v>
      </c>
      <c r="T26" s="481">
        <v>0</v>
      </c>
      <c r="U26" s="481">
        <v>0</v>
      </c>
      <c r="V26" s="481">
        <v>0</v>
      </c>
      <c r="W26" s="481">
        <v>24.507000000000001</v>
      </c>
      <c r="X26" s="481">
        <v>147.21199999999999</v>
      </c>
      <c r="Y26" s="564">
        <v>11504261.77</v>
      </c>
      <c r="Z26" s="564">
        <v>9472172.7599999998</v>
      </c>
    </row>
    <row r="27" spans="1:26" s="470" customFormat="1" x14ac:dyDescent="0.2">
      <c r="A27" s="468" t="s">
        <v>131</v>
      </c>
      <c r="B27" s="468" t="s">
        <v>129</v>
      </c>
      <c r="C27" s="473" t="s">
        <v>723</v>
      </c>
      <c r="D27" s="444">
        <v>27330920</v>
      </c>
      <c r="E27" s="444">
        <v>0</v>
      </c>
      <c r="F27" s="444">
        <v>27330920</v>
      </c>
      <c r="G27" s="445">
        <v>15792.25</v>
      </c>
      <c r="H27" s="474">
        <v>23.59</v>
      </c>
      <c r="I27" s="474">
        <v>0</v>
      </c>
      <c r="J27" s="475">
        <v>23.59</v>
      </c>
      <c r="K27" s="476">
        <v>0</v>
      </c>
      <c r="L27" s="477">
        <v>0</v>
      </c>
      <c r="M27" s="476">
        <v>4.7389999999999999</v>
      </c>
      <c r="N27" s="475">
        <v>0</v>
      </c>
      <c r="O27" s="478">
        <v>0</v>
      </c>
      <c r="P27" s="479">
        <v>8.5999999999999993E-2</v>
      </c>
      <c r="Q27" s="480">
        <v>28.414999999999999</v>
      </c>
      <c r="R27" s="481">
        <v>17.896000000000001</v>
      </c>
      <c r="S27" s="481">
        <v>0</v>
      </c>
      <c r="T27" s="481">
        <v>0</v>
      </c>
      <c r="U27" s="481">
        <v>0</v>
      </c>
      <c r="V27" s="481">
        <v>0</v>
      </c>
      <c r="W27" s="481">
        <v>46.311</v>
      </c>
      <c r="X27" s="481">
        <v>137.54900000000001</v>
      </c>
      <c r="Y27" s="564">
        <v>3953099.23</v>
      </c>
      <c r="Z27" s="564">
        <v>3221770.55</v>
      </c>
    </row>
    <row r="28" spans="1:26" s="470" customFormat="1" x14ac:dyDescent="0.2">
      <c r="A28" s="468" t="s">
        <v>133</v>
      </c>
      <c r="B28" s="468" t="s">
        <v>134</v>
      </c>
      <c r="C28" s="473" t="s">
        <v>724</v>
      </c>
      <c r="D28" s="444">
        <v>6279652368</v>
      </c>
      <c r="E28" s="444">
        <v>403307271</v>
      </c>
      <c r="F28" s="444">
        <v>5876345097</v>
      </c>
      <c r="G28" s="445">
        <v>2328724.48</v>
      </c>
      <c r="H28" s="474">
        <v>27</v>
      </c>
      <c r="I28" s="474">
        <v>0</v>
      </c>
      <c r="J28" s="475">
        <v>27</v>
      </c>
      <c r="K28" s="476">
        <v>0</v>
      </c>
      <c r="L28" s="477">
        <v>0</v>
      </c>
      <c r="M28" s="476">
        <v>0</v>
      </c>
      <c r="N28" s="475">
        <v>0</v>
      </c>
      <c r="O28" s="478">
        <v>13.238</v>
      </c>
      <c r="P28" s="479">
        <v>0.20200000000000001</v>
      </c>
      <c r="Q28" s="480">
        <v>40.44</v>
      </c>
      <c r="R28" s="481">
        <v>16.728000000000002</v>
      </c>
      <c r="S28" s="481">
        <v>0</v>
      </c>
      <c r="T28" s="481">
        <v>0</v>
      </c>
      <c r="U28" s="481">
        <v>0</v>
      </c>
      <c r="V28" s="481">
        <v>0</v>
      </c>
      <c r="W28" s="481">
        <v>57.167999999999999</v>
      </c>
      <c r="X28" s="481">
        <v>64.893000000000001</v>
      </c>
      <c r="Y28" s="564">
        <v>353644732.69</v>
      </c>
      <c r="Z28" s="564">
        <v>202397529.71000001</v>
      </c>
    </row>
    <row r="29" spans="1:26" s="470" customFormat="1" x14ac:dyDescent="0.2">
      <c r="A29" s="468" t="s">
        <v>136</v>
      </c>
      <c r="B29" s="468" t="s">
        <v>134</v>
      </c>
      <c r="C29" s="473" t="s">
        <v>725</v>
      </c>
      <c r="D29" s="444">
        <v>10565715243</v>
      </c>
      <c r="E29" s="444">
        <v>166893187</v>
      </c>
      <c r="F29" s="444">
        <v>10398822056</v>
      </c>
      <c r="G29" s="445">
        <v>6892030.9900000002</v>
      </c>
      <c r="H29" s="474">
        <v>27</v>
      </c>
      <c r="I29" s="474">
        <v>0</v>
      </c>
      <c r="J29" s="475">
        <v>27</v>
      </c>
      <c r="K29" s="476">
        <v>0</v>
      </c>
      <c r="L29" s="477">
        <v>0</v>
      </c>
      <c r="M29" s="476">
        <v>0</v>
      </c>
      <c r="N29" s="475">
        <v>0</v>
      </c>
      <c r="O29" s="478">
        <v>8.6020000000000003</v>
      </c>
      <c r="P29" s="479">
        <v>0.314</v>
      </c>
      <c r="Q29" s="480">
        <v>35.916000000000004</v>
      </c>
      <c r="R29" s="481">
        <v>7.4980000000000002</v>
      </c>
      <c r="S29" s="481">
        <v>0.76100000000000001</v>
      </c>
      <c r="T29" s="481">
        <v>0</v>
      </c>
      <c r="U29" s="482">
        <v>4</v>
      </c>
      <c r="V29" s="482">
        <v>0</v>
      </c>
      <c r="W29" s="481">
        <v>48.175000000000004</v>
      </c>
      <c r="X29" s="481">
        <v>29.908999999999999</v>
      </c>
      <c r="Y29" s="564">
        <v>313517672.69</v>
      </c>
      <c r="Z29" s="564">
        <v>29224771.079999998</v>
      </c>
    </row>
    <row r="30" spans="1:26" s="470" customFormat="1" x14ac:dyDescent="0.2">
      <c r="A30" s="468" t="s">
        <v>137</v>
      </c>
      <c r="B30" s="468" t="s">
        <v>138</v>
      </c>
      <c r="C30" s="473" t="s">
        <v>726</v>
      </c>
      <c r="D30" s="444">
        <v>427743960</v>
      </c>
      <c r="E30" s="444">
        <v>0</v>
      </c>
      <c r="F30" s="444">
        <v>427743960</v>
      </c>
      <c r="G30" s="445">
        <v>59231.3</v>
      </c>
      <c r="H30" s="474">
        <v>23.149000000000001</v>
      </c>
      <c r="I30" s="474">
        <v>2.1669999999999998</v>
      </c>
      <c r="J30" s="475">
        <v>20.981999999999999</v>
      </c>
      <c r="K30" s="476">
        <v>0</v>
      </c>
      <c r="L30" s="477">
        <v>0</v>
      </c>
      <c r="M30" s="476">
        <v>0</v>
      </c>
      <c r="N30" s="475">
        <v>0</v>
      </c>
      <c r="O30" s="478">
        <v>8.1549999999999994</v>
      </c>
      <c r="P30" s="479">
        <v>6.2E-2</v>
      </c>
      <c r="Q30" s="480">
        <v>29.199000000000002</v>
      </c>
      <c r="R30" s="481">
        <v>5.94</v>
      </c>
      <c r="S30" s="481">
        <v>0</v>
      </c>
      <c r="T30" s="481">
        <v>0</v>
      </c>
      <c r="U30" s="481">
        <v>0</v>
      </c>
      <c r="V30" s="481">
        <v>0</v>
      </c>
      <c r="W30" s="481">
        <v>35.139000000000003</v>
      </c>
      <c r="X30" s="481">
        <v>23.181999999999999</v>
      </c>
      <c r="Y30" s="564">
        <v>11439265.52</v>
      </c>
      <c r="Z30" s="564">
        <v>1013752.48</v>
      </c>
    </row>
    <row r="31" spans="1:26" s="470" customFormat="1" x14ac:dyDescent="0.2">
      <c r="A31" s="468" t="s">
        <v>140</v>
      </c>
      <c r="B31" s="468" t="s">
        <v>138</v>
      </c>
      <c r="C31" s="473" t="s">
        <v>727</v>
      </c>
      <c r="D31" s="444">
        <v>532179863</v>
      </c>
      <c r="E31" s="444">
        <v>0</v>
      </c>
      <c r="F31" s="444">
        <v>532179863</v>
      </c>
      <c r="G31" s="445">
        <v>28681.05</v>
      </c>
      <c r="H31" s="474">
        <v>24.792999999999999</v>
      </c>
      <c r="I31" s="474">
        <v>5.0999999999999996</v>
      </c>
      <c r="J31" s="475">
        <v>19.692999999999998</v>
      </c>
      <c r="K31" s="476">
        <v>0</v>
      </c>
      <c r="L31" s="477">
        <v>0</v>
      </c>
      <c r="M31" s="476">
        <v>0</v>
      </c>
      <c r="N31" s="475">
        <v>0</v>
      </c>
      <c r="O31" s="478">
        <v>6.2569999999999997</v>
      </c>
      <c r="P31" s="479">
        <v>2.1000000000000001E-2</v>
      </c>
      <c r="Q31" s="480">
        <v>25.970999999999997</v>
      </c>
      <c r="R31" s="481">
        <v>4.1980000000000004</v>
      </c>
      <c r="S31" s="481">
        <v>0</v>
      </c>
      <c r="T31" s="481">
        <v>0</v>
      </c>
      <c r="U31" s="481">
        <v>0</v>
      </c>
      <c r="V31" s="481">
        <v>0</v>
      </c>
      <c r="W31" s="481">
        <v>30.168999999999997</v>
      </c>
      <c r="X31" s="481">
        <v>31.123999999999999</v>
      </c>
      <c r="Y31" s="564">
        <v>17009752.829999998</v>
      </c>
      <c r="Z31" s="564">
        <v>5957609.7999999998</v>
      </c>
    </row>
    <row r="32" spans="1:26" s="470" customFormat="1" x14ac:dyDescent="0.2">
      <c r="A32" s="468" t="s">
        <v>142</v>
      </c>
      <c r="B32" s="468" t="s">
        <v>143</v>
      </c>
      <c r="C32" s="473" t="s">
        <v>728</v>
      </c>
      <c r="D32" s="444">
        <v>48075657.590000004</v>
      </c>
      <c r="E32" s="444">
        <v>0</v>
      </c>
      <c r="F32" s="444">
        <v>48075657.590000004</v>
      </c>
      <c r="G32" s="445">
        <v>4482.76</v>
      </c>
      <c r="H32" s="474">
        <v>17.88</v>
      </c>
      <c r="I32" s="474">
        <v>5.0659999999999998</v>
      </c>
      <c r="J32" s="475">
        <v>12.814</v>
      </c>
      <c r="K32" s="476">
        <v>0</v>
      </c>
      <c r="L32" s="477">
        <v>0</v>
      </c>
      <c r="M32" s="476">
        <v>1.492</v>
      </c>
      <c r="N32" s="475">
        <v>0</v>
      </c>
      <c r="O32" s="478">
        <v>7.1159999999999997</v>
      </c>
      <c r="P32" s="479">
        <v>0.01</v>
      </c>
      <c r="Q32" s="480">
        <v>21.432000000000002</v>
      </c>
      <c r="R32" s="481">
        <v>12.503</v>
      </c>
      <c r="S32" s="481">
        <v>0</v>
      </c>
      <c r="T32" s="481">
        <v>0</v>
      </c>
      <c r="U32" s="481">
        <v>0</v>
      </c>
      <c r="V32" s="481">
        <v>0</v>
      </c>
      <c r="W32" s="481">
        <v>33.935000000000002</v>
      </c>
      <c r="X32" s="481">
        <v>46.68</v>
      </c>
      <c r="Y32" s="564">
        <v>2265417.2799999998</v>
      </c>
      <c r="Z32" s="564">
        <v>1598119.94</v>
      </c>
    </row>
    <row r="33" spans="1:26" s="470" customFormat="1" x14ac:dyDescent="0.2">
      <c r="A33" s="468" t="s">
        <v>145</v>
      </c>
      <c r="B33" s="468" t="s">
        <v>143</v>
      </c>
      <c r="C33" s="473" t="s">
        <v>729</v>
      </c>
      <c r="D33" s="444">
        <v>95740662</v>
      </c>
      <c r="E33" s="444">
        <v>0</v>
      </c>
      <c r="F33" s="444">
        <v>95740662</v>
      </c>
      <c r="G33" s="445">
        <v>2506.94</v>
      </c>
      <c r="H33" s="474">
        <v>15.558</v>
      </c>
      <c r="I33" s="474">
        <v>3.8840000000000003</v>
      </c>
      <c r="J33" s="475">
        <v>11.673999999999999</v>
      </c>
      <c r="K33" s="476">
        <v>0</v>
      </c>
      <c r="L33" s="477">
        <v>0</v>
      </c>
      <c r="M33" s="476">
        <v>0</v>
      </c>
      <c r="N33" s="475">
        <v>0</v>
      </c>
      <c r="O33" s="478">
        <v>8.4819999999999993</v>
      </c>
      <c r="P33" s="479">
        <v>7.0000000000000001E-3</v>
      </c>
      <c r="Q33" s="480">
        <v>20.163</v>
      </c>
      <c r="R33" s="481">
        <v>0</v>
      </c>
      <c r="S33" s="481">
        <v>0</v>
      </c>
      <c r="T33" s="481">
        <v>0</v>
      </c>
      <c r="U33" s="481">
        <v>0</v>
      </c>
      <c r="V33" s="481">
        <v>0</v>
      </c>
      <c r="W33" s="481">
        <v>20.163</v>
      </c>
      <c r="X33" s="481">
        <v>37.942999999999998</v>
      </c>
      <c r="Y33" s="564">
        <v>3457183.44</v>
      </c>
      <c r="Z33" s="564">
        <v>2324602.21</v>
      </c>
    </row>
    <row r="34" spans="1:26" s="470" customFormat="1" x14ac:dyDescent="0.2">
      <c r="A34" s="468" t="s">
        <v>146</v>
      </c>
      <c r="B34" s="468" t="s">
        <v>147</v>
      </c>
      <c r="C34" s="473" t="s">
        <v>730</v>
      </c>
      <c r="D34" s="499">
        <v>404570840</v>
      </c>
      <c r="E34" s="500">
        <v>0</v>
      </c>
      <c r="F34" s="499">
        <v>404570840</v>
      </c>
      <c r="G34" s="501">
        <v>24801.15</v>
      </c>
      <c r="H34" s="474">
        <v>12.484999999999999</v>
      </c>
      <c r="I34" s="474">
        <v>0</v>
      </c>
      <c r="J34" s="475">
        <v>12.484999999999999</v>
      </c>
      <c r="K34" s="476">
        <v>0</v>
      </c>
      <c r="L34" s="477">
        <v>0</v>
      </c>
      <c r="M34" s="476">
        <v>0</v>
      </c>
      <c r="N34" s="475">
        <v>0</v>
      </c>
      <c r="O34" s="478">
        <v>8.7050000000000001</v>
      </c>
      <c r="P34" s="479">
        <v>3.0000000000000001E-3</v>
      </c>
      <c r="Q34" s="480">
        <v>21.192999999999998</v>
      </c>
      <c r="R34" s="481">
        <v>6.9409999999999998</v>
      </c>
      <c r="S34" s="481">
        <v>0</v>
      </c>
      <c r="T34" s="481">
        <v>0</v>
      </c>
      <c r="U34" s="481">
        <v>0</v>
      </c>
      <c r="V34" s="481">
        <v>0</v>
      </c>
      <c r="W34" s="481">
        <v>28.133999999999997</v>
      </c>
      <c r="X34" s="481">
        <v>20.670999999999999</v>
      </c>
      <c r="Y34" s="564">
        <v>8181305.7599999998</v>
      </c>
      <c r="Z34" s="564">
        <v>3104259.83</v>
      </c>
    </row>
    <row r="35" spans="1:26" s="470" customFormat="1" x14ac:dyDescent="0.2">
      <c r="A35" s="468" t="s">
        <v>148</v>
      </c>
      <c r="B35" s="468" t="s">
        <v>149</v>
      </c>
      <c r="C35" s="473" t="s">
        <v>731</v>
      </c>
      <c r="D35" s="444">
        <v>52418755</v>
      </c>
      <c r="E35" s="444">
        <v>0</v>
      </c>
      <c r="F35" s="444">
        <v>52418755</v>
      </c>
      <c r="G35" s="445">
        <v>4873.6399999999994</v>
      </c>
      <c r="H35" s="474">
        <v>23.405999999999999</v>
      </c>
      <c r="I35" s="474">
        <v>1.2829999999999999</v>
      </c>
      <c r="J35" s="475">
        <v>22.122999999999998</v>
      </c>
      <c r="K35" s="476">
        <v>0</v>
      </c>
      <c r="L35" s="477">
        <v>0</v>
      </c>
      <c r="M35" s="476">
        <v>4.9130000000000003</v>
      </c>
      <c r="N35" s="475">
        <v>0</v>
      </c>
      <c r="O35" s="478">
        <v>0</v>
      </c>
      <c r="P35" s="479">
        <v>0.26100000000000001</v>
      </c>
      <c r="Q35" s="480">
        <v>27.296999999999997</v>
      </c>
      <c r="R35" s="481">
        <v>10.404</v>
      </c>
      <c r="S35" s="481">
        <v>0</v>
      </c>
      <c r="T35" s="481">
        <v>0</v>
      </c>
      <c r="U35" s="481">
        <v>0</v>
      </c>
      <c r="V35" s="481">
        <v>0</v>
      </c>
      <c r="W35" s="481">
        <v>37.700999999999993</v>
      </c>
      <c r="X35" s="481">
        <v>250.27099999999999</v>
      </c>
      <c r="Y35" s="564">
        <v>12000672.66</v>
      </c>
      <c r="Z35" s="564">
        <v>10786927.859999999</v>
      </c>
    </row>
    <row r="36" spans="1:26" s="470" customFormat="1" x14ac:dyDescent="0.2">
      <c r="A36" s="468" t="s">
        <v>151</v>
      </c>
      <c r="B36" s="468" t="s">
        <v>149</v>
      </c>
      <c r="C36" s="468" t="s">
        <v>732</v>
      </c>
      <c r="D36" s="444">
        <v>13246106</v>
      </c>
      <c r="E36" s="444">
        <v>0</v>
      </c>
      <c r="F36" s="444">
        <v>13246106</v>
      </c>
      <c r="G36" s="445">
        <v>17356.52</v>
      </c>
      <c r="H36" s="474">
        <v>27</v>
      </c>
      <c r="I36" s="474">
        <v>0</v>
      </c>
      <c r="J36" s="475">
        <v>27</v>
      </c>
      <c r="K36" s="476">
        <v>0</v>
      </c>
      <c r="L36" s="477">
        <v>0</v>
      </c>
      <c r="M36" s="476">
        <v>0</v>
      </c>
      <c r="N36" s="475">
        <v>0</v>
      </c>
      <c r="O36" s="478">
        <v>0</v>
      </c>
      <c r="P36" s="479">
        <v>0</v>
      </c>
      <c r="Q36" s="480">
        <v>27</v>
      </c>
      <c r="R36" s="481">
        <v>8.952</v>
      </c>
      <c r="S36" s="481">
        <v>0</v>
      </c>
      <c r="T36" s="481">
        <v>0</v>
      </c>
      <c r="U36" s="481">
        <v>0</v>
      </c>
      <c r="V36" s="481">
        <v>0</v>
      </c>
      <c r="W36" s="481">
        <v>35.951999999999998</v>
      </c>
      <c r="X36" s="481">
        <v>451.69299999999998</v>
      </c>
      <c r="Y36" s="564">
        <v>5586807.4800000004</v>
      </c>
      <c r="Z36" s="564">
        <v>5198573.4400000004</v>
      </c>
    </row>
    <row r="37" spans="1:26" s="470" customFormat="1" x14ac:dyDescent="0.2">
      <c r="A37" s="468" t="s">
        <v>153</v>
      </c>
      <c r="B37" s="468" t="s">
        <v>149</v>
      </c>
      <c r="C37" s="473" t="s">
        <v>733</v>
      </c>
      <c r="D37" s="444">
        <v>46602320</v>
      </c>
      <c r="E37" s="444">
        <v>0</v>
      </c>
      <c r="F37" s="444">
        <v>46602320</v>
      </c>
      <c r="G37" s="445">
        <v>8041.91</v>
      </c>
      <c r="H37" s="474">
        <v>27</v>
      </c>
      <c r="I37" s="474">
        <v>3.2119999999999997</v>
      </c>
      <c r="J37" s="475">
        <v>23.788</v>
      </c>
      <c r="K37" s="476">
        <v>0</v>
      </c>
      <c r="L37" s="477">
        <v>0</v>
      </c>
      <c r="M37" s="476">
        <v>0</v>
      </c>
      <c r="N37" s="475">
        <v>0</v>
      </c>
      <c r="O37" s="478">
        <v>0</v>
      </c>
      <c r="P37" s="479">
        <v>8.3000000000000004E-2</v>
      </c>
      <c r="Q37" s="480">
        <v>23.870999999999999</v>
      </c>
      <c r="R37" s="481">
        <v>11.9537</v>
      </c>
      <c r="S37" s="481">
        <v>0</v>
      </c>
      <c r="T37" s="481">
        <v>0</v>
      </c>
      <c r="U37" s="481">
        <v>0</v>
      </c>
      <c r="V37" s="481">
        <v>0</v>
      </c>
      <c r="W37" s="481">
        <v>35.8247</v>
      </c>
      <c r="X37" s="481">
        <v>87.876999999999995</v>
      </c>
      <c r="Y37" s="564">
        <v>3762127.12</v>
      </c>
      <c r="Z37" s="564">
        <v>2638797.63</v>
      </c>
    </row>
    <row r="38" spans="1:26" s="470" customFormat="1" x14ac:dyDescent="0.2">
      <c r="A38" s="468" t="s">
        <v>155</v>
      </c>
      <c r="B38" s="468" t="s">
        <v>156</v>
      </c>
      <c r="C38" s="473" t="s">
        <v>734</v>
      </c>
      <c r="D38" s="444">
        <v>77076053</v>
      </c>
      <c r="E38" s="444">
        <v>0</v>
      </c>
      <c r="F38" s="444">
        <v>77076053</v>
      </c>
      <c r="G38" s="445">
        <v>2102.21</v>
      </c>
      <c r="H38" s="474">
        <v>27</v>
      </c>
      <c r="I38" s="474">
        <v>5.72</v>
      </c>
      <c r="J38" s="475">
        <v>21.28</v>
      </c>
      <c r="K38" s="476">
        <v>0</v>
      </c>
      <c r="L38" s="477">
        <v>0</v>
      </c>
      <c r="M38" s="476">
        <v>0</v>
      </c>
      <c r="N38" s="475">
        <v>0</v>
      </c>
      <c r="O38" s="478">
        <v>0</v>
      </c>
      <c r="P38" s="479">
        <v>0.38700000000000001</v>
      </c>
      <c r="Q38" s="480">
        <v>21.667000000000002</v>
      </c>
      <c r="R38" s="481">
        <v>7.0519999999999996</v>
      </c>
      <c r="S38" s="481">
        <v>0</v>
      </c>
      <c r="T38" s="481">
        <v>0</v>
      </c>
      <c r="U38" s="481">
        <v>0</v>
      </c>
      <c r="V38" s="481">
        <v>0</v>
      </c>
      <c r="W38" s="481">
        <v>28.719000000000001</v>
      </c>
      <c r="X38" s="481">
        <v>48.542999999999999</v>
      </c>
      <c r="Y38" s="564">
        <v>3506148.13</v>
      </c>
      <c r="Z38" s="564">
        <v>1940125.95</v>
      </c>
    </row>
    <row r="39" spans="1:26" s="470" customFormat="1" x14ac:dyDescent="0.2">
      <c r="A39" s="468" t="s">
        <v>158</v>
      </c>
      <c r="B39" s="468" t="s">
        <v>156</v>
      </c>
      <c r="C39" s="473" t="s">
        <v>735</v>
      </c>
      <c r="D39" s="444">
        <v>100544060</v>
      </c>
      <c r="E39" s="444">
        <v>0</v>
      </c>
      <c r="F39" s="444">
        <v>100544060</v>
      </c>
      <c r="G39" s="445">
        <v>39666.22</v>
      </c>
      <c r="H39" s="474">
        <v>27</v>
      </c>
      <c r="I39" s="474">
        <v>0</v>
      </c>
      <c r="J39" s="475">
        <v>27</v>
      </c>
      <c r="K39" s="476">
        <v>0</v>
      </c>
      <c r="L39" s="477">
        <v>0</v>
      </c>
      <c r="M39" s="476">
        <v>0</v>
      </c>
      <c r="N39" s="475">
        <v>0</v>
      </c>
      <c r="O39" s="478">
        <v>5.09</v>
      </c>
      <c r="P39" s="479">
        <v>0</v>
      </c>
      <c r="Q39" s="480">
        <v>32.090000000000003</v>
      </c>
      <c r="R39" s="481">
        <v>11.12</v>
      </c>
      <c r="S39" s="481">
        <v>0</v>
      </c>
      <c r="T39" s="481">
        <v>0</v>
      </c>
      <c r="U39" s="481">
        <v>0</v>
      </c>
      <c r="V39" s="481">
        <v>0</v>
      </c>
      <c r="W39" s="481">
        <v>43.21</v>
      </c>
      <c r="X39" s="481">
        <v>48.726999999999997</v>
      </c>
      <c r="Y39" s="564">
        <v>4824354.0599999996</v>
      </c>
      <c r="Z39" s="564">
        <v>2088486.29</v>
      </c>
    </row>
    <row r="40" spans="1:26" s="470" customFormat="1" x14ac:dyDescent="0.2">
      <c r="A40" s="468" t="s">
        <v>160</v>
      </c>
      <c r="B40" s="468" t="s">
        <v>161</v>
      </c>
      <c r="C40" s="473" t="s">
        <v>736</v>
      </c>
      <c r="D40" s="444">
        <v>63895180</v>
      </c>
      <c r="E40" s="444">
        <v>0</v>
      </c>
      <c r="F40" s="444">
        <v>63895180</v>
      </c>
      <c r="G40" s="445">
        <v>0</v>
      </c>
      <c r="H40" s="474">
        <v>27</v>
      </c>
      <c r="I40" s="474">
        <v>5.5510000000000002</v>
      </c>
      <c r="J40" s="475">
        <v>21.448999999999998</v>
      </c>
      <c r="K40" s="476">
        <v>0</v>
      </c>
      <c r="L40" s="477">
        <v>0</v>
      </c>
      <c r="M40" s="476">
        <v>0</v>
      </c>
      <c r="N40" s="475">
        <v>0</v>
      </c>
      <c r="O40" s="478">
        <v>6</v>
      </c>
      <c r="P40" s="479">
        <v>0</v>
      </c>
      <c r="Q40" s="480">
        <v>27.448999999999998</v>
      </c>
      <c r="R40" s="481">
        <v>0</v>
      </c>
      <c r="S40" s="481">
        <v>0</v>
      </c>
      <c r="T40" s="481">
        <v>0</v>
      </c>
      <c r="U40" s="481">
        <v>0</v>
      </c>
      <c r="V40" s="481">
        <v>0</v>
      </c>
      <c r="W40" s="481">
        <v>27.448999999999998</v>
      </c>
      <c r="X40" s="481">
        <v>80.337000000000003</v>
      </c>
      <c r="Y40" s="564">
        <v>5334147.5599999996</v>
      </c>
      <c r="Z40" s="564">
        <v>3827891.8</v>
      </c>
    </row>
    <row r="41" spans="1:26" s="470" customFormat="1" x14ac:dyDescent="0.2">
      <c r="A41" s="468" t="s">
        <v>162</v>
      </c>
      <c r="B41" s="468" t="s">
        <v>163</v>
      </c>
      <c r="C41" s="468" t="s">
        <v>737</v>
      </c>
      <c r="D41" s="444">
        <v>186730235</v>
      </c>
      <c r="E41" s="444">
        <v>0</v>
      </c>
      <c r="F41" s="444">
        <v>186730235</v>
      </c>
      <c r="G41" s="445">
        <v>10053</v>
      </c>
      <c r="H41" s="474">
        <v>27</v>
      </c>
      <c r="I41" s="474">
        <v>0</v>
      </c>
      <c r="J41" s="483">
        <v>27</v>
      </c>
      <c r="K41" s="484">
        <v>0</v>
      </c>
      <c r="L41" s="485">
        <v>0</v>
      </c>
      <c r="M41" s="476">
        <v>0</v>
      </c>
      <c r="N41" s="475">
        <v>0</v>
      </c>
      <c r="O41" s="478">
        <v>0</v>
      </c>
      <c r="P41" s="479">
        <v>4.0000000000000001E-3</v>
      </c>
      <c r="Q41" s="480">
        <v>27.004000000000001</v>
      </c>
      <c r="R41" s="481">
        <v>3.08</v>
      </c>
      <c r="S41" s="481">
        <v>0</v>
      </c>
      <c r="T41" s="481">
        <v>0</v>
      </c>
      <c r="U41" s="481">
        <v>0</v>
      </c>
      <c r="V41" s="481">
        <v>0</v>
      </c>
      <c r="W41" s="481">
        <v>30.084000000000003</v>
      </c>
      <c r="X41" s="481">
        <v>23.695</v>
      </c>
      <c r="Y41" s="564">
        <v>4870423.58</v>
      </c>
      <c r="Z41" s="564">
        <v>26.97</v>
      </c>
    </row>
    <row r="42" spans="1:26" s="470" customFormat="1" x14ac:dyDescent="0.2">
      <c r="A42" s="468" t="s">
        <v>165</v>
      </c>
      <c r="B42" s="468" t="s">
        <v>166</v>
      </c>
      <c r="C42" s="468" t="s">
        <v>738</v>
      </c>
      <c r="D42" s="444">
        <v>745540676</v>
      </c>
      <c r="E42" s="444">
        <v>892663</v>
      </c>
      <c r="F42" s="444">
        <v>744648013</v>
      </c>
      <c r="G42" s="445">
        <v>58101.039999999994</v>
      </c>
      <c r="H42" s="474">
        <v>27</v>
      </c>
      <c r="I42" s="474">
        <v>0</v>
      </c>
      <c r="J42" s="475">
        <v>27</v>
      </c>
      <c r="K42" s="476">
        <v>0</v>
      </c>
      <c r="L42" s="477">
        <v>0</v>
      </c>
      <c r="M42" s="476">
        <v>0</v>
      </c>
      <c r="N42" s="475">
        <v>0</v>
      </c>
      <c r="O42" s="478">
        <v>0</v>
      </c>
      <c r="P42" s="479">
        <v>6.3E-2</v>
      </c>
      <c r="Q42" s="480">
        <v>27.062999999999999</v>
      </c>
      <c r="R42" s="481">
        <v>3.9239999999999999</v>
      </c>
      <c r="S42" s="481">
        <v>0</v>
      </c>
      <c r="T42" s="481">
        <v>0</v>
      </c>
      <c r="U42" s="481">
        <v>0</v>
      </c>
      <c r="V42" s="481">
        <v>0</v>
      </c>
      <c r="W42" s="481">
        <v>30.986999999999998</v>
      </c>
      <c r="X42" s="481">
        <v>84.245000000000005</v>
      </c>
      <c r="Y42" s="564">
        <v>51205864.93</v>
      </c>
      <c r="Z42" s="564">
        <v>33579034.909999996</v>
      </c>
    </row>
    <row r="43" spans="1:26" s="470" customFormat="1" x14ac:dyDescent="0.2">
      <c r="A43" s="468" t="s">
        <v>167</v>
      </c>
      <c r="B43" s="468" t="s">
        <v>168</v>
      </c>
      <c r="C43" s="473" t="s">
        <v>739</v>
      </c>
      <c r="D43" s="444">
        <v>27680867340</v>
      </c>
      <c r="E43" s="444">
        <v>607406243</v>
      </c>
      <c r="F43" s="444">
        <v>27073461097</v>
      </c>
      <c r="G43" s="445">
        <v>39295177</v>
      </c>
      <c r="H43" s="474">
        <v>27</v>
      </c>
      <c r="I43" s="474">
        <v>0</v>
      </c>
      <c r="J43" s="475">
        <v>27</v>
      </c>
      <c r="K43" s="476">
        <v>0</v>
      </c>
      <c r="L43" s="477">
        <v>0</v>
      </c>
      <c r="M43" s="476">
        <v>0</v>
      </c>
      <c r="N43" s="475">
        <v>0</v>
      </c>
      <c r="O43" s="478">
        <v>10.801</v>
      </c>
      <c r="P43" s="479">
        <v>0.66700000000000004</v>
      </c>
      <c r="Q43" s="480">
        <v>38.468000000000004</v>
      </c>
      <c r="R43" s="481">
        <v>9.843</v>
      </c>
      <c r="S43" s="481">
        <v>0</v>
      </c>
      <c r="T43" s="481">
        <v>0</v>
      </c>
      <c r="U43" s="482">
        <v>4</v>
      </c>
      <c r="V43" s="482">
        <v>0</v>
      </c>
      <c r="W43" s="481">
        <v>52.311000000000007</v>
      </c>
      <c r="X43" s="481">
        <v>36.075000000000003</v>
      </c>
      <c r="Y43" s="564">
        <v>1028928090.8099999</v>
      </c>
      <c r="Z43" s="564">
        <v>249399959.87</v>
      </c>
    </row>
    <row r="44" spans="1:26" s="470" customFormat="1" x14ac:dyDescent="0.2">
      <c r="A44" s="468" t="s">
        <v>169</v>
      </c>
      <c r="B44" s="468" t="s">
        <v>170</v>
      </c>
      <c r="C44" s="473" t="s">
        <v>740</v>
      </c>
      <c r="D44" s="444">
        <v>93791385.430000007</v>
      </c>
      <c r="E44" s="444">
        <v>0</v>
      </c>
      <c r="F44" s="444">
        <v>93791385.430000007</v>
      </c>
      <c r="G44" s="445">
        <v>4071.6099999999997</v>
      </c>
      <c r="H44" s="474">
        <v>18.684999999999999</v>
      </c>
      <c r="I44" s="474">
        <v>0</v>
      </c>
      <c r="J44" s="475">
        <v>18.684999999999999</v>
      </c>
      <c r="K44" s="476">
        <v>0</v>
      </c>
      <c r="L44" s="477">
        <v>0</v>
      </c>
      <c r="M44" s="476">
        <v>0</v>
      </c>
      <c r="N44" s="475">
        <v>0</v>
      </c>
      <c r="O44" s="478">
        <v>3</v>
      </c>
      <c r="P44" s="479">
        <v>5.0000000000000001E-3</v>
      </c>
      <c r="Q44" s="480">
        <v>21.689999999999998</v>
      </c>
      <c r="R44" s="481">
        <v>8.2949999999999999</v>
      </c>
      <c r="S44" s="481">
        <v>0</v>
      </c>
      <c r="T44" s="481">
        <v>0</v>
      </c>
      <c r="U44" s="481">
        <v>0</v>
      </c>
      <c r="V44" s="481">
        <v>0</v>
      </c>
      <c r="W44" s="481">
        <v>29.984999999999999</v>
      </c>
      <c r="X44" s="481">
        <v>47.9</v>
      </c>
      <c r="Y44" s="564">
        <v>4557735.2</v>
      </c>
      <c r="Z44" s="564">
        <v>2708123.51</v>
      </c>
    </row>
    <row r="45" spans="1:26" s="470" customFormat="1" x14ac:dyDescent="0.2">
      <c r="A45" s="468" t="s">
        <v>171</v>
      </c>
      <c r="B45" s="468" t="s">
        <v>172</v>
      </c>
      <c r="C45" s="473" t="s">
        <v>741</v>
      </c>
      <c r="D45" s="444">
        <v>11496481350</v>
      </c>
      <c r="E45" s="444">
        <v>113214539</v>
      </c>
      <c r="F45" s="444">
        <v>11383266811</v>
      </c>
      <c r="G45" s="445">
        <v>5219438.09</v>
      </c>
      <c r="H45" s="474">
        <v>27</v>
      </c>
      <c r="I45" s="474">
        <v>0</v>
      </c>
      <c r="J45" s="475">
        <v>27</v>
      </c>
      <c r="K45" s="476">
        <v>0</v>
      </c>
      <c r="L45" s="477">
        <v>0</v>
      </c>
      <c r="M45" s="476">
        <v>0</v>
      </c>
      <c r="N45" s="475">
        <v>0</v>
      </c>
      <c r="O45" s="478">
        <v>13.21</v>
      </c>
      <c r="P45" s="479">
        <v>0.114</v>
      </c>
      <c r="Q45" s="480">
        <v>40.323999999999998</v>
      </c>
      <c r="R45" s="481">
        <v>5.2039999999999997</v>
      </c>
      <c r="S45" s="481">
        <v>0</v>
      </c>
      <c r="T45" s="481">
        <v>0</v>
      </c>
      <c r="U45" s="481">
        <v>0</v>
      </c>
      <c r="V45" s="481">
        <v>0</v>
      </c>
      <c r="W45" s="481">
        <v>45.527999999999999</v>
      </c>
      <c r="X45" s="481">
        <v>58.398000000000003</v>
      </c>
      <c r="Y45" s="564">
        <v>695497801.64999998</v>
      </c>
      <c r="Z45" s="564">
        <v>362681425.56999999</v>
      </c>
    </row>
    <row r="46" spans="1:26" s="470" customFormat="1" x14ac:dyDescent="0.2">
      <c r="A46" s="468" t="s">
        <v>173</v>
      </c>
      <c r="B46" s="468" t="s">
        <v>174</v>
      </c>
      <c r="C46" s="473" t="s">
        <v>742</v>
      </c>
      <c r="D46" s="444">
        <v>5563410720</v>
      </c>
      <c r="E46" s="444">
        <v>196832500</v>
      </c>
      <c r="F46" s="444">
        <v>5366578220</v>
      </c>
      <c r="G46" s="445">
        <v>411822.12</v>
      </c>
      <c r="H46" s="474">
        <v>12.138</v>
      </c>
      <c r="I46" s="474">
        <v>0</v>
      </c>
      <c r="J46" s="475">
        <v>12.138</v>
      </c>
      <c r="K46" s="476">
        <v>0</v>
      </c>
      <c r="L46" s="477">
        <v>0</v>
      </c>
      <c r="M46" s="476">
        <v>0.46</v>
      </c>
      <c r="N46" s="475">
        <v>0</v>
      </c>
      <c r="O46" s="478">
        <v>3.6120000000000001</v>
      </c>
      <c r="P46" s="479">
        <v>0.19900000000000001</v>
      </c>
      <c r="Q46" s="480">
        <v>16.409000000000002</v>
      </c>
      <c r="R46" s="481">
        <v>4.9880000000000004</v>
      </c>
      <c r="S46" s="481">
        <v>0.217</v>
      </c>
      <c r="T46" s="481">
        <v>0</v>
      </c>
      <c r="U46" s="481">
        <v>0</v>
      </c>
      <c r="V46" s="481">
        <v>0</v>
      </c>
      <c r="W46" s="481">
        <v>21.614000000000001</v>
      </c>
      <c r="X46" s="481">
        <v>14.981999999999999</v>
      </c>
      <c r="Y46" s="564">
        <v>80382184.75</v>
      </c>
      <c r="Z46" s="564">
        <v>14667870.98</v>
      </c>
    </row>
    <row r="47" spans="1:26" s="470" customFormat="1" x14ac:dyDescent="0.2">
      <c r="A47" s="468" t="s">
        <v>175</v>
      </c>
      <c r="B47" s="468" t="s">
        <v>176</v>
      </c>
      <c r="C47" s="473" t="s">
        <v>743</v>
      </c>
      <c r="D47" s="444">
        <v>456506119</v>
      </c>
      <c r="E47" s="444">
        <v>0</v>
      </c>
      <c r="F47" s="444">
        <v>456506119</v>
      </c>
      <c r="G47" s="445">
        <v>247706.16</v>
      </c>
      <c r="H47" s="474">
        <v>27</v>
      </c>
      <c r="I47" s="474">
        <v>0</v>
      </c>
      <c r="J47" s="475">
        <v>27</v>
      </c>
      <c r="K47" s="476">
        <v>0</v>
      </c>
      <c r="L47" s="477">
        <v>0</v>
      </c>
      <c r="M47" s="476">
        <v>0</v>
      </c>
      <c r="N47" s="475">
        <v>0</v>
      </c>
      <c r="O47" s="478">
        <v>4.0289999999999999</v>
      </c>
      <c r="P47" s="479">
        <v>1.9E-2</v>
      </c>
      <c r="Q47" s="480">
        <v>31.047999999999998</v>
      </c>
      <c r="R47" s="481">
        <v>0</v>
      </c>
      <c r="S47" s="481">
        <v>0</v>
      </c>
      <c r="T47" s="481">
        <v>0</v>
      </c>
      <c r="U47" s="481">
        <v>0</v>
      </c>
      <c r="V47" s="481">
        <v>0</v>
      </c>
      <c r="W47" s="481">
        <v>31.047999999999998</v>
      </c>
      <c r="X47" s="481">
        <v>58.790999999999997</v>
      </c>
      <c r="Y47" s="564">
        <v>28185152.59</v>
      </c>
      <c r="Z47" s="564">
        <v>14611086.369999999</v>
      </c>
    </row>
    <row r="48" spans="1:26" s="470" customFormat="1" x14ac:dyDescent="0.2">
      <c r="A48" s="468" t="s">
        <v>178</v>
      </c>
      <c r="B48" s="468" t="s">
        <v>176</v>
      </c>
      <c r="C48" s="473" t="s">
        <v>744</v>
      </c>
      <c r="D48" s="444">
        <v>81410576</v>
      </c>
      <c r="E48" s="444">
        <v>0</v>
      </c>
      <c r="F48" s="444">
        <v>81410576</v>
      </c>
      <c r="G48" s="445">
        <v>47238.18</v>
      </c>
      <c r="H48" s="474">
        <v>27</v>
      </c>
      <c r="I48" s="474">
        <v>2.8120000000000003</v>
      </c>
      <c r="J48" s="475">
        <v>24.187999999999999</v>
      </c>
      <c r="K48" s="476">
        <v>0</v>
      </c>
      <c r="L48" s="477">
        <v>0</v>
      </c>
      <c r="M48" s="476">
        <v>0</v>
      </c>
      <c r="N48" s="475">
        <v>0</v>
      </c>
      <c r="O48" s="478">
        <v>0</v>
      </c>
      <c r="P48" s="479">
        <v>0.42399999999999999</v>
      </c>
      <c r="Q48" s="480">
        <v>24.611999999999998</v>
      </c>
      <c r="R48" s="481">
        <v>0</v>
      </c>
      <c r="S48" s="481">
        <v>0</v>
      </c>
      <c r="T48" s="481">
        <v>0</v>
      </c>
      <c r="U48" s="481">
        <v>0</v>
      </c>
      <c r="V48" s="481">
        <v>0</v>
      </c>
      <c r="W48" s="481">
        <v>24.611999999999998</v>
      </c>
      <c r="X48" s="481">
        <v>56.377000000000002</v>
      </c>
      <c r="Y48" s="564">
        <v>4714653.96</v>
      </c>
      <c r="Z48" s="564">
        <v>2578022.3199999998</v>
      </c>
    </row>
    <row r="49" spans="1:26" s="470" customFormat="1" x14ac:dyDescent="0.2">
      <c r="A49" s="468" t="s">
        <v>180</v>
      </c>
      <c r="B49" s="468" t="s">
        <v>176</v>
      </c>
      <c r="C49" s="473" t="s">
        <v>745</v>
      </c>
      <c r="D49" s="444">
        <v>50637197</v>
      </c>
      <c r="E49" s="444">
        <v>0</v>
      </c>
      <c r="F49" s="444">
        <v>50637197</v>
      </c>
      <c r="G49" s="445">
        <v>25400.36</v>
      </c>
      <c r="H49" s="474">
        <v>27</v>
      </c>
      <c r="I49" s="474">
        <v>0</v>
      </c>
      <c r="J49" s="475">
        <v>27</v>
      </c>
      <c r="K49" s="476">
        <v>0</v>
      </c>
      <c r="L49" s="477">
        <v>0</v>
      </c>
      <c r="M49" s="476">
        <v>0</v>
      </c>
      <c r="N49" s="475">
        <v>0</v>
      </c>
      <c r="O49" s="478">
        <v>0</v>
      </c>
      <c r="P49" s="479">
        <v>9.7000000000000003E-2</v>
      </c>
      <c r="Q49" s="480">
        <v>27.097000000000001</v>
      </c>
      <c r="R49" s="481">
        <v>4.484</v>
      </c>
      <c r="S49" s="481">
        <v>0</v>
      </c>
      <c r="T49" s="481">
        <v>0</v>
      </c>
      <c r="U49" s="481">
        <v>0</v>
      </c>
      <c r="V49" s="481">
        <v>0</v>
      </c>
      <c r="W49" s="481">
        <v>31.581000000000003</v>
      </c>
      <c r="X49" s="481">
        <v>100.529</v>
      </c>
      <c r="Y49" s="564">
        <v>5195250.01</v>
      </c>
      <c r="Z49" s="564">
        <v>3675319.31</v>
      </c>
    </row>
    <row r="50" spans="1:26" s="470" customFormat="1" x14ac:dyDescent="0.2">
      <c r="A50" s="468" t="s">
        <v>182</v>
      </c>
      <c r="B50" s="468" t="s">
        <v>176</v>
      </c>
      <c r="C50" s="473" t="s">
        <v>746</v>
      </c>
      <c r="D50" s="444">
        <v>42407465</v>
      </c>
      <c r="E50" s="444">
        <v>0</v>
      </c>
      <c r="F50" s="444">
        <v>42407465</v>
      </c>
      <c r="G50" s="445">
        <v>58890.47</v>
      </c>
      <c r="H50" s="474">
        <v>24.431000000000001</v>
      </c>
      <c r="I50" s="474">
        <v>0</v>
      </c>
      <c r="J50" s="475">
        <v>24.431000000000001</v>
      </c>
      <c r="K50" s="476">
        <v>0</v>
      </c>
      <c r="L50" s="477">
        <v>0</v>
      </c>
      <c r="M50" s="476">
        <v>0</v>
      </c>
      <c r="N50" s="475">
        <v>0</v>
      </c>
      <c r="O50" s="478">
        <v>0</v>
      </c>
      <c r="P50" s="479">
        <v>0.20100000000000001</v>
      </c>
      <c r="Q50" s="480">
        <v>24.632000000000001</v>
      </c>
      <c r="R50" s="481">
        <v>5.1660000000000004</v>
      </c>
      <c r="S50" s="481">
        <v>0</v>
      </c>
      <c r="T50" s="481">
        <v>0</v>
      </c>
      <c r="U50" s="481">
        <v>0</v>
      </c>
      <c r="V50" s="481">
        <v>0</v>
      </c>
      <c r="W50" s="481">
        <v>29.798000000000002</v>
      </c>
      <c r="X50" s="481">
        <v>101.93899999999999</v>
      </c>
      <c r="Y50" s="564">
        <v>4528791.21</v>
      </c>
      <c r="Z50" s="564">
        <v>3354979.69</v>
      </c>
    </row>
    <row r="51" spans="1:26" s="470" customFormat="1" x14ac:dyDescent="0.2">
      <c r="A51" s="468" t="s">
        <v>183</v>
      </c>
      <c r="B51" s="468" t="s">
        <v>176</v>
      </c>
      <c r="C51" s="473" t="s">
        <v>747</v>
      </c>
      <c r="D51" s="444">
        <v>33923220</v>
      </c>
      <c r="E51" s="444">
        <v>0</v>
      </c>
      <c r="F51" s="444">
        <v>33923220</v>
      </c>
      <c r="G51" s="445">
        <v>2479.37</v>
      </c>
      <c r="H51" s="474">
        <v>27</v>
      </c>
      <c r="I51" s="474">
        <v>5.202</v>
      </c>
      <c r="J51" s="475">
        <v>21.798000000000002</v>
      </c>
      <c r="K51" s="476">
        <v>0</v>
      </c>
      <c r="L51" s="477">
        <v>0</v>
      </c>
      <c r="M51" s="476">
        <v>0</v>
      </c>
      <c r="N51" s="475">
        <v>0</v>
      </c>
      <c r="O51" s="478">
        <v>0</v>
      </c>
      <c r="P51" s="479">
        <v>1.6E-2</v>
      </c>
      <c r="Q51" s="480">
        <v>21.814</v>
      </c>
      <c r="R51" s="481">
        <v>0</v>
      </c>
      <c r="S51" s="481">
        <v>0</v>
      </c>
      <c r="T51" s="481">
        <v>0</v>
      </c>
      <c r="U51" s="481">
        <v>0</v>
      </c>
      <c r="V51" s="481">
        <v>0</v>
      </c>
      <c r="W51" s="481">
        <v>21.814</v>
      </c>
      <c r="X51" s="481">
        <v>60.207000000000001</v>
      </c>
      <c r="Y51" s="564">
        <v>2070363.01</v>
      </c>
      <c r="Z51" s="564">
        <v>1267011.69</v>
      </c>
    </row>
    <row r="52" spans="1:26" s="470" customFormat="1" x14ac:dyDescent="0.2">
      <c r="A52" s="468" t="s">
        <v>185</v>
      </c>
      <c r="B52" s="468" t="s">
        <v>186</v>
      </c>
      <c r="C52" s="473" t="s">
        <v>748</v>
      </c>
      <c r="D52" s="444">
        <v>72641798</v>
      </c>
      <c r="E52" s="444">
        <v>0</v>
      </c>
      <c r="F52" s="444">
        <v>72641798</v>
      </c>
      <c r="G52" s="445">
        <v>722.77</v>
      </c>
      <c r="H52" s="474">
        <v>27</v>
      </c>
      <c r="I52" s="474">
        <v>0</v>
      </c>
      <c r="J52" s="475">
        <v>27</v>
      </c>
      <c r="K52" s="476">
        <v>0</v>
      </c>
      <c r="L52" s="477">
        <v>0</v>
      </c>
      <c r="M52" s="476">
        <v>0</v>
      </c>
      <c r="N52" s="475">
        <v>0</v>
      </c>
      <c r="O52" s="478">
        <v>0</v>
      </c>
      <c r="P52" s="479">
        <v>5.0000000000000001E-3</v>
      </c>
      <c r="Q52" s="480">
        <v>27.004999999999999</v>
      </c>
      <c r="R52" s="481">
        <v>9.5</v>
      </c>
      <c r="S52" s="481">
        <v>0</v>
      </c>
      <c r="T52" s="481">
        <v>0</v>
      </c>
      <c r="U52" s="481">
        <v>0</v>
      </c>
      <c r="V52" s="481">
        <v>0</v>
      </c>
      <c r="W52" s="481">
        <v>36.504999999999995</v>
      </c>
      <c r="X52" s="481">
        <v>91.049000000000007</v>
      </c>
      <c r="Y52" s="564">
        <v>6099681.4699999997</v>
      </c>
      <c r="Z52" s="564">
        <v>4194296.07</v>
      </c>
    </row>
    <row r="53" spans="1:26" s="470" customFormat="1" x14ac:dyDescent="0.2">
      <c r="A53" s="468" t="s">
        <v>188</v>
      </c>
      <c r="B53" s="468" t="s">
        <v>186</v>
      </c>
      <c r="C53" s="473" t="s">
        <v>749</v>
      </c>
      <c r="D53" s="444">
        <v>1239654380</v>
      </c>
      <c r="E53" s="444">
        <v>13984040</v>
      </c>
      <c r="F53" s="444">
        <v>1225670340</v>
      </c>
      <c r="G53" s="445">
        <v>268017.25</v>
      </c>
      <c r="H53" s="474">
        <v>15.72</v>
      </c>
      <c r="I53" s="474">
        <v>0</v>
      </c>
      <c r="J53" s="475">
        <v>15.72</v>
      </c>
      <c r="K53" s="476">
        <v>0</v>
      </c>
      <c r="L53" s="477">
        <v>0</v>
      </c>
      <c r="M53" s="476">
        <v>0</v>
      </c>
      <c r="N53" s="475">
        <v>0</v>
      </c>
      <c r="O53" s="478">
        <v>14.632</v>
      </c>
      <c r="P53" s="479">
        <v>6.8000000000000005E-2</v>
      </c>
      <c r="Q53" s="480">
        <v>30.42</v>
      </c>
      <c r="R53" s="481">
        <v>14.327</v>
      </c>
      <c r="S53" s="481">
        <v>0</v>
      </c>
      <c r="T53" s="481">
        <v>0</v>
      </c>
      <c r="U53" s="481">
        <v>0</v>
      </c>
      <c r="V53" s="481">
        <v>0</v>
      </c>
      <c r="W53" s="481">
        <v>44.747</v>
      </c>
      <c r="X53" s="481">
        <v>128.87700000000001</v>
      </c>
      <c r="Y53" s="564">
        <v>143721669.81999999</v>
      </c>
      <c r="Z53" s="564">
        <v>124801775.04000001</v>
      </c>
    </row>
    <row r="54" spans="1:26" s="470" customFormat="1" x14ac:dyDescent="0.2">
      <c r="A54" s="468" t="s">
        <v>190</v>
      </c>
      <c r="B54" s="468" t="s">
        <v>186</v>
      </c>
      <c r="C54" s="473" t="s">
        <v>750</v>
      </c>
      <c r="D54" s="444">
        <v>964135650</v>
      </c>
      <c r="E54" s="444">
        <v>6569800</v>
      </c>
      <c r="F54" s="444">
        <v>957565850</v>
      </c>
      <c r="G54" s="445">
        <v>194490.23</v>
      </c>
      <c r="H54" s="474">
        <v>27</v>
      </c>
      <c r="I54" s="474">
        <v>0.10599999999999987</v>
      </c>
      <c r="J54" s="475">
        <v>26.893999999999998</v>
      </c>
      <c r="K54" s="476">
        <v>0</v>
      </c>
      <c r="L54" s="477">
        <v>0</v>
      </c>
      <c r="M54" s="476">
        <v>0</v>
      </c>
      <c r="N54" s="475">
        <v>0</v>
      </c>
      <c r="O54" s="478">
        <v>11.654999999999999</v>
      </c>
      <c r="P54" s="479">
        <v>7.9000000000000001E-2</v>
      </c>
      <c r="Q54" s="480">
        <v>38.628</v>
      </c>
      <c r="R54" s="481">
        <v>4.7</v>
      </c>
      <c r="S54" s="481">
        <v>0</v>
      </c>
      <c r="T54" s="481">
        <v>0</v>
      </c>
      <c r="U54" s="481">
        <v>0</v>
      </c>
      <c r="V54" s="481">
        <v>6.3159999999999998</v>
      </c>
      <c r="W54" s="481">
        <v>49.644000000000005</v>
      </c>
      <c r="X54" s="481">
        <v>102.887</v>
      </c>
      <c r="Y54" s="564">
        <v>101745534</v>
      </c>
      <c r="Z54" s="564">
        <v>73384304.700000003</v>
      </c>
    </row>
    <row r="55" spans="1:26" s="470" customFormat="1" x14ac:dyDescent="0.2">
      <c r="A55" s="468" t="s">
        <v>192</v>
      </c>
      <c r="B55" s="468" t="s">
        <v>186</v>
      </c>
      <c r="C55" s="473" t="s">
        <v>751</v>
      </c>
      <c r="D55" s="444">
        <v>298004150</v>
      </c>
      <c r="E55" s="444">
        <v>9948870</v>
      </c>
      <c r="F55" s="444">
        <v>288055280</v>
      </c>
      <c r="G55" s="445">
        <v>23369.040000000001</v>
      </c>
      <c r="H55" s="474">
        <v>27</v>
      </c>
      <c r="I55" s="474">
        <v>2.3159999999999998</v>
      </c>
      <c r="J55" s="475">
        <v>24.684000000000001</v>
      </c>
      <c r="K55" s="476">
        <v>0</v>
      </c>
      <c r="L55" s="477">
        <v>0</v>
      </c>
      <c r="M55" s="476">
        <v>0</v>
      </c>
      <c r="N55" s="475">
        <v>0</v>
      </c>
      <c r="O55" s="478">
        <v>5</v>
      </c>
      <c r="P55" s="479">
        <v>0</v>
      </c>
      <c r="Q55" s="480">
        <v>29.684000000000001</v>
      </c>
      <c r="R55" s="481">
        <v>0</v>
      </c>
      <c r="S55" s="481">
        <v>0</v>
      </c>
      <c r="T55" s="481">
        <v>0</v>
      </c>
      <c r="U55" s="481">
        <v>0</v>
      </c>
      <c r="V55" s="481">
        <v>0</v>
      </c>
      <c r="W55" s="481">
        <v>29.684000000000001</v>
      </c>
      <c r="X55" s="481">
        <v>300.65100000000001</v>
      </c>
      <c r="Y55" s="564">
        <v>84696074.480000004</v>
      </c>
      <c r="Z55" s="564">
        <v>77276586.709999993</v>
      </c>
    </row>
    <row r="56" spans="1:26" s="470" customFormat="1" x14ac:dyDescent="0.2">
      <c r="A56" s="468" t="s">
        <v>194</v>
      </c>
      <c r="B56" s="468" t="s">
        <v>186</v>
      </c>
      <c r="C56" s="473" t="s">
        <v>752</v>
      </c>
      <c r="D56" s="444">
        <v>5110202470</v>
      </c>
      <c r="E56" s="444">
        <v>151900170</v>
      </c>
      <c r="F56" s="444">
        <v>4958302300</v>
      </c>
      <c r="G56" s="445">
        <v>1424340.2</v>
      </c>
      <c r="H56" s="474">
        <v>20.715</v>
      </c>
      <c r="I56" s="474">
        <v>0</v>
      </c>
      <c r="J56" s="475">
        <v>20.715</v>
      </c>
      <c r="K56" s="476">
        <v>0</v>
      </c>
      <c r="L56" s="477">
        <v>0</v>
      </c>
      <c r="M56" s="476">
        <v>0</v>
      </c>
      <c r="N56" s="475">
        <v>0</v>
      </c>
      <c r="O56" s="478">
        <v>19.777999999999999</v>
      </c>
      <c r="P56" s="479">
        <v>0.112</v>
      </c>
      <c r="Q56" s="480">
        <v>40.604999999999997</v>
      </c>
      <c r="R56" s="481">
        <v>0</v>
      </c>
      <c r="S56" s="481">
        <v>0</v>
      </c>
      <c r="T56" s="481">
        <v>0</v>
      </c>
      <c r="U56" s="481">
        <v>0</v>
      </c>
      <c r="V56" s="481">
        <v>0</v>
      </c>
      <c r="W56" s="481">
        <v>40.604999999999997</v>
      </c>
      <c r="X56" s="481">
        <v>60.137</v>
      </c>
      <c r="Y56" s="564">
        <v>284985378.05000001</v>
      </c>
      <c r="Z56" s="564">
        <v>181176106.63</v>
      </c>
    </row>
    <row r="57" spans="1:26" s="470" customFormat="1" x14ac:dyDescent="0.2">
      <c r="A57" s="468" t="s">
        <v>196</v>
      </c>
      <c r="B57" s="468" t="s">
        <v>186</v>
      </c>
      <c r="C57" s="473" t="s">
        <v>753</v>
      </c>
      <c r="D57" s="444">
        <v>618901720</v>
      </c>
      <c r="E57" s="444">
        <v>0</v>
      </c>
      <c r="F57" s="444">
        <v>618901720</v>
      </c>
      <c r="G57" s="445">
        <v>41256.629999999997</v>
      </c>
      <c r="H57" s="474">
        <v>27</v>
      </c>
      <c r="I57" s="474">
        <v>0</v>
      </c>
      <c r="J57" s="475">
        <v>27</v>
      </c>
      <c r="K57" s="476">
        <v>0</v>
      </c>
      <c r="L57" s="477">
        <v>0</v>
      </c>
      <c r="M57" s="476">
        <v>0</v>
      </c>
      <c r="N57" s="475">
        <v>0</v>
      </c>
      <c r="O57" s="478">
        <v>18.698</v>
      </c>
      <c r="P57" s="479">
        <v>2E-3</v>
      </c>
      <c r="Q57" s="480">
        <v>45.7</v>
      </c>
      <c r="R57" s="481">
        <v>9.3000000000000007</v>
      </c>
      <c r="S57" s="481">
        <v>0</v>
      </c>
      <c r="T57" s="481">
        <v>0</v>
      </c>
      <c r="U57" s="481">
        <v>0</v>
      </c>
      <c r="V57" s="481">
        <v>0</v>
      </c>
      <c r="W57" s="481">
        <v>55</v>
      </c>
      <c r="X57" s="481">
        <v>65.290000000000006</v>
      </c>
      <c r="Y57" s="564">
        <v>40387774.090000004</v>
      </c>
      <c r="Z57" s="564">
        <v>22876170.239999998</v>
      </c>
    </row>
    <row r="58" spans="1:26" s="470" customFormat="1" x14ac:dyDescent="0.2">
      <c r="A58" s="468" t="s">
        <v>198</v>
      </c>
      <c r="B58" s="468" t="s">
        <v>186</v>
      </c>
      <c r="C58" s="473" t="s">
        <v>754</v>
      </c>
      <c r="D58" s="444">
        <v>226184750</v>
      </c>
      <c r="E58" s="444">
        <v>3409340</v>
      </c>
      <c r="F58" s="444">
        <v>222775410</v>
      </c>
      <c r="G58" s="445">
        <v>39191.18</v>
      </c>
      <c r="H58" s="474">
        <v>27</v>
      </c>
      <c r="I58" s="474">
        <v>0</v>
      </c>
      <c r="J58" s="475">
        <v>27</v>
      </c>
      <c r="K58" s="476">
        <v>0</v>
      </c>
      <c r="L58" s="477">
        <v>0</v>
      </c>
      <c r="M58" s="476">
        <v>0</v>
      </c>
      <c r="N58" s="475">
        <v>0</v>
      </c>
      <c r="O58" s="478">
        <v>23.619</v>
      </c>
      <c r="P58" s="479">
        <v>1.4999999999999999E-2</v>
      </c>
      <c r="Q58" s="480">
        <v>50.634</v>
      </c>
      <c r="R58" s="481">
        <v>0</v>
      </c>
      <c r="S58" s="481">
        <v>0</v>
      </c>
      <c r="T58" s="481">
        <v>0</v>
      </c>
      <c r="U58" s="481">
        <v>0</v>
      </c>
      <c r="V58" s="481">
        <v>0</v>
      </c>
      <c r="W58" s="481">
        <v>50.634</v>
      </c>
      <c r="X58" s="481">
        <v>66.378</v>
      </c>
      <c r="Y58" s="564">
        <v>14452481.43</v>
      </c>
      <c r="Z58" s="564">
        <v>8297759.1900000004</v>
      </c>
    </row>
    <row r="59" spans="1:26" s="470" customFormat="1" x14ac:dyDescent="0.2">
      <c r="A59" s="468" t="s">
        <v>200</v>
      </c>
      <c r="B59" s="468" t="s">
        <v>186</v>
      </c>
      <c r="C59" s="473" t="s">
        <v>549</v>
      </c>
      <c r="D59" s="444">
        <v>3306414540</v>
      </c>
      <c r="E59" s="444">
        <v>113887940</v>
      </c>
      <c r="F59" s="444">
        <v>3192526600</v>
      </c>
      <c r="G59" s="445">
        <v>1450807.09</v>
      </c>
      <c r="H59" s="474">
        <v>27</v>
      </c>
      <c r="I59" s="474">
        <v>0</v>
      </c>
      <c r="J59" s="475">
        <v>27</v>
      </c>
      <c r="K59" s="476">
        <v>0</v>
      </c>
      <c r="L59" s="477">
        <v>0</v>
      </c>
      <c r="M59" s="476">
        <v>0</v>
      </c>
      <c r="N59" s="475">
        <v>0</v>
      </c>
      <c r="O59" s="478">
        <v>9.6210000000000004</v>
      </c>
      <c r="P59" s="479">
        <v>0.107</v>
      </c>
      <c r="Q59" s="480">
        <v>36.728000000000002</v>
      </c>
      <c r="R59" s="481">
        <v>9.2309999999999999</v>
      </c>
      <c r="S59" s="481">
        <v>0</v>
      </c>
      <c r="T59" s="481">
        <v>0</v>
      </c>
      <c r="U59" s="481">
        <v>0</v>
      </c>
      <c r="V59" s="481">
        <v>0</v>
      </c>
      <c r="W59" s="481">
        <v>45.959000000000003</v>
      </c>
      <c r="X59" s="481">
        <v>88.620999999999995</v>
      </c>
      <c r="Y59" s="564">
        <v>282580377.81999999</v>
      </c>
      <c r="Z59" s="564">
        <v>191263564.63</v>
      </c>
    </row>
    <row r="60" spans="1:26" s="470" customFormat="1" x14ac:dyDescent="0.2">
      <c r="A60" s="468" t="s">
        <v>202</v>
      </c>
      <c r="B60" s="468" t="s">
        <v>186</v>
      </c>
      <c r="C60" s="473" t="s">
        <v>755</v>
      </c>
      <c r="D60" s="444">
        <v>80206170</v>
      </c>
      <c r="E60" s="444">
        <v>0</v>
      </c>
      <c r="F60" s="444">
        <v>80206170</v>
      </c>
      <c r="G60" s="445">
        <v>22693.200000000001</v>
      </c>
      <c r="H60" s="474">
        <v>27</v>
      </c>
      <c r="I60" s="474">
        <v>0</v>
      </c>
      <c r="J60" s="475">
        <v>27</v>
      </c>
      <c r="K60" s="476">
        <v>0</v>
      </c>
      <c r="L60" s="477">
        <v>0</v>
      </c>
      <c r="M60" s="476">
        <v>0</v>
      </c>
      <c r="N60" s="475">
        <v>0</v>
      </c>
      <c r="O60" s="478">
        <v>0</v>
      </c>
      <c r="P60" s="479">
        <v>6.5000000000000002E-2</v>
      </c>
      <c r="Q60" s="480">
        <v>27.065000000000001</v>
      </c>
      <c r="R60" s="481">
        <v>2.8359999999999999</v>
      </c>
      <c r="S60" s="481">
        <v>0</v>
      </c>
      <c r="T60" s="481">
        <v>0</v>
      </c>
      <c r="U60" s="481">
        <v>0</v>
      </c>
      <c r="V60" s="481">
        <v>0</v>
      </c>
      <c r="W60" s="481">
        <v>29.901</v>
      </c>
      <c r="X60" s="481">
        <v>165.13300000000001</v>
      </c>
      <c r="Y60" s="564">
        <v>12272965.57</v>
      </c>
      <c r="Z60" s="564">
        <v>10158649.48</v>
      </c>
    </row>
    <row r="61" spans="1:26" s="470" customFormat="1" x14ac:dyDescent="0.2">
      <c r="A61" s="468" t="s">
        <v>204</v>
      </c>
      <c r="B61" s="468" t="s">
        <v>186</v>
      </c>
      <c r="C61" s="473" t="s">
        <v>756</v>
      </c>
      <c r="D61" s="444">
        <v>88237050</v>
      </c>
      <c r="E61" s="444">
        <v>0</v>
      </c>
      <c r="F61" s="444">
        <v>88237050</v>
      </c>
      <c r="G61" s="445">
        <v>1721.43</v>
      </c>
      <c r="H61" s="474">
        <v>27</v>
      </c>
      <c r="I61" s="474">
        <v>0.58099999999999996</v>
      </c>
      <c r="J61" s="475">
        <v>26.419</v>
      </c>
      <c r="K61" s="476">
        <v>0</v>
      </c>
      <c r="L61" s="477">
        <v>0</v>
      </c>
      <c r="M61" s="476">
        <v>0</v>
      </c>
      <c r="N61" s="475">
        <v>0</v>
      </c>
      <c r="O61" s="478">
        <v>0</v>
      </c>
      <c r="P61" s="479">
        <v>0.25</v>
      </c>
      <c r="Q61" s="480">
        <v>26.669</v>
      </c>
      <c r="R61" s="481">
        <v>0</v>
      </c>
      <c r="S61" s="481">
        <v>0</v>
      </c>
      <c r="T61" s="481">
        <v>0</v>
      </c>
      <c r="U61" s="481">
        <v>0</v>
      </c>
      <c r="V61" s="481">
        <v>0</v>
      </c>
      <c r="W61" s="481">
        <v>26.669</v>
      </c>
      <c r="X61" s="481">
        <v>88.563999999999993</v>
      </c>
      <c r="Y61" s="564">
        <v>7764632.4299999997</v>
      </c>
      <c r="Z61" s="564">
        <v>5315188.6500000004</v>
      </c>
    </row>
    <row r="62" spans="1:26" s="470" customFormat="1" x14ac:dyDescent="0.2">
      <c r="A62" s="468" t="s">
        <v>206</v>
      </c>
      <c r="B62" s="468" t="s">
        <v>186</v>
      </c>
      <c r="C62" s="473" t="s">
        <v>757</v>
      </c>
      <c r="D62" s="444">
        <v>58339070</v>
      </c>
      <c r="E62" s="444">
        <v>0</v>
      </c>
      <c r="F62" s="444">
        <v>58339070</v>
      </c>
      <c r="G62" s="445">
        <v>47027.79</v>
      </c>
      <c r="H62" s="474">
        <v>26.128</v>
      </c>
      <c r="I62" s="474">
        <v>12.695</v>
      </c>
      <c r="J62" s="475">
        <v>13.433</v>
      </c>
      <c r="K62" s="476">
        <v>0</v>
      </c>
      <c r="L62" s="477">
        <v>0</v>
      </c>
      <c r="M62" s="476">
        <v>0</v>
      </c>
      <c r="N62" s="475">
        <v>0</v>
      </c>
      <c r="O62" s="478">
        <v>0</v>
      </c>
      <c r="P62" s="479">
        <v>2.0110000000000001</v>
      </c>
      <c r="Q62" s="480">
        <v>15.443999999999999</v>
      </c>
      <c r="R62" s="481">
        <v>18.018000000000001</v>
      </c>
      <c r="S62" s="481">
        <v>0</v>
      </c>
      <c r="T62" s="481">
        <v>0</v>
      </c>
      <c r="U62" s="481">
        <v>0</v>
      </c>
      <c r="V62" s="481">
        <v>0</v>
      </c>
      <c r="W62" s="481">
        <v>33.462000000000003</v>
      </c>
      <c r="X62" s="481">
        <v>81.111000000000004</v>
      </c>
      <c r="Y62" s="564">
        <v>4731197.75</v>
      </c>
      <c r="Z62" s="564">
        <v>3887249.43</v>
      </c>
    </row>
    <row r="63" spans="1:26" s="470" customFormat="1" x14ac:dyDescent="0.2">
      <c r="A63" s="468" t="s">
        <v>208</v>
      </c>
      <c r="B63" s="468" t="s">
        <v>186</v>
      </c>
      <c r="C63" s="473" t="s">
        <v>758</v>
      </c>
      <c r="D63" s="444">
        <v>1091190370</v>
      </c>
      <c r="E63" s="444">
        <v>0</v>
      </c>
      <c r="F63" s="444">
        <v>1091190370</v>
      </c>
      <c r="G63" s="445">
        <v>45286.35</v>
      </c>
      <c r="H63" s="474">
        <v>27</v>
      </c>
      <c r="I63" s="474">
        <v>0</v>
      </c>
      <c r="J63" s="475">
        <v>27</v>
      </c>
      <c r="K63" s="476">
        <v>0</v>
      </c>
      <c r="L63" s="477">
        <v>0</v>
      </c>
      <c r="M63" s="476">
        <v>0</v>
      </c>
      <c r="N63" s="475">
        <v>0</v>
      </c>
      <c r="O63" s="478">
        <v>4.2939999999999996</v>
      </c>
      <c r="P63" s="479">
        <v>6.9000000000000006E-2</v>
      </c>
      <c r="Q63" s="480">
        <v>31.363</v>
      </c>
      <c r="R63" s="481">
        <v>6.1369999999999996</v>
      </c>
      <c r="S63" s="481">
        <v>0</v>
      </c>
      <c r="T63" s="481">
        <v>0</v>
      </c>
      <c r="U63" s="481">
        <v>0</v>
      </c>
      <c r="V63" s="481">
        <v>0</v>
      </c>
      <c r="W63" s="481">
        <v>37.5</v>
      </c>
      <c r="X63" s="481">
        <v>65.644000000000005</v>
      </c>
      <c r="Y63" s="564">
        <v>69933398.340000004</v>
      </c>
      <c r="Z63" s="564">
        <v>39991861.100000001</v>
      </c>
    </row>
    <row r="64" spans="1:26" s="470" customFormat="1" x14ac:dyDescent="0.2">
      <c r="A64" s="468" t="s">
        <v>210</v>
      </c>
      <c r="B64" s="468" t="s">
        <v>186</v>
      </c>
      <c r="C64" s="473" t="s">
        <v>759</v>
      </c>
      <c r="D64" s="444">
        <v>1977693650</v>
      </c>
      <c r="E64" s="444">
        <v>0</v>
      </c>
      <c r="F64" s="444">
        <v>1977693650</v>
      </c>
      <c r="G64" s="444">
        <v>293847.92</v>
      </c>
      <c r="H64" s="474">
        <v>27</v>
      </c>
      <c r="I64" s="474">
        <v>0</v>
      </c>
      <c r="J64" s="475">
        <v>27</v>
      </c>
      <c r="K64" s="476">
        <v>0</v>
      </c>
      <c r="L64" s="477">
        <v>0</v>
      </c>
      <c r="M64" s="476">
        <v>0</v>
      </c>
      <c r="N64" s="475">
        <v>0</v>
      </c>
      <c r="O64" s="478">
        <v>18.5</v>
      </c>
      <c r="P64" s="479">
        <v>6.5000000000000002E-2</v>
      </c>
      <c r="Q64" s="480">
        <v>45.564999999999998</v>
      </c>
      <c r="R64" s="481">
        <v>0</v>
      </c>
      <c r="S64" s="481">
        <v>0</v>
      </c>
      <c r="T64" s="481">
        <v>0</v>
      </c>
      <c r="U64" s="481">
        <v>0</v>
      </c>
      <c r="V64" s="481">
        <v>0</v>
      </c>
      <c r="W64" s="481">
        <v>45.564999999999998</v>
      </c>
      <c r="X64" s="481">
        <v>199.07300000000001</v>
      </c>
      <c r="Y64" s="564">
        <v>392901390.48000002</v>
      </c>
      <c r="Z64" s="564">
        <v>336431220.16000003</v>
      </c>
    </row>
    <row r="65" spans="1:26" s="470" customFormat="1" x14ac:dyDescent="0.2">
      <c r="A65" s="468" t="s">
        <v>212</v>
      </c>
      <c r="B65" s="468" t="s">
        <v>186</v>
      </c>
      <c r="C65" s="473" t="s">
        <v>760</v>
      </c>
      <c r="D65" s="444">
        <v>9952914</v>
      </c>
      <c r="E65" s="444">
        <v>0</v>
      </c>
      <c r="F65" s="444">
        <v>9952914</v>
      </c>
      <c r="G65" s="445">
        <v>2704.23</v>
      </c>
      <c r="H65" s="474">
        <v>27</v>
      </c>
      <c r="I65" s="474">
        <v>0</v>
      </c>
      <c r="J65" s="475">
        <v>27</v>
      </c>
      <c r="K65" s="476">
        <v>0</v>
      </c>
      <c r="L65" s="477">
        <v>0</v>
      </c>
      <c r="M65" s="476">
        <v>0</v>
      </c>
      <c r="N65" s="475">
        <v>0</v>
      </c>
      <c r="O65" s="478">
        <v>0.03</v>
      </c>
      <c r="P65" s="479">
        <v>3.0000000000000001E-3</v>
      </c>
      <c r="Q65" s="480">
        <v>27.033000000000001</v>
      </c>
      <c r="R65" s="481">
        <v>3.6379999999999999</v>
      </c>
      <c r="S65" s="481">
        <v>0</v>
      </c>
      <c r="T65" s="481">
        <v>0</v>
      </c>
      <c r="U65" s="481">
        <v>0</v>
      </c>
      <c r="V65" s="481">
        <v>0</v>
      </c>
      <c r="W65" s="481">
        <v>30.670999999999999</v>
      </c>
      <c r="X65" s="481">
        <v>243.321</v>
      </c>
      <c r="Y65" s="564">
        <v>2216243.83</v>
      </c>
      <c r="Z65" s="564">
        <v>1954508.86</v>
      </c>
    </row>
    <row r="66" spans="1:26" s="470" customFormat="1" x14ac:dyDescent="0.2">
      <c r="A66" s="468" t="s">
        <v>214</v>
      </c>
      <c r="B66" s="468" t="s">
        <v>186</v>
      </c>
      <c r="C66" s="473" t="s">
        <v>761</v>
      </c>
      <c r="D66" s="444">
        <v>54068226</v>
      </c>
      <c r="E66" s="444">
        <v>0</v>
      </c>
      <c r="F66" s="444">
        <v>54068226</v>
      </c>
      <c r="G66" s="445">
        <v>6810.77</v>
      </c>
      <c r="H66" s="474">
        <v>27</v>
      </c>
      <c r="I66" s="474">
        <v>1.1659999999999999</v>
      </c>
      <c r="J66" s="475">
        <v>25.834</v>
      </c>
      <c r="K66" s="476">
        <v>0</v>
      </c>
      <c r="L66" s="477">
        <v>0</v>
      </c>
      <c r="M66" s="476">
        <v>0.94699999999999995</v>
      </c>
      <c r="N66" s="475">
        <v>0</v>
      </c>
      <c r="O66" s="478">
        <v>0</v>
      </c>
      <c r="P66" s="479">
        <v>2.5999999999999999E-2</v>
      </c>
      <c r="Q66" s="480">
        <v>26.806999999999999</v>
      </c>
      <c r="R66" s="481">
        <v>0</v>
      </c>
      <c r="S66" s="481">
        <v>0</v>
      </c>
      <c r="T66" s="481">
        <v>0</v>
      </c>
      <c r="U66" s="481">
        <v>0</v>
      </c>
      <c r="V66" s="481">
        <v>0</v>
      </c>
      <c r="W66" s="481">
        <v>26.806999999999999</v>
      </c>
      <c r="X66" s="481">
        <v>113.649</v>
      </c>
      <c r="Y66" s="564">
        <v>5569538.9199999999</v>
      </c>
      <c r="Z66" s="564">
        <v>4227693.78</v>
      </c>
    </row>
    <row r="67" spans="1:26" s="470" customFormat="1" x14ac:dyDescent="0.2">
      <c r="A67" s="468" t="s">
        <v>216</v>
      </c>
      <c r="B67" s="468" t="s">
        <v>217</v>
      </c>
      <c r="C67" s="473" t="s">
        <v>762</v>
      </c>
      <c r="D67" s="444">
        <v>430427369</v>
      </c>
      <c r="E67" s="444">
        <v>6666513</v>
      </c>
      <c r="F67" s="444">
        <v>423760856</v>
      </c>
      <c r="G67" s="445">
        <v>35871.699999999997</v>
      </c>
      <c r="H67" s="474">
        <v>27</v>
      </c>
      <c r="I67" s="474">
        <v>0</v>
      </c>
      <c r="J67" s="475">
        <v>27</v>
      </c>
      <c r="K67" s="476">
        <v>0</v>
      </c>
      <c r="L67" s="477">
        <v>0</v>
      </c>
      <c r="M67" s="476">
        <v>0</v>
      </c>
      <c r="N67" s="475">
        <v>0</v>
      </c>
      <c r="O67" s="478">
        <v>4.1059999999999999</v>
      </c>
      <c r="P67" s="479">
        <v>0.122</v>
      </c>
      <c r="Q67" s="480">
        <v>31.228000000000002</v>
      </c>
      <c r="R67" s="481">
        <v>11.413</v>
      </c>
      <c r="S67" s="481">
        <v>0</v>
      </c>
      <c r="T67" s="481">
        <v>0</v>
      </c>
      <c r="U67" s="481">
        <v>0</v>
      </c>
      <c r="V67" s="481">
        <v>0</v>
      </c>
      <c r="W67" s="481">
        <v>42.641000000000005</v>
      </c>
      <c r="X67" s="481">
        <v>84.027000000000001</v>
      </c>
      <c r="Y67" s="564">
        <v>35657862.700000003</v>
      </c>
      <c r="Z67" s="564">
        <v>23406687.690000001</v>
      </c>
    </row>
    <row r="68" spans="1:26" s="470" customFormat="1" x14ac:dyDescent="0.2">
      <c r="A68" s="468" t="s">
        <v>219</v>
      </c>
      <c r="B68" s="468" t="s">
        <v>217</v>
      </c>
      <c r="C68" s="473" t="s">
        <v>763</v>
      </c>
      <c r="D68" s="444">
        <v>230016466</v>
      </c>
      <c r="E68" s="444">
        <v>0</v>
      </c>
      <c r="F68" s="444">
        <v>230016466</v>
      </c>
      <c r="G68" s="445">
        <v>13496.43</v>
      </c>
      <c r="H68" s="474">
        <v>27</v>
      </c>
      <c r="I68" s="474">
        <v>6.7970000000000006</v>
      </c>
      <c r="J68" s="475">
        <v>20.202999999999999</v>
      </c>
      <c r="K68" s="476">
        <v>0</v>
      </c>
      <c r="L68" s="477">
        <v>0</v>
      </c>
      <c r="M68" s="476">
        <v>0</v>
      </c>
      <c r="N68" s="475">
        <v>0</v>
      </c>
      <c r="O68" s="478">
        <v>1.8260000000000001</v>
      </c>
      <c r="P68" s="479">
        <v>7.3999999999999996E-2</v>
      </c>
      <c r="Q68" s="480">
        <v>22.103000000000002</v>
      </c>
      <c r="R68" s="481">
        <v>10.016</v>
      </c>
      <c r="S68" s="481">
        <v>0</v>
      </c>
      <c r="T68" s="481">
        <v>0</v>
      </c>
      <c r="U68" s="481">
        <v>0</v>
      </c>
      <c r="V68" s="481">
        <v>0</v>
      </c>
      <c r="W68" s="481">
        <v>32.119</v>
      </c>
      <c r="X68" s="481">
        <v>67.093000000000004</v>
      </c>
      <c r="Y68" s="564">
        <v>15155937.52</v>
      </c>
      <c r="Z68" s="564">
        <v>10323247.18</v>
      </c>
    </row>
    <row r="69" spans="1:26" s="470" customFormat="1" x14ac:dyDescent="0.2">
      <c r="A69" s="468" t="s">
        <v>221</v>
      </c>
      <c r="B69" s="468" t="s">
        <v>217</v>
      </c>
      <c r="C69" s="473" t="s">
        <v>764</v>
      </c>
      <c r="D69" s="444">
        <v>122054755</v>
      </c>
      <c r="E69" s="444">
        <v>0</v>
      </c>
      <c r="F69" s="444">
        <v>122054755</v>
      </c>
      <c r="G69" s="445">
        <v>9410.1200000000008</v>
      </c>
      <c r="H69" s="474">
        <v>27</v>
      </c>
      <c r="I69" s="474">
        <v>0.29800000000000004</v>
      </c>
      <c r="J69" s="475">
        <v>26.701999999999998</v>
      </c>
      <c r="K69" s="476">
        <v>0</v>
      </c>
      <c r="L69" s="477">
        <v>0</v>
      </c>
      <c r="M69" s="476">
        <v>0</v>
      </c>
      <c r="N69" s="475">
        <v>0</v>
      </c>
      <c r="O69" s="478">
        <v>2</v>
      </c>
      <c r="P69" s="479">
        <v>4.4999999999999998E-2</v>
      </c>
      <c r="Q69" s="480">
        <v>28.747</v>
      </c>
      <c r="R69" s="481">
        <v>0</v>
      </c>
      <c r="S69" s="481">
        <v>0</v>
      </c>
      <c r="T69" s="481">
        <v>0</v>
      </c>
      <c r="U69" s="481">
        <v>0</v>
      </c>
      <c r="V69" s="481">
        <v>0</v>
      </c>
      <c r="W69" s="481">
        <v>28.747</v>
      </c>
      <c r="X69" s="481">
        <v>29.896000000000001</v>
      </c>
      <c r="Y69" s="564">
        <v>3397952.4</v>
      </c>
      <c r="Z69" s="564">
        <v>337491.39</v>
      </c>
    </row>
    <row r="70" spans="1:26" s="470" customFormat="1" x14ac:dyDescent="0.2">
      <c r="A70" s="468" t="s">
        <v>223</v>
      </c>
      <c r="B70" s="468" t="s">
        <v>224</v>
      </c>
      <c r="C70" s="473" t="s">
        <v>765</v>
      </c>
      <c r="D70" s="444">
        <v>2179021890</v>
      </c>
      <c r="E70" s="444">
        <v>1833880</v>
      </c>
      <c r="F70" s="444">
        <v>2177188010</v>
      </c>
      <c r="G70" s="445">
        <v>237732</v>
      </c>
      <c r="H70" s="474">
        <v>27</v>
      </c>
      <c r="I70" s="474">
        <v>0.2410000000000001</v>
      </c>
      <c r="J70" s="475">
        <v>26.759</v>
      </c>
      <c r="K70" s="476">
        <v>0</v>
      </c>
      <c r="L70" s="477">
        <v>0</v>
      </c>
      <c r="M70" s="476">
        <v>0</v>
      </c>
      <c r="N70" s="475">
        <v>0</v>
      </c>
      <c r="O70" s="478">
        <v>9.327</v>
      </c>
      <c r="P70" s="479">
        <v>0.28499999999999998</v>
      </c>
      <c r="Q70" s="480">
        <v>36.370999999999995</v>
      </c>
      <c r="R70" s="481">
        <v>7.7809999999999997</v>
      </c>
      <c r="S70" s="481">
        <v>0</v>
      </c>
      <c r="T70" s="481">
        <v>0</v>
      </c>
      <c r="U70" s="481">
        <v>0</v>
      </c>
      <c r="V70" s="481">
        <v>0</v>
      </c>
      <c r="W70" s="481">
        <v>44.151999999999994</v>
      </c>
      <c r="X70" s="481">
        <v>33.758000000000003</v>
      </c>
      <c r="Y70" s="564">
        <v>74181665.150000006</v>
      </c>
      <c r="Z70" s="564">
        <v>14919738.390000001</v>
      </c>
    </row>
    <row r="71" spans="1:26" s="470" customFormat="1" x14ac:dyDescent="0.2">
      <c r="A71" s="468" t="s">
        <v>226</v>
      </c>
      <c r="B71" s="468" t="s">
        <v>224</v>
      </c>
      <c r="C71" s="473" t="s">
        <v>766</v>
      </c>
      <c r="D71" s="444">
        <v>854015040</v>
      </c>
      <c r="E71" s="444">
        <v>0</v>
      </c>
      <c r="F71" s="444">
        <v>854015040</v>
      </c>
      <c r="G71" s="445">
        <v>41899.18</v>
      </c>
      <c r="H71" s="474">
        <v>16.282</v>
      </c>
      <c r="I71" s="474">
        <v>6.5820000000000007</v>
      </c>
      <c r="J71" s="475">
        <v>9.6999999999999993</v>
      </c>
      <c r="K71" s="476">
        <v>0</v>
      </c>
      <c r="L71" s="477">
        <v>0</v>
      </c>
      <c r="M71" s="476">
        <v>0</v>
      </c>
      <c r="N71" s="475">
        <v>0</v>
      </c>
      <c r="O71" s="478">
        <v>9.6129999999999995</v>
      </c>
      <c r="P71" s="479">
        <v>2.7E-2</v>
      </c>
      <c r="Q71" s="480">
        <v>19.34</v>
      </c>
      <c r="R71" s="481">
        <v>8.7759999999999998</v>
      </c>
      <c r="S71" s="481">
        <v>0</v>
      </c>
      <c r="T71" s="481">
        <v>0</v>
      </c>
      <c r="U71" s="481">
        <v>0</v>
      </c>
      <c r="V71" s="481">
        <v>0</v>
      </c>
      <c r="W71" s="481">
        <v>28.116</v>
      </c>
      <c r="X71" s="481">
        <v>58.232999999999997</v>
      </c>
      <c r="Y71" s="564">
        <v>53099251.289999999</v>
      </c>
      <c r="Z71" s="564">
        <v>43754643.039999999</v>
      </c>
    </row>
    <row r="72" spans="1:26" s="470" customFormat="1" x14ac:dyDescent="0.2">
      <c r="A72" s="468" t="s">
        <v>228</v>
      </c>
      <c r="B72" s="468" t="s">
        <v>224</v>
      </c>
      <c r="C72" s="473" t="s">
        <v>767</v>
      </c>
      <c r="D72" s="444">
        <v>496227220</v>
      </c>
      <c r="E72" s="444">
        <v>0</v>
      </c>
      <c r="F72" s="444">
        <v>496227220</v>
      </c>
      <c r="G72" s="445">
        <v>4326.29</v>
      </c>
      <c r="H72" s="474">
        <v>4.3949999999999996</v>
      </c>
      <c r="I72" s="474">
        <v>0</v>
      </c>
      <c r="J72" s="475">
        <v>4.3949999999999996</v>
      </c>
      <c r="K72" s="476">
        <v>0</v>
      </c>
      <c r="L72" s="477">
        <v>0</v>
      </c>
      <c r="M72" s="476">
        <v>0</v>
      </c>
      <c r="N72" s="475">
        <v>0</v>
      </c>
      <c r="O72" s="478">
        <v>2.93</v>
      </c>
      <c r="P72" s="479">
        <v>0</v>
      </c>
      <c r="Q72" s="480">
        <v>7.3249999999999993</v>
      </c>
      <c r="R72" s="481">
        <v>7.2720000000000002</v>
      </c>
      <c r="S72" s="481">
        <v>0</v>
      </c>
      <c r="T72" s="481">
        <v>0</v>
      </c>
      <c r="U72" s="481">
        <v>0</v>
      </c>
      <c r="V72" s="481">
        <v>0</v>
      </c>
      <c r="W72" s="481">
        <v>14.597</v>
      </c>
      <c r="X72" s="481">
        <v>22.977</v>
      </c>
      <c r="Y72" s="564">
        <v>15039024.5</v>
      </c>
      <c r="Z72" s="564">
        <v>11904266.279999999</v>
      </c>
    </row>
    <row r="73" spans="1:26" s="470" customFormat="1" x14ac:dyDescent="0.2">
      <c r="A73" s="468" t="s">
        <v>230</v>
      </c>
      <c r="B73" s="468" t="s">
        <v>231</v>
      </c>
      <c r="C73" s="473" t="s">
        <v>768</v>
      </c>
      <c r="D73" s="444">
        <v>470552380</v>
      </c>
      <c r="E73" s="444">
        <v>0</v>
      </c>
      <c r="F73" s="444">
        <v>470552380</v>
      </c>
      <c r="G73" s="445">
        <v>0</v>
      </c>
      <c r="H73" s="474">
        <v>6.6509999999999998</v>
      </c>
      <c r="I73" s="474">
        <v>0</v>
      </c>
      <c r="J73" s="475">
        <v>6.6509999999999998</v>
      </c>
      <c r="K73" s="476">
        <v>0</v>
      </c>
      <c r="L73" s="477">
        <v>0</v>
      </c>
      <c r="M73" s="476">
        <v>0</v>
      </c>
      <c r="N73" s="475">
        <v>0</v>
      </c>
      <c r="O73" s="478">
        <v>2.4510000000000001</v>
      </c>
      <c r="P73" s="479">
        <v>0</v>
      </c>
      <c r="Q73" s="480">
        <v>9.1020000000000003</v>
      </c>
      <c r="R73" s="481">
        <v>0</v>
      </c>
      <c r="S73" s="481">
        <v>0.36</v>
      </c>
      <c r="T73" s="481">
        <v>0</v>
      </c>
      <c r="U73" s="481">
        <v>0</v>
      </c>
      <c r="V73" s="481">
        <v>0</v>
      </c>
      <c r="W73" s="481">
        <v>9.4619999999999997</v>
      </c>
      <c r="X73" s="481">
        <v>12.045</v>
      </c>
      <c r="Y73" s="564">
        <v>5848382.75</v>
      </c>
      <c r="Z73" s="564">
        <v>2544843.48</v>
      </c>
    </row>
    <row r="74" spans="1:26" s="470" customFormat="1" x14ac:dyDescent="0.2">
      <c r="A74" s="468" t="s">
        <v>232</v>
      </c>
      <c r="B74" s="468" t="s">
        <v>233</v>
      </c>
      <c r="C74" s="473" t="s">
        <v>769</v>
      </c>
      <c r="D74" s="444">
        <v>184910416</v>
      </c>
      <c r="E74" s="444">
        <v>0</v>
      </c>
      <c r="F74" s="444">
        <v>184910416</v>
      </c>
      <c r="G74" s="445">
        <v>14305.86</v>
      </c>
      <c r="H74" s="474">
        <v>13.811</v>
      </c>
      <c r="I74" s="474">
        <v>0</v>
      </c>
      <c r="J74" s="475">
        <v>13.811</v>
      </c>
      <c r="K74" s="476">
        <v>0</v>
      </c>
      <c r="L74" s="477">
        <v>0</v>
      </c>
      <c r="M74" s="476">
        <v>0</v>
      </c>
      <c r="N74" s="475">
        <v>0</v>
      </c>
      <c r="O74" s="478">
        <v>6.6779999999999999</v>
      </c>
      <c r="P74" s="479">
        <v>6.4000000000000001E-2</v>
      </c>
      <c r="Q74" s="480">
        <v>20.553000000000001</v>
      </c>
      <c r="R74" s="481">
        <v>5.3179999999999996</v>
      </c>
      <c r="S74" s="481">
        <v>0</v>
      </c>
      <c r="T74" s="481">
        <v>0</v>
      </c>
      <c r="U74" s="481">
        <v>0</v>
      </c>
      <c r="V74" s="481">
        <v>0</v>
      </c>
      <c r="W74" s="481">
        <v>25.871000000000002</v>
      </c>
      <c r="X74" s="481">
        <v>33.832999999999998</v>
      </c>
      <c r="Y74" s="564">
        <v>6167804.8399999999</v>
      </c>
      <c r="Z74" s="564">
        <v>3593070.89</v>
      </c>
    </row>
    <row r="75" spans="1:26" s="470" customFormat="1" x14ac:dyDescent="0.2">
      <c r="A75" s="468" t="s">
        <v>235</v>
      </c>
      <c r="B75" s="468" t="s">
        <v>233</v>
      </c>
      <c r="C75" s="473" t="s">
        <v>770</v>
      </c>
      <c r="D75" s="444">
        <v>1503691087</v>
      </c>
      <c r="E75" s="444">
        <v>701171</v>
      </c>
      <c r="F75" s="444">
        <v>1502989916</v>
      </c>
      <c r="G75" s="445">
        <v>49326.95</v>
      </c>
      <c r="H75" s="474">
        <v>12.776999999999999</v>
      </c>
      <c r="I75" s="474">
        <v>0</v>
      </c>
      <c r="J75" s="483">
        <v>12.776999999999999</v>
      </c>
      <c r="K75" s="484">
        <v>0.59699999999999998</v>
      </c>
      <c r="L75" s="485">
        <v>2.5640000000000001</v>
      </c>
      <c r="M75" s="476">
        <v>0.60199999999999998</v>
      </c>
      <c r="N75" s="475">
        <v>0</v>
      </c>
      <c r="O75" s="478">
        <v>1.772</v>
      </c>
      <c r="P75" s="479">
        <v>1.4E-2</v>
      </c>
      <c r="Q75" s="480">
        <v>15.164999999999999</v>
      </c>
      <c r="R75" s="481">
        <v>5.4169999999999998</v>
      </c>
      <c r="S75" s="481">
        <v>0.23</v>
      </c>
      <c r="T75" s="481">
        <v>0</v>
      </c>
      <c r="U75" s="481">
        <v>0</v>
      </c>
      <c r="V75" s="481">
        <v>0</v>
      </c>
      <c r="W75" s="481">
        <v>20.812000000000001</v>
      </c>
      <c r="X75" s="481">
        <v>10.047000000000001</v>
      </c>
      <c r="Y75" s="564">
        <v>15406304.92</v>
      </c>
      <c r="Z75" s="564">
        <v>713.5</v>
      </c>
    </row>
    <row r="76" spans="1:26" s="470" customFormat="1" x14ac:dyDescent="0.2">
      <c r="A76" s="468" t="s">
        <v>237</v>
      </c>
      <c r="B76" s="468" t="s">
        <v>238</v>
      </c>
      <c r="C76" s="473" t="s">
        <v>771</v>
      </c>
      <c r="D76" s="444">
        <v>1241170282</v>
      </c>
      <c r="E76" s="444">
        <v>20631370</v>
      </c>
      <c r="F76" s="444">
        <v>1220538912</v>
      </c>
      <c r="G76" s="445">
        <v>100665.76</v>
      </c>
      <c r="H76" s="474">
        <v>15.736000000000001</v>
      </c>
      <c r="I76" s="474">
        <v>0</v>
      </c>
      <c r="J76" s="475">
        <v>15.736000000000001</v>
      </c>
      <c r="K76" s="476">
        <v>0</v>
      </c>
      <c r="L76" s="477">
        <v>0</v>
      </c>
      <c r="M76" s="476">
        <v>0</v>
      </c>
      <c r="N76" s="475">
        <v>0</v>
      </c>
      <c r="O76" s="478">
        <v>3.5449999999999999</v>
      </c>
      <c r="P76" s="479">
        <v>0.02</v>
      </c>
      <c r="Q76" s="480">
        <v>19.300999999999998</v>
      </c>
      <c r="R76" s="481">
        <v>8.7799999999999994</v>
      </c>
      <c r="S76" s="481">
        <v>0</v>
      </c>
      <c r="T76" s="481">
        <v>0</v>
      </c>
      <c r="U76" s="481">
        <v>0</v>
      </c>
      <c r="V76" s="481">
        <v>0</v>
      </c>
      <c r="W76" s="481">
        <v>28.080999999999996</v>
      </c>
      <c r="X76" s="481">
        <v>19.271999999999998</v>
      </c>
      <c r="Y76" s="564">
        <v>24653579.34</v>
      </c>
      <c r="Z76" s="564">
        <v>4362011.9400000004</v>
      </c>
    </row>
    <row r="77" spans="1:26" s="470" customFormat="1" x14ac:dyDescent="0.2">
      <c r="A77" s="486" t="s">
        <v>239</v>
      </c>
      <c r="B77" s="468" t="s">
        <v>240</v>
      </c>
      <c r="C77" s="473" t="s">
        <v>772</v>
      </c>
      <c r="D77" s="444">
        <v>73179060</v>
      </c>
      <c r="E77" s="444">
        <v>73179060</v>
      </c>
      <c r="F77" s="444">
        <v>0</v>
      </c>
      <c r="G77" s="445">
        <v>2296.71</v>
      </c>
      <c r="H77" s="474">
        <v>19.067</v>
      </c>
      <c r="I77" s="474">
        <v>0</v>
      </c>
      <c r="J77" s="475">
        <v>19.067</v>
      </c>
      <c r="K77" s="476">
        <v>0</v>
      </c>
      <c r="L77" s="477">
        <v>0</v>
      </c>
      <c r="M77" s="476">
        <v>0</v>
      </c>
      <c r="N77" s="475">
        <v>0</v>
      </c>
      <c r="O77" s="478">
        <v>0</v>
      </c>
      <c r="P77" s="479">
        <v>5.0999999999999997E-2</v>
      </c>
      <c r="Q77" s="480">
        <v>19.117999999999999</v>
      </c>
      <c r="R77" s="481">
        <v>5.7770000000000001</v>
      </c>
      <c r="S77" s="481">
        <v>0</v>
      </c>
      <c r="T77" s="481">
        <v>0</v>
      </c>
      <c r="U77" s="481">
        <v>0</v>
      </c>
      <c r="V77" s="481">
        <v>0</v>
      </c>
      <c r="W77" s="481">
        <v>24.895</v>
      </c>
      <c r="X77" s="481">
        <v>26.018000000000001</v>
      </c>
      <c r="Y77" s="564">
        <v>1781744.71</v>
      </c>
      <c r="Z77" s="564">
        <v>450866.34</v>
      </c>
    </row>
    <row r="78" spans="1:26" s="470" customFormat="1" x14ac:dyDescent="0.2">
      <c r="A78" s="468" t="s">
        <v>241</v>
      </c>
      <c r="B78" s="468" t="s">
        <v>242</v>
      </c>
      <c r="C78" s="473" t="s">
        <v>773</v>
      </c>
      <c r="D78" s="444">
        <v>143242669</v>
      </c>
      <c r="E78" s="444">
        <v>393606</v>
      </c>
      <c r="F78" s="444">
        <v>142849063</v>
      </c>
      <c r="G78" s="445">
        <v>23951.99</v>
      </c>
      <c r="H78" s="474">
        <v>27</v>
      </c>
      <c r="I78" s="474">
        <v>0</v>
      </c>
      <c r="J78" s="475">
        <v>27</v>
      </c>
      <c r="K78" s="476">
        <v>0</v>
      </c>
      <c r="L78" s="477">
        <v>0</v>
      </c>
      <c r="M78" s="476">
        <v>0</v>
      </c>
      <c r="N78" s="475">
        <v>0</v>
      </c>
      <c r="O78" s="478">
        <v>0</v>
      </c>
      <c r="P78" s="479">
        <v>8.3000000000000004E-2</v>
      </c>
      <c r="Q78" s="480">
        <v>27.082999999999998</v>
      </c>
      <c r="R78" s="481">
        <v>8.6890000000000001</v>
      </c>
      <c r="S78" s="481">
        <v>0</v>
      </c>
      <c r="T78" s="481">
        <v>0</v>
      </c>
      <c r="U78" s="481">
        <v>0</v>
      </c>
      <c r="V78" s="481">
        <v>0</v>
      </c>
      <c r="W78" s="481">
        <v>35.771999999999998</v>
      </c>
      <c r="X78" s="481">
        <v>45.554000000000002</v>
      </c>
      <c r="Y78" s="564">
        <v>6429493.0899999999</v>
      </c>
      <c r="Z78" s="564">
        <v>2484963.34</v>
      </c>
    </row>
    <row r="79" spans="1:26" s="470" customFormat="1" x14ac:dyDescent="0.2">
      <c r="A79" s="468" t="s">
        <v>243</v>
      </c>
      <c r="B79" s="468" t="s">
        <v>242</v>
      </c>
      <c r="C79" s="473" t="s">
        <v>774</v>
      </c>
      <c r="D79" s="444">
        <v>49499762</v>
      </c>
      <c r="E79" s="444">
        <v>0</v>
      </c>
      <c r="F79" s="444">
        <v>49499762</v>
      </c>
      <c r="G79" s="445">
        <v>3650.37</v>
      </c>
      <c r="H79" s="474">
        <v>27</v>
      </c>
      <c r="I79" s="474">
        <v>0</v>
      </c>
      <c r="J79" s="475">
        <v>27</v>
      </c>
      <c r="K79" s="476">
        <v>0</v>
      </c>
      <c r="L79" s="477">
        <v>0</v>
      </c>
      <c r="M79" s="476">
        <v>0</v>
      </c>
      <c r="N79" s="475">
        <v>0</v>
      </c>
      <c r="O79" s="478">
        <v>0</v>
      </c>
      <c r="P79" s="479">
        <v>8.0000000000000002E-3</v>
      </c>
      <c r="Q79" s="480">
        <v>27.007999999999999</v>
      </c>
      <c r="R79" s="481">
        <v>11.484</v>
      </c>
      <c r="S79" s="481">
        <v>0</v>
      </c>
      <c r="T79" s="481">
        <v>0</v>
      </c>
      <c r="U79" s="481">
        <v>0</v>
      </c>
      <c r="V79" s="481">
        <v>0</v>
      </c>
      <c r="W79" s="481">
        <v>38.491999999999997</v>
      </c>
      <c r="X79" s="481">
        <v>92.933000000000007</v>
      </c>
      <c r="Y79" s="564">
        <v>4139198.41</v>
      </c>
      <c r="Z79" s="564">
        <v>2869628.03</v>
      </c>
    </row>
    <row r="80" spans="1:26" s="470" customFormat="1" x14ac:dyDescent="0.2">
      <c r="A80" s="468" t="s">
        <v>245</v>
      </c>
      <c r="B80" s="468" t="s">
        <v>246</v>
      </c>
      <c r="C80" s="473" t="s">
        <v>775</v>
      </c>
      <c r="D80" s="444">
        <v>99089920</v>
      </c>
      <c r="E80" s="444">
        <v>0</v>
      </c>
      <c r="F80" s="444">
        <v>99089920</v>
      </c>
      <c r="G80" s="445">
        <v>7100</v>
      </c>
      <c r="H80" s="474">
        <v>23.041</v>
      </c>
      <c r="I80" s="474">
        <v>0</v>
      </c>
      <c r="J80" s="475">
        <v>23.041</v>
      </c>
      <c r="K80" s="476">
        <v>0</v>
      </c>
      <c r="L80" s="477">
        <v>0</v>
      </c>
      <c r="M80" s="476">
        <v>0</v>
      </c>
      <c r="N80" s="475">
        <v>0</v>
      </c>
      <c r="O80" s="478">
        <v>0</v>
      </c>
      <c r="P80" s="479">
        <v>9.5000000000000001E-2</v>
      </c>
      <c r="Q80" s="480">
        <v>23.135999999999999</v>
      </c>
      <c r="R80" s="481">
        <v>0</v>
      </c>
      <c r="S80" s="481">
        <v>0</v>
      </c>
      <c r="T80" s="481">
        <v>0</v>
      </c>
      <c r="U80" s="481">
        <v>0</v>
      </c>
      <c r="V80" s="481">
        <v>0</v>
      </c>
      <c r="W80" s="481">
        <v>23.135999999999999</v>
      </c>
      <c r="X80" s="481">
        <v>24.59</v>
      </c>
      <c r="Y80" s="564">
        <v>3163209.28</v>
      </c>
      <c r="Z80" s="564">
        <v>175956.91</v>
      </c>
    </row>
    <row r="81" spans="1:26" s="470" customFormat="1" x14ac:dyDescent="0.2">
      <c r="A81" s="468" t="s">
        <v>248</v>
      </c>
      <c r="B81" s="468" t="s">
        <v>249</v>
      </c>
      <c r="C81" s="473" t="s">
        <v>776</v>
      </c>
      <c r="D81" s="444">
        <v>16130667342</v>
      </c>
      <c r="E81" s="444">
        <v>679063300</v>
      </c>
      <c r="F81" s="444">
        <v>15451604042</v>
      </c>
      <c r="G81" s="445">
        <v>4129928.9</v>
      </c>
      <c r="H81" s="474">
        <v>27</v>
      </c>
      <c r="I81" s="474">
        <v>0</v>
      </c>
      <c r="J81" s="475">
        <v>27</v>
      </c>
      <c r="K81" s="476">
        <v>0</v>
      </c>
      <c r="L81" s="477">
        <v>0</v>
      </c>
      <c r="M81" s="476">
        <v>0</v>
      </c>
      <c r="N81" s="475">
        <v>0</v>
      </c>
      <c r="O81" s="478">
        <v>11.378</v>
      </c>
      <c r="P81" s="479">
        <v>0.20399999999999999</v>
      </c>
      <c r="Q81" s="480">
        <v>38.582000000000001</v>
      </c>
      <c r="R81" s="481">
        <v>5.9059999999999997</v>
      </c>
      <c r="S81" s="481">
        <v>0</v>
      </c>
      <c r="T81" s="481">
        <v>0</v>
      </c>
      <c r="U81" s="481">
        <v>0</v>
      </c>
      <c r="V81" s="481">
        <v>0</v>
      </c>
      <c r="W81" s="481">
        <v>44.488</v>
      </c>
      <c r="X81" s="481">
        <v>52.357999999999997</v>
      </c>
      <c r="Y81" s="564">
        <v>833037943.37</v>
      </c>
      <c r="Z81" s="564">
        <v>391306469.83999997</v>
      </c>
    </row>
    <row r="82" spans="1:26" s="470" customFormat="1" x14ac:dyDescent="0.2">
      <c r="A82" s="468" t="s">
        <v>250</v>
      </c>
      <c r="B82" s="468" t="s">
        <v>179</v>
      </c>
      <c r="C82" s="473" t="s">
        <v>777</v>
      </c>
      <c r="D82" s="502">
        <v>23134046</v>
      </c>
      <c r="E82" s="502">
        <v>0</v>
      </c>
      <c r="F82" s="502">
        <v>23134046</v>
      </c>
      <c r="G82" s="502">
        <v>7093.52</v>
      </c>
      <c r="H82" s="474">
        <v>27</v>
      </c>
      <c r="I82" s="474">
        <v>0</v>
      </c>
      <c r="J82" s="475">
        <v>27</v>
      </c>
      <c r="K82" s="476">
        <v>0</v>
      </c>
      <c r="L82" s="477">
        <v>0</v>
      </c>
      <c r="M82" s="476">
        <v>0</v>
      </c>
      <c r="N82" s="475">
        <v>0</v>
      </c>
      <c r="O82" s="478">
        <v>0</v>
      </c>
      <c r="P82" s="479">
        <v>2.4E-2</v>
      </c>
      <c r="Q82" s="480">
        <v>27.024000000000001</v>
      </c>
      <c r="R82" s="481">
        <v>0</v>
      </c>
      <c r="S82" s="481">
        <v>0</v>
      </c>
      <c r="T82" s="481">
        <v>0</v>
      </c>
      <c r="U82" s="481">
        <v>0</v>
      </c>
      <c r="V82" s="481">
        <v>0</v>
      </c>
      <c r="W82" s="481">
        <v>27.024000000000001</v>
      </c>
      <c r="X82" s="481">
        <v>173.47800000000001</v>
      </c>
      <c r="Y82" s="564">
        <v>3645251.15</v>
      </c>
      <c r="Z82" s="564">
        <v>3072232.61</v>
      </c>
    </row>
    <row r="83" spans="1:26" s="470" customFormat="1" x14ac:dyDescent="0.2">
      <c r="A83" s="468" t="s">
        <v>252</v>
      </c>
      <c r="B83" s="468" t="s">
        <v>179</v>
      </c>
      <c r="C83" s="473" t="s">
        <v>778</v>
      </c>
      <c r="D83" s="502">
        <v>20184167</v>
      </c>
      <c r="E83" s="502">
        <v>0</v>
      </c>
      <c r="F83" s="502">
        <v>20184167</v>
      </c>
      <c r="G83" s="502">
        <v>508.13</v>
      </c>
      <c r="H83" s="474">
        <v>27</v>
      </c>
      <c r="I83" s="474">
        <v>2.4800000000000004</v>
      </c>
      <c r="J83" s="475">
        <v>24.52</v>
      </c>
      <c r="K83" s="476">
        <v>0</v>
      </c>
      <c r="L83" s="477">
        <v>0</v>
      </c>
      <c r="M83" s="476">
        <v>0</v>
      </c>
      <c r="N83" s="475">
        <v>0</v>
      </c>
      <c r="O83" s="478">
        <v>0</v>
      </c>
      <c r="P83" s="479">
        <v>0</v>
      </c>
      <c r="Q83" s="480">
        <v>24.52</v>
      </c>
      <c r="R83" s="481">
        <v>0</v>
      </c>
      <c r="S83" s="481">
        <v>0</v>
      </c>
      <c r="T83" s="481">
        <v>0</v>
      </c>
      <c r="U83" s="481">
        <v>0</v>
      </c>
      <c r="V83" s="481">
        <v>0</v>
      </c>
      <c r="W83" s="481">
        <v>24.52</v>
      </c>
      <c r="X83" s="481">
        <v>139.16499999999999</v>
      </c>
      <c r="Y83" s="564">
        <v>2835204.01</v>
      </c>
      <c r="Z83" s="564">
        <v>2259610.4700000002</v>
      </c>
    </row>
    <row r="84" spans="1:26" s="470" customFormat="1" x14ac:dyDescent="0.2">
      <c r="A84" s="468" t="s">
        <v>254</v>
      </c>
      <c r="B84" s="468" t="s">
        <v>144</v>
      </c>
      <c r="C84" s="473" t="s">
        <v>779</v>
      </c>
      <c r="D84" s="444">
        <v>53402073</v>
      </c>
      <c r="E84" s="444">
        <v>0</v>
      </c>
      <c r="F84" s="444">
        <v>53402073</v>
      </c>
      <c r="G84" s="445">
        <v>433.17</v>
      </c>
      <c r="H84" s="474">
        <v>27</v>
      </c>
      <c r="I84" s="474">
        <v>0</v>
      </c>
      <c r="J84" s="475">
        <v>27</v>
      </c>
      <c r="K84" s="476">
        <v>0</v>
      </c>
      <c r="L84" s="477">
        <v>0</v>
      </c>
      <c r="M84" s="476">
        <v>0</v>
      </c>
      <c r="N84" s="475">
        <v>0</v>
      </c>
      <c r="O84" s="478">
        <v>0</v>
      </c>
      <c r="P84" s="479">
        <v>0</v>
      </c>
      <c r="Q84" s="480">
        <v>27.05</v>
      </c>
      <c r="R84" s="481">
        <v>0</v>
      </c>
      <c r="S84" s="481">
        <v>0</v>
      </c>
      <c r="T84" s="481">
        <v>0</v>
      </c>
      <c r="U84" s="481">
        <v>0</v>
      </c>
      <c r="V84" s="481">
        <v>0</v>
      </c>
      <c r="W84" s="481">
        <v>27.05</v>
      </c>
      <c r="X84" s="481">
        <v>64.864000000000004</v>
      </c>
      <c r="Y84" s="564">
        <v>3222185.22</v>
      </c>
      <c r="Z84" s="564">
        <v>1809895.48</v>
      </c>
    </row>
    <row r="85" spans="1:26" s="470" customFormat="1" x14ac:dyDescent="0.2">
      <c r="A85" s="468" t="s">
        <v>256</v>
      </c>
      <c r="B85" s="468" t="s">
        <v>144</v>
      </c>
      <c r="C85" s="473" t="s">
        <v>780</v>
      </c>
      <c r="D85" s="444">
        <v>42533309</v>
      </c>
      <c r="E85" s="444">
        <v>0</v>
      </c>
      <c r="F85" s="444">
        <v>42533309</v>
      </c>
      <c r="G85" s="445">
        <v>188.16</v>
      </c>
      <c r="H85" s="474">
        <v>24.334</v>
      </c>
      <c r="I85" s="474">
        <v>0</v>
      </c>
      <c r="J85" s="475">
        <v>24.334</v>
      </c>
      <c r="K85" s="476">
        <v>0</v>
      </c>
      <c r="L85" s="477">
        <v>0</v>
      </c>
      <c r="M85" s="476">
        <v>4.4189999999999996</v>
      </c>
      <c r="N85" s="475">
        <v>0</v>
      </c>
      <c r="O85" s="478">
        <v>0</v>
      </c>
      <c r="P85" s="479">
        <v>0.55800000000000005</v>
      </c>
      <c r="Q85" s="480">
        <v>29.311</v>
      </c>
      <c r="R85" s="481">
        <v>6.2290000000000001</v>
      </c>
      <c r="S85" s="481">
        <v>0</v>
      </c>
      <c r="T85" s="481">
        <v>0</v>
      </c>
      <c r="U85" s="481">
        <v>0</v>
      </c>
      <c r="V85" s="481">
        <v>0</v>
      </c>
      <c r="W85" s="481">
        <v>35.54</v>
      </c>
      <c r="X85" s="481">
        <v>66.593999999999994</v>
      </c>
      <c r="Y85" s="564">
        <v>2467533.2999999998</v>
      </c>
      <c r="Z85" s="564">
        <v>1511142.15</v>
      </c>
    </row>
    <row r="86" spans="1:26" s="470" customFormat="1" x14ac:dyDescent="0.2">
      <c r="A86" s="468" t="s">
        <v>258</v>
      </c>
      <c r="B86" s="468" t="s">
        <v>144</v>
      </c>
      <c r="C86" s="473" t="s">
        <v>781</v>
      </c>
      <c r="D86" s="444">
        <v>32165214</v>
      </c>
      <c r="E86" s="444">
        <v>0</v>
      </c>
      <c r="F86" s="444">
        <v>32165214</v>
      </c>
      <c r="G86" s="445">
        <v>2544.5700000000002</v>
      </c>
      <c r="H86" s="474">
        <v>27</v>
      </c>
      <c r="I86" s="474">
        <v>0</v>
      </c>
      <c r="J86" s="475">
        <v>27</v>
      </c>
      <c r="K86" s="476">
        <v>0</v>
      </c>
      <c r="L86" s="477">
        <v>0</v>
      </c>
      <c r="M86" s="476">
        <v>0</v>
      </c>
      <c r="N86" s="475">
        <v>0</v>
      </c>
      <c r="O86" s="478">
        <v>7.5</v>
      </c>
      <c r="P86" s="479">
        <v>0.5</v>
      </c>
      <c r="Q86" s="480">
        <v>35</v>
      </c>
      <c r="R86" s="481">
        <v>0</v>
      </c>
      <c r="S86" s="481">
        <v>0</v>
      </c>
      <c r="T86" s="481">
        <v>0</v>
      </c>
      <c r="U86" s="481">
        <v>0</v>
      </c>
      <c r="V86" s="481">
        <v>0</v>
      </c>
      <c r="W86" s="481">
        <v>35</v>
      </c>
      <c r="X86" s="481">
        <v>128.46799999999999</v>
      </c>
      <c r="Y86" s="564">
        <v>3738676.08</v>
      </c>
      <c r="Z86" s="564">
        <v>2903490.44</v>
      </c>
    </row>
    <row r="87" spans="1:26" s="470" customFormat="1" x14ac:dyDescent="0.2">
      <c r="A87" s="468" t="s">
        <v>260</v>
      </c>
      <c r="B87" s="468" t="s">
        <v>144</v>
      </c>
      <c r="C87" s="473" t="s">
        <v>782</v>
      </c>
      <c r="D87" s="444">
        <v>20611331</v>
      </c>
      <c r="E87" s="444">
        <v>0</v>
      </c>
      <c r="F87" s="444">
        <v>20611331</v>
      </c>
      <c r="G87" s="445">
        <v>970.96</v>
      </c>
      <c r="H87" s="474">
        <v>27</v>
      </c>
      <c r="I87" s="474">
        <v>0</v>
      </c>
      <c r="J87" s="475">
        <v>27</v>
      </c>
      <c r="K87" s="476">
        <v>0</v>
      </c>
      <c r="L87" s="477">
        <v>0</v>
      </c>
      <c r="M87" s="476">
        <v>0</v>
      </c>
      <c r="N87" s="475">
        <v>0</v>
      </c>
      <c r="O87" s="478">
        <v>14.342000000000001</v>
      </c>
      <c r="P87" s="479">
        <v>0</v>
      </c>
      <c r="Q87" s="480">
        <v>41.341999999999999</v>
      </c>
      <c r="R87" s="481">
        <v>0</v>
      </c>
      <c r="S87" s="481">
        <v>0</v>
      </c>
      <c r="T87" s="481">
        <v>0</v>
      </c>
      <c r="U87" s="481">
        <v>0</v>
      </c>
      <c r="V87" s="481">
        <v>0</v>
      </c>
      <c r="W87" s="481">
        <v>41.341999999999999</v>
      </c>
      <c r="X87" s="481">
        <v>116.62</v>
      </c>
      <c r="Y87" s="564">
        <v>2284108.5499999998</v>
      </c>
      <c r="Z87" s="564">
        <v>1731454.64</v>
      </c>
    </row>
    <row r="88" spans="1:26" s="470" customFormat="1" x14ac:dyDescent="0.2">
      <c r="A88" s="468" t="s">
        <v>262</v>
      </c>
      <c r="B88" s="468" t="s">
        <v>144</v>
      </c>
      <c r="C88" s="473" t="s">
        <v>783</v>
      </c>
      <c r="D88" s="444">
        <v>131295684</v>
      </c>
      <c r="E88" s="444">
        <v>0</v>
      </c>
      <c r="F88" s="444">
        <v>131295684</v>
      </c>
      <c r="G88" s="445">
        <v>26240.06</v>
      </c>
      <c r="H88" s="474">
        <v>27</v>
      </c>
      <c r="I88" s="474">
        <v>0</v>
      </c>
      <c r="J88" s="475">
        <v>27</v>
      </c>
      <c r="K88" s="476">
        <v>0</v>
      </c>
      <c r="L88" s="477">
        <v>0</v>
      </c>
      <c r="M88" s="476">
        <v>0</v>
      </c>
      <c r="N88" s="475">
        <v>0</v>
      </c>
      <c r="O88" s="478">
        <v>13.03</v>
      </c>
      <c r="P88" s="479">
        <v>0.28799999999999998</v>
      </c>
      <c r="Q88" s="480">
        <v>40.317999999999998</v>
      </c>
      <c r="R88" s="481">
        <v>0</v>
      </c>
      <c r="S88" s="481">
        <v>0</v>
      </c>
      <c r="T88" s="481">
        <v>0</v>
      </c>
      <c r="U88" s="481">
        <v>0</v>
      </c>
      <c r="V88" s="481">
        <v>0</v>
      </c>
      <c r="W88" s="481">
        <v>40.317999999999998</v>
      </c>
      <c r="X88" s="481">
        <v>66.956000000000003</v>
      </c>
      <c r="Y88" s="564">
        <v>8892753.6500000004</v>
      </c>
      <c r="Z88" s="564">
        <v>5152376.78</v>
      </c>
    </row>
    <row r="89" spans="1:26" s="470" customFormat="1" x14ac:dyDescent="0.2">
      <c r="A89" s="468" t="s">
        <v>264</v>
      </c>
      <c r="B89" s="468" t="s">
        <v>265</v>
      </c>
      <c r="C89" s="473" t="s">
        <v>784</v>
      </c>
      <c r="D89" s="444">
        <v>367858091</v>
      </c>
      <c r="E89" s="444">
        <v>5244972</v>
      </c>
      <c r="F89" s="444">
        <v>362613119</v>
      </c>
      <c r="G89" s="445">
        <v>3109.54</v>
      </c>
      <c r="H89" s="474">
        <v>26.513999999999999</v>
      </c>
      <c r="I89" s="474">
        <v>0</v>
      </c>
      <c r="J89" s="483">
        <v>26.513999999999999</v>
      </c>
      <c r="K89" s="484">
        <v>0</v>
      </c>
      <c r="L89" s="485">
        <v>0</v>
      </c>
      <c r="M89" s="476">
        <v>0</v>
      </c>
      <c r="N89" s="475">
        <v>0</v>
      </c>
      <c r="O89" s="478">
        <v>5.0640000000000001</v>
      </c>
      <c r="P89" s="479">
        <v>0.52100000000000002</v>
      </c>
      <c r="Q89" s="480">
        <v>32.098999999999997</v>
      </c>
      <c r="R89" s="481">
        <v>4.3390000000000004</v>
      </c>
      <c r="S89" s="481">
        <v>0</v>
      </c>
      <c r="T89" s="481">
        <v>0</v>
      </c>
      <c r="U89" s="481">
        <v>0</v>
      </c>
      <c r="V89" s="481">
        <v>0</v>
      </c>
      <c r="W89" s="481">
        <v>36.437999999999995</v>
      </c>
      <c r="X89" s="481">
        <v>28.54</v>
      </c>
      <c r="Y89" s="564">
        <v>11725516.560000001</v>
      </c>
      <c r="Z89" s="564">
        <v>802238.42</v>
      </c>
    </row>
    <row r="90" spans="1:26" s="470" customFormat="1" x14ac:dyDescent="0.2">
      <c r="A90" s="468" t="s">
        <v>266</v>
      </c>
      <c r="B90" s="468" t="s">
        <v>267</v>
      </c>
      <c r="C90" s="473" t="s">
        <v>785</v>
      </c>
      <c r="D90" s="444">
        <v>1905263610</v>
      </c>
      <c r="E90" s="444">
        <v>3933260</v>
      </c>
      <c r="F90" s="444">
        <v>1901330350</v>
      </c>
      <c r="G90" s="445">
        <v>219583.55</v>
      </c>
      <c r="H90" s="474">
        <v>12.747999999999999</v>
      </c>
      <c r="I90" s="474">
        <v>1.1469999999999998</v>
      </c>
      <c r="J90" s="475">
        <v>11.600999999999999</v>
      </c>
      <c r="K90" s="476">
        <v>0</v>
      </c>
      <c r="L90" s="477">
        <v>0</v>
      </c>
      <c r="M90" s="476">
        <v>1.6439999999999999</v>
      </c>
      <c r="N90" s="475">
        <v>0</v>
      </c>
      <c r="O90" s="478">
        <v>8.4700000000000006</v>
      </c>
      <c r="P90" s="479">
        <v>0</v>
      </c>
      <c r="Q90" s="480">
        <v>21.715</v>
      </c>
      <c r="R90" s="481">
        <v>10.789</v>
      </c>
      <c r="S90" s="481">
        <v>0</v>
      </c>
      <c r="T90" s="481">
        <v>0</v>
      </c>
      <c r="U90" s="481">
        <v>0</v>
      </c>
      <c r="V90" s="481">
        <v>0</v>
      </c>
      <c r="W90" s="481">
        <v>32.503999999999998</v>
      </c>
      <c r="X90" s="481">
        <v>30.562999999999999</v>
      </c>
      <c r="Y90" s="564">
        <v>57731063.060000002</v>
      </c>
      <c r="Z90" s="564">
        <v>34732033.390000001</v>
      </c>
    </row>
    <row r="91" spans="1:26" s="470" customFormat="1" x14ac:dyDescent="0.2">
      <c r="A91" s="468" t="s">
        <v>269</v>
      </c>
      <c r="B91" s="468" t="s">
        <v>267</v>
      </c>
      <c r="C91" s="473" t="s">
        <v>786</v>
      </c>
      <c r="D91" s="444">
        <v>284662560</v>
      </c>
      <c r="E91" s="444">
        <v>0</v>
      </c>
      <c r="F91" s="444">
        <v>284662560</v>
      </c>
      <c r="G91" s="445">
        <v>4706.46</v>
      </c>
      <c r="H91" s="474">
        <v>19.138000000000002</v>
      </c>
      <c r="I91" s="474">
        <v>5.9090000000000025</v>
      </c>
      <c r="J91" s="475">
        <v>13.228999999999999</v>
      </c>
      <c r="K91" s="476">
        <v>0</v>
      </c>
      <c r="L91" s="477">
        <v>0</v>
      </c>
      <c r="M91" s="476">
        <v>0.14899999999999999</v>
      </c>
      <c r="N91" s="475">
        <v>0</v>
      </c>
      <c r="O91" s="478">
        <v>8.3219999999999992</v>
      </c>
      <c r="P91" s="479">
        <v>0.02</v>
      </c>
      <c r="Q91" s="480">
        <v>21.72</v>
      </c>
      <c r="R91" s="481">
        <v>14.428000000000001</v>
      </c>
      <c r="S91" s="481">
        <v>0</v>
      </c>
      <c r="T91" s="481">
        <v>0</v>
      </c>
      <c r="U91" s="481">
        <v>0</v>
      </c>
      <c r="V91" s="481">
        <v>0</v>
      </c>
      <c r="W91" s="481">
        <v>36.147999999999996</v>
      </c>
      <c r="X91" s="481">
        <v>59.012</v>
      </c>
      <c r="Y91" s="564">
        <v>15647845.939999999</v>
      </c>
      <c r="Z91" s="564">
        <v>11949646.92</v>
      </c>
    </row>
    <row r="92" spans="1:26" s="470" customFormat="1" x14ac:dyDescent="0.2">
      <c r="A92" s="468" t="s">
        <v>271</v>
      </c>
      <c r="B92" s="468" t="s">
        <v>267</v>
      </c>
      <c r="C92" s="473" t="s">
        <v>787</v>
      </c>
      <c r="D92" s="444">
        <v>215829170</v>
      </c>
      <c r="E92" s="444">
        <v>0</v>
      </c>
      <c r="F92" s="444">
        <v>215829170</v>
      </c>
      <c r="G92" s="445">
        <v>3709.2</v>
      </c>
      <c r="H92" s="474">
        <v>7.3310000000000004</v>
      </c>
      <c r="I92" s="474">
        <v>5.699999999999994E-2</v>
      </c>
      <c r="J92" s="475">
        <v>7.2740000000000009</v>
      </c>
      <c r="K92" s="476">
        <v>0</v>
      </c>
      <c r="L92" s="477">
        <v>0</v>
      </c>
      <c r="M92" s="476">
        <v>0</v>
      </c>
      <c r="N92" s="475">
        <v>0</v>
      </c>
      <c r="O92" s="478">
        <v>4.1539999999999999</v>
      </c>
      <c r="P92" s="479">
        <v>1.2999999999999999E-2</v>
      </c>
      <c r="Q92" s="480">
        <v>11.441000000000001</v>
      </c>
      <c r="R92" s="481">
        <v>9</v>
      </c>
      <c r="S92" s="481">
        <v>0</v>
      </c>
      <c r="T92" s="481">
        <v>0</v>
      </c>
      <c r="U92" s="481">
        <v>0</v>
      </c>
      <c r="V92" s="481">
        <v>0</v>
      </c>
      <c r="W92" s="481">
        <v>20.441000000000003</v>
      </c>
      <c r="X92" s="481">
        <v>38.412999999999997</v>
      </c>
      <c r="Y92" s="564">
        <v>9538400.9199999999</v>
      </c>
      <c r="Z92" s="564">
        <v>7576623.6200000001</v>
      </c>
    </row>
    <row r="93" spans="1:26" s="470" customFormat="1" x14ac:dyDescent="0.2">
      <c r="A93" s="468" t="s">
        <v>273</v>
      </c>
      <c r="B93" s="468" t="s">
        <v>274</v>
      </c>
      <c r="C93" s="473" t="s">
        <v>788</v>
      </c>
      <c r="D93" s="444">
        <v>6005574069</v>
      </c>
      <c r="E93" s="444">
        <v>345131851</v>
      </c>
      <c r="F93" s="444">
        <v>5660442218</v>
      </c>
      <c r="G93" s="445">
        <v>2122197.6800000002</v>
      </c>
      <c r="H93" s="474">
        <v>27</v>
      </c>
      <c r="I93" s="474">
        <v>0</v>
      </c>
      <c r="J93" s="475">
        <v>27</v>
      </c>
      <c r="K93" s="476">
        <v>0</v>
      </c>
      <c r="L93" s="477">
        <v>0</v>
      </c>
      <c r="M93" s="476">
        <v>0</v>
      </c>
      <c r="N93" s="475">
        <v>0</v>
      </c>
      <c r="O93" s="478">
        <v>13.218</v>
      </c>
      <c r="P93" s="479">
        <v>0.27900000000000003</v>
      </c>
      <c r="Q93" s="480">
        <v>40.497000000000007</v>
      </c>
      <c r="R93" s="481">
        <v>6.91</v>
      </c>
      <c r="S93" s="481">
        <v>0</v>
      </c>
      <c r="T93" s="481">
        <v>0</v>
      </c>
      <c r="U93" s="481">
        <v>9.9629999999999992</v>
      </c>
      <c r="V93" s="481">
        <v>0</v>
      </c>
      <c r="W93" s="481">
        <v>57.370000000000012</v>
      </c>
      <c r="X93" s="481">
        <v>63.728999999999999</v>
      </c>
      <c r="Y93" s="564">
        <v>356274942.75</v>
      </c>
      <c r="Z93" s="564">
        <v>200251665.50999999</v>
      </c>
    </row>
    <row r="94" spans="1:26" s="470" customFormat="1" x14ac:dyDescent="0.2">
      <c r="A94" s="468" t="s">
        <v>276</v>
      </c>
      <c r="B94" s="468" t="s">
        <v>274</v>
      </c>
      <c r="C94" s="473" t="s">
        <v>789</v>
      </c>
      <c r="D94" s="444">
        <v>3929868802</v>
      </c>
      <c r="E94" s="444">
        <v>228062279</v>
      </c>
      <c r="F94" s="444">
        <v>3701806523</v>
      </c>
      <c r="G94" s="445">
        <v>1246223.19</v>
      </c>
      <c r="H94" s="474">
        <v>27</v>
      </c>
      <c r="I94" s="474">
        <v>0</v>
      </c>
      <c r="J94" s="475">
        <v>27</v>
      </c>
      <c r="K94" s="476">
        <v>0</v>
      </c>
      <c r="L94" s="477">
        <v>0</v>
      </c>
      <c r="M94" s="476">
        <v>0</v>
      </c>
      <c r="N94" s="475">
        <v>0</v>
      </c>
      <c r="O94" s="478">
        <v>12.05</v>
      </c>
      <c r="P94" s="479">
        <v>0.39700000000000002</v>
      </c>
      <c r="Q94" s="480">
        <v>39.446999999999996</v>
      </c>
      <c r="R94" s="481">
        <v>6.0750000000000002</v>
      </c>
      <c r="S94" s="481">
        <v>0</v>
      </c>
      <c r="T94" s="481">
        <v>0</v>
      </c>
      <c r="U94" s="481">
        <v>0</v>
      </c>
      <c r="V94" s="481">
        <v>0</v>
      </c>
      <c r="W94" s="481">
        <v>45.521999999999998</v>
      </c>
      <c r="X94" s="481">
        <v>44.939</v>
      </c>
      <c r="Y94" s="564">
        <v>159043245.46000001</v>
      </c>
      <c r="Z94" s="564">
        <v>61272201.530000001</v>
      </c>
    </row>
    <row r="95" spans="1:26" s="470" customFormat="1" x14ac:dyDescent="0.2">
      <c r="A95" s="468" t="s">
        <v>278</v>
      </c>
      <c r="B95" s="468" t="s">
        <v>274</v>
      </c>
      <c r="C95" s="473" t="s">
        <v>790</v>
      </c>
      <c r="D95" s="444">
        <v>681451781</v>
      </c>
      <c r="E95" s="444">
        <v>0</v>
      </c>
      <c r="F95" s="444">
        <v>681451781</v>
      </c>
      <c r="G95" s="445">
        <v>242198.63</v>
      </c>
      <c r="H95" s="474">
        <v>20.548999999999999</v>
      </c>
      <c r="I95" s="474">
        <v>0</v>
      </c>
      <c r="J95" s="483">
        <v>20.548999999999999</v>
      </c>
      <c r="K95" s="484">
        <v>0.84</v>
      </c>
      <c r="L95" s="485">
        <v>1.3660000000000001</v>
      </c>
      <c r="M95" s="476">
        <v>0</v>
      </c>
      <c r="N95" s="475">
        <v>0</v>
      </c>
      <c r="O95" s="478">
        <v>5.6059999999999999</v>
      </c>
      <c r="P95" s="479">
        <v>9.1999999999999998E-2</v>
      </c>
      <c r="Q95" s="480">
        <v>26.247</v>
      </c>
      <c r="R95" s="481">
        <v>2.7109999999999999</v>
      </c>
      <c r="S95" s="481">
        <v>0</v>
      </c>
      <c r="T95" s="481">
        <v>0</v>
      </c>
      <c r="U95" s="481">
        <v>0</v>
      </c>
      <c r="V95" s="481">
        <v>0</v>
      </c>
      <c r="W95" s="481">
        <v>28.957999999999998</v>
      </c>
      <c r="X95" s="481">
        <v>17.302</v>
      </c>
      <c r="Y95" s="564">
        <v>12265678.93</v>
      </c>
      <c r="Z95" s="564">
        <v>152.80000000000001</v>
      </c>
    </row>
    <row r="96" spans="1:26" s="470" customFormat="1" x14ac:dyDescent="0.2">
      <c r="A96" s="468" t="s">
        <v>280</v>
      </c>
      <c r="B96" s="468" t="s">
        <v>130</v>
      </c>
      <c r="C96" s="473" t="s">
        <v>791</v>
      </c>
      <c r="D96" s="502">
        <v>181535227</v>
      </c>
      <c r="E96" s="502">
        <v>423126</v>
      </c>
      <c r="F96" s="502">
        <v>181112101</v>
      </c>
      <c r="G96" s="502">
        <v>16221.44</v>
      </c>
      <c r="H96" s="474">
        <v>27</v>
      </c>
      <c r="I96" s="474">
        <v>9.5730000000000004</v>
      </c>
      <c r="J96" s="475">
        <v>17.427</v>
      </c>
      <c r="K96" s="476">
        <v>0</v>
      </c>
      <c r="L96" s="477">
        <v>0</v>
      </c>
      <c r="M96" s="476">
        <v>0</v>
      </c>
      <c r="N96" s="475">
        <v>0</v>
      </c>
      <c r="O96" s="478">
        <v>0</v>
      </c>
      <c r="P96" s="479">
        <v>0</v>
      </c>
      <c r="Q96" s="480">
        <v>17.427</v>
      </c>
      <c r="R96" s="481">
        <v>3.8029999999999999</v>
      </c>
      <c r="S96" s="481">
        <v>0</v>
      </c>
      <c r="T96" s="481">
        <v>0</v>
      </c>
      <c r="U96" s="481">
        <v>0</v>
      </c>
      <c r="V96" s="481">
        <v>0</v>
      </c>
      <c r="W96" s="481">
        <v>21.23</v>
      </c>
      <c r="X96" s="481">
        <v>60.686999999999998</v>
      </c>
      <c r="Y96" s="564">
        <v>10427351.99</v>
      </c>
      <c r="Z96" s="564">
        <v>7135960.0300000003</v>
      </c>
    </row>
    <row r="97" spans="1:26" s="470" customFormat="1" x14ac:dyDescent="0.2">
      <c r="A97" s="468" t="s">
        <v>282</v>
      </c>
      <c r="B97" s="468" t="s">
        <v>130</v>
      </c>
      <c r="C97" s="473" t="s">
        <v>792</v>
      </c>
      <c r="D97" s="502">
        <v>105578870</v>
      </c>
      <c r="E97" s="502">
        <v>0</v>
      </c>
      <c r="F97" s="502">
        <v>105578870</v>
      </c>
      <c r="G97" s="502">
        <v>568.80999999999995</v>
      </c>
      <c r="H97" s="474">
        <v>4.1689999999999996</v>
      </c>
      <c r="I97" s="474">
        <v>0</v>
      </c>
      <c r="J97" s="475">
        <v>4.1689999999999996</v>
      </c>
      <c r="K97" s="476">
        <v>0</v>
      </c>
      <c r="L97" s="477">
        <v>0</v>
      </c>
      <c r="M97" s="476">
        <v>0.84799999999999998</v>
      </c>
      <c r="N97" s="475">
        <v>0</v>
      </c>
      <c r="O97" s="478">
        <v>3.7719999999999998</v>
      </c>
      <c r="P97" s="479">
        <v>0</v>
      </c>
      <c r="Q97" s="480">
        <v>8.7889999999999997</v>
      </c>
      <c r="R97" s="481">
        <v>10.130000000000001</v>
      </c>
      <c r="S97" s="481">
        <v>1.5089999999999999</v>
      </c>
      <c r="T97" s="481">
        <v>0</v>
      </c>
      <c r="U97" s="481">
        <v>0</v>
      </c>
      <c r="V97" s="481">
        <v>0</v>
      </c>
      <c r="W97" s="481">
        <v>20.428000000000001</v>
      </c>
      <c r="X97" s="481">
        <v>46.609000000000002</v>
      </c>
      <c r="Y97" s="564">
        <v>3953168.6</v>
      </c>
      <c r="Z97" s="564">
        <v>3528423.19</v>
      </c>
    </row>
    <row r="98" spans="1:26" s="470" customFormat="1" x14ac:dyDescent="0.2">
      <c r="A98" s="468" t="s">
        <v>284</v>
      </c>
      <c r="B98" s="468" t="s">
        <v>130</v>
      </c>
      <c r="C98" s="473" t="s">
        <v>793</v>
      </c>
      <c r="D98" s="502">
        <v>58184214</v>
      </c>
      <c r="E98" s="502">
        <v>52297</v>
      </c>
      <c r="F98" s="502">
        <v>58131917</v>
      </c>
      <c r="G98" s="502">
        <v>48.62</v>
      </c>
      <c r="H98" s="474">
        <v>27</v>
      </c>
      <c r="I98" s="474">
        <v>0</v>
      </c>
      <c r="J98" s="475">
        <v>27</v>
      </c>
      <c r="K98" s="476">
        <v>0</v>
      </c>
      <c r="L98" s="477">
        <v>0</v>
      </c>
      <c r="M98" s="476">
        <v>0</v>
      </c>
      <c r="N98" s="475">
        <v>0</v>
      </c>
      <c r="O98" s="478">
        <v>0</v>
      </c>
      <c r="P98" s="479">
        <v>2.8000000000000001E-2</v>
      </c>
      <c r="Q98" s="480">
        <v>27.027999999999999</v>
      </c>
      <c r="R98" s="481">
        <v>4.5</v>
      </c>
      <c r="S98" s="481">
        <v>0</v>
      </c>
      <c r="T98" s="481">
        <v>0</v>
      </c>
      <c r="U98" s="481">
        <v>0</v>
      </c>
      <c r="V98" s="481">
        <v>0</v>
      </c>
      <c r="W98" s="481">
        <v>31.527999999999999</v>
      </c>
      <c r="X98" s="481">
        <v>74.290000000000006</v>
      </c>
      <c r="Y98" s="564">
        <v>4573177.63</v>
      </c>
      <c r="Z98" s="564">
        <v>2757701.5</v>
      </c>
    </row>
    <row r="99" spans="1:26" s="470" customFormat="1" x14ac:dyDescent="0.2">
      <c r="A99" s="468" t="s">
        <v>286</v>
      </c>
      <c r="B99" s="468" t="s">
        <v>130</v>
      </c>
      <c r="C99" s="473" t="s">
        <v>794</v>
      </c>
      <c r="D99" s="502">
        <v>54954084</v>
      </c>
      <c r="E99" s="502">
        <v>0</v>
      </c>
      <c r="F99" s="502">
        <v>54954084</v>
      </c>
      <c r="G99" s="502">
        <v>1164.49</v>
      </c>
      <c r="H99" s="474">
        <v>23.288</v>
      </c>
      <c r="I99" s="474">
        <v>9.7680000000000007</v>
      </c>
      <c r="J99" s="475">
        <v>13.52</v>
      </c>
      <c r="K99" s="476">
        <v>0</v>
      </c>
      <c r="L99" s="477">
        <v>0</v>
      </c>
      <c r="M99" s="476">
        <v>0.61299999999999999</v>
      </c>
      <c r="N99" s="475">
        <v>0</v>
      </c>
      <c r="O99" s="478">
        <v>0</v>
      </c>
      <c r="P99" s="479">
        <v>1E-3</v>
      </c>
      <c r="Q99" s="480">
        <v>14.133999999999999</v>
      </c>
      <c r="R99" s="481">
        <v>0</v>
      </c>
      <c r="S99" s="481">
        <v>0</v>
      </c>
      <c r="T99" s="481">
        <v>0</v>
      </c>
      <c r="U99" s="481">
        <v>0</v>
      </c>
      <c r="V99" s="481">
        <v>0</v>
      </c>
      <c r="W99" s="481">
        <v>14.133999999999999</v>
      </c>
      <c r="X99" s="481">
        <v>53.180999999999997</v>
      </c>
      <c r="Y99" s="564">
        <v>2611047.9500000002</v>
      </c>
      <c r="Z99" s="564">
        <v>1879177.83</v>
      </c>
    </row>
    <row r="100" spans="1:26" s="470" customFormat="1" x14ac:dyDescent="0.2">
      <c r="A100" s="468" t="s">
        <v>288</v>
      </c>
      <c r="B100" s="468" t="s">
        <v>130</v>
      </c>
      <c r="C100" s="473" t="s">
        <v>795</v>
      </c>
      <c r="D100" s="502">
        <v>18603765</v>
      </c>
      <c r="E100" s="502">
        <v>0</v>
      </c>
      <c r="F100" s="502">
        <v>18603765</v>
      </c>
      <c r="G100" s="502">
        <v>1460.45</v>
      </c>
      <c r="H100" s="474">
        <v>27</v>
      </c>
      <c r="I100" s="474">
        <v>2.3840000000000003</v>
      </c>
      <c r="J100" s="475">
        <v>24.616</v>
      </c>
      <c r="K100" s="476">
        <v>0</v>
      </c>
      <c r="L100" s="477">
        <v>0</v>
      </c>
      <c r="M100" s="476">
        <v>0</v>
      </c>
      <c r="N100" s="475">
        <v>0</v>
      </c>
      <c r="O100" s="478">
        <v>6.64</v>
      </c>
      <c r="P100" s="479">
        <v>0</v>
      </c>
      <c r="Q100" s="480">
        <v>27.256</v>
      </c>
      <c r="R100" s="481">
        <v>0</v>
      </c>
      <c r="S100" s="481">
        <v>0</v>
      </c>
      <c r="T100" s="481">
        <v>0</v>
      </c>
      <c r="U100" s="481">
        <v>0</v>
      </c>
      <c r="V100" s="481">
        <v>0</v>
      </c>
      <c r="W100" s="481">
        <v>27.256</v>
      </c>
      <c r="X100" s="481">
        <v>279.38900000000001</v>
      </c>
      <c r="Y100" s="564">
        <v>5594151.4299999997</v>
      </c>
      <c r="Z100" s="564">
        <v>5052160.41</v>
      </c>
    </row>
    <row r="101" spans="1:26" s="470" customFormat="1" x14ac:dyDescent="0.2">
      <c r="A101" s="468" t="s">
        <v>290</v>
      </c>
      <c r="B101" s="468" t="s">
        <v>130</v>
      </c>
      <c r="C101" s="473" t="s">
        <v>796</v>
      </c>
      <c r="D101" s="502">
        <v>35591520</v>
      </c>
      <c r="E101" s="502">
        <v>0</v>
      </c>
      <c r="F101" s="502">
        <v>35591520</v>
      </c>
      <c r="G101" s="502">
        <v>532.74</v>
      </c>
      <c r="H101" s="474">
        <v>27</v>
      </c>
      <c r="I101" s="474">
        <v>11.021000000000001</v>
      </c>
      <c r="J101" s="475">
        <v>15.978999999999999</v>
      </c>
      <c r="K101" s="476">
        <v>0</v>
      </c>
      <c r="L101" s="477">
        <v>0</v>
      </c>
      <c r="M101" s="476">
        <v>1.03</v>
      </c>
      <c r="N101" s="475">
        <v>0</v>
      </c>
      <c r="O101" s="478">
        <v>6.2359999999999998</v>
      </c>
      <c r="P101" s="479">
        <v>0</v>
      </c>
      <c r="Q101" s="480">
        <v>23.245000000000001</v>
      </c>
      <c r="R101" s="481">
        <v>8.3550000000000004</v>
      </c>
      <c r="S101" s="481">
        <v>0</v>
      </c>
      <c r="T101" s="481">
        <v>0</v>
      </c>
      <c r="U101" s="481">
        <v>0</v>
      </c>
      <c r="V101" s="481">
        <v>0</v>
      </c>
      <c r="W101" s="481">
        <v>31.6</v>
      </c>
      <c r="X101" s="481">
        <v>43.607999999999997</v>
      </c>
      <c r="Y101" s="564">
        <v>1227614.3899999999</v>
      </c>
      <c r="Z101" s="564">
        <v>751364.48</v>
      </c>
    </row>
    <row r="102" spans="1:26" s="470" customFormat="1" x14ac:dyDescent="0.2">
      <c r="A102" s="468" t="s">
        <v>292</v>
      </c>
      <c r="B102" s="468" t="s">
        <v>293</v>
      </c>
      <c r="C102" s="473" t="s">
        <v>797</v>
      </c>
      <c r="D102" s="444">
        <v>72253232</v>
      </c>
      <c r="E102" s="444">
        <v>0</v>
      </c>
      <c r="F102" s="444">
        <v>72253232</v>
      </c>
      <c r="G102" s="445">
        <v>2075.56</v>
      </c>
      <c r="H102" s="474">
        <v>17.379000000000001</v>
      </c>
      <c r="I102" s="474">
        <v>0</v>
      </c>
      <c r="J102" s="475">
        <v>17.379000000000001</v>
      </c>
      <c r="K102" s="476">
        <v>0</v>
      </c>
      <c r="L102" s="477">
        <v>0</v>
      </c>
      <c r="M102" s="476">
        <v>0</v>
      </c>
      <c r="N102" s="475">
        <v>0</v>
      </c>
      <c r="O102" s="478">
        <v>0</v>
      </c>
      <c r="P102" s="479">
        <v>0</v>
      </c>
      <c r="Q102" s="480">
        <v>17.379000000000001</v>
      </c>
      <c r="R102" s="481">
        <v>7.2679999999999998</v>
      </c>
      <c r="S102" s="481">
        <v>0</v>
      </c>
      <c r="T102" s="481">
        <v>0</v>
      </c>
      <c r="U102" s="481">
        <v>0</v>
      </c>
      <c r="V102" s="481">
        <v>0</v>
      </c>
      <c r="W102" s="481">
        <v>24.647000000000002</v>
      </c>
      <c r="X102" s="481">
        <v>54.816000000000003</v>
      </c>
      <c r="Y102" s="564">
        <v>3853883.18</v>
      </c>
      <c r="Z102" s="564">
        <v>2511547.5499999998</v>
      </c>
    </row>
    <row r="103" spans="1:26" s="470" customFormat="1" x14ac:dyDescent="0.2">
      <c r="A103" s="468" t="s">
        <v>295</v>
      </c>
      <c r="B103" s="468" t="s">
        <v>293</v>
      </c>
      <c r="C103" s="473" t="s">
        <v>798</v>
      </c>
      <c r="D103" s="444">
        <v>90889818</v>
      </c>
      <c r="E103" s="444">
        <v>0</v>
      </c>
      <c r="F103" s="444">
        <v>90889818</v>
      </c>
      <c r="G103" s="445">
        <v>5041.1399999999994</v>
      </c>
      <c r="H103" s="474">
        <v>27</v>
      </c>
      <c r="I103" s="474">
        <v>0.17600000000000016</v>
      </c>
      <c r="J103" s="475">
        <v>26.823999999999998</v>
      </c>
      <c r="K103" s="476">
        <v>0</v>
      </c>
      <c r="L103" s="477">
        <v>0</v>
      </c>
      <c r="M103" s="476">
        <v>0</v>
      </c>
      <c r="N103" s="475">
        <v>0</v>
      </c>
      <c r="O103" s="478">
        <v>0</v>
      </c>
      <c r="P103" s="479">
        <v>0.155</v>
      </c>
      <c r="Q103" s="480">
        <v>26.979000000000003</v>
      </c>
      <c r="R103" s="481">
        <v>6.5110000000000001</v>
      </c>
      <c r="S103" s="481">
        <v>0</v>
      </c>
      <c r="T103" s="481">
        <v>0</v>
      </c>
      <c r="U103" s="481">
        <v>0</v>
      </c>
      <c r="V103" s="481">
        <v>0</v>
      </c>
      <c r="W103" s="481">
        <v>33.49</v>
      </c>
      <c r="X103" s="481">
        <v>67.16</v>
      </c>
      <c r="Y103" s="564">
        <v>6307064.4500000002</v>
      </c>
      <c r="Z103" s="564">
        <v>3645869.74</v>
      </c>
    </row>
    <row r="104" spans="1:26" s="470" customFormat="1" x14ac:dyDescent="0.2">
      <c r="A104" s="468" t="s">
        <v>297</v>
      </c>
      <c r="B104" s="468" t="s">
        <v>293</v>
      </c>
      <c r="C104" s="473" t="s">
        <v>799</v>
      </c>
      <c r="D104" s="444">
        <v>7076095</v>
      </c>
      <c r="E104" s="444">
        <v>0</v>
      </c>
      <c r="F104" s="444">
        <v>7076095</v>
      </c>
      <c r="G104" s="445">
        <v>0</v>
      </c>
      <c r="H104" s="474">
        <v>27</v>
      </c>
      <c r="I104" s="474">
        <v>0</v>
      </c>
      <c r="J104" s="475">
        <v>27</v>
      </c>
      <c r="K104" s="476">
        <v>0</v>
      </c>
      <c r="L104" s="477">
        <v>0</v>
      </c>
      <c r="M104" s="476">
        <v>0</v>
      </c>
      <c r="N104" s="475">
        <v>0</v>
      </c>
      <c r="O104" s="478">
        <v>0</v>
      </c>
      <c r="P104" s="479">
        <v>0</v>
      </c>
      <c r="Q104" s="480">
        <v>27</v>
      </c>
      <c r="R104" s="481">
        <v>0</v>
      </c>
      <c r="S104" s="481">
        <v>0</v>
      </c>
      <c r="T104" s="481">
        <v>0</v>
      </c>
      <c r="U104" s="481">
        <v>0</v>
      </c>
      <c r="V104" s="481">
        <v>0</v>
      </c>
      <c r="W104" s="481">
        <v>27</v>
      </c>
      <c r="X104" s="481">
        <v>181.65100000000001</v>
      </c>
      <c r="Y104" s="564">
        <v>1293992.79</v>
      </c>
      <c r="Z104" s="564">
        <v>1083806.2</v>
      </c>
    </row>
    <row r="105" spans="1:26" s="470" customFormat="1" x14ac:dyDescent="0.2">
      <c r="A105" s="468" t="s">
        <v>299</v>
      </c>
      <c r="B105" s="468" t="s">
        <v>300</v>
      </c>
      <c r="C105" s="473" t="s">
        <v>800</v>
      </c>
      <c r="D105" s="444">
        <v>283875043</v>
      </c>
      <c r="E105" s="444">
        <v>9413420</v>
      </c>
      <c r="F105" s="444">
        <v>274461623</v>
      </c>
      <c r="G105" s="445">
        <v>0</v>
      </c>
      <c r="H105" s="474">
        <v>27</v>
      </c>
      <c r="I105" s="474">
        <v>0</v>
      </c>
      <c r="J105" s="475">
        <v>27</v>
      </c>
      <c r="K105" s="476">
        <v>0</v>
      </c>
      <c r="L105" s="477">
        <v>0</v>
      </c>
      <c r="M105" s="476">
        <v>0</v>
      </c>
      <c r="N105" s="475">
        <v>0</v>
      </c>
      <c r="O105" s="478">
        <v>2.1589999999999998</v>
      </c>
      <c r="P105" s="479">
        <v>0</v>
      </c>
      <c r="Q105" s="480">
        <v>29.158999999999999</v>
      </c>
      <c r="R105" s="481">
        <v>1.6779999999999999</v>
      </c>
      <c r="S105" s="481">
        <v>0</v>
      </c>
      <c r="T105" s="481">
        <v>0</v>
      </c>
      <c r="U105" s="481">
        <v>0</v>
      </c>
      <c r="V105" s="481">
        <v>0</v>
      </c>
      <c r="W105" s="481">
        <v>30.837</v>
      </c>
      <c r="X105" s="481">
        <v>75.001999999999995</v>
      </c>
      <c r="Y105" s="564">
        <v>21237397.309999999</v>
      </c>
      <c r="Z105" s="564">
        <v>13106392.74</v>
      </c>
    </row>
    <row r="106" spans="1:26" s="470" customFormat="1" x14ac:dyDescent="0.2">
      <c r="A106" s="468" t="s">
        <v>302</v>
      </c>
      <c r="B106" s="468" t="s">
        <v>300</v>
      </c>
      <c r="C106" s="473" t="s">
        <v>801</v>
      </c>
      <c r="D106" s="444">
        <v>50159474</v>
      </c>
      <c r="E106" s="444">
        <v>0</v>
      </c>
      <c r="F106" s="444">
        <v>50159474</v>
      </c>
      <c r="G106" s="445">
        <v>0</v>
      </c>
      <c r="H106" s="474">
        <v>27</v>
      </c>
      <c r="I106" s="474">
        <v>0</v>
      </c>
      <c r="J106" s="475">
        <v>27</v>
      </c>
      <c r="K106" s="476">
        <v>0</v>
      </c>
      <c r="L106" s="477">
        <v>0</v>
      </c>
      <c r="M106" s="476">
        <v>0.38900000000000001</v>
      </c>
      <c r="N106" s="475">
        <v>0</v>
      </c>
      <c r="O106" s="478">
        <v>0.752</v>
      </c>
      <c r="P106" s="479">
        <v>0</v>
      </c>
      <c r="Q106" s="480">
        <v>28.140999999999998</v>
      </c>
      <c r="R106" s="481">
        <v>0</v>
      </c>
      <c r="S106" s="481">
        <v>0</v>
      </c>
      <c r="T106" s="481">
        <v>0</v>
      </c>
      <c r="U106" s="481">
        <v>0</v>
      </c>
      <c r="V106" s="481">
        <v>0</v>
      </c>
      <c r="W106" s="481">
        <v>28.140999999999998</v>
      </c>
      <c r="X106" s="481">
        <v>72.256</v>
      </c>
      <c r="Y106" s="564">
        <v>3787868.91</v>
      </c>
      <c r="Z106" s="564">
        <v>2271490.91</v>
      </c>
    </row>
    <row r="107" spans="1:26" s="470" customFormat="1" x14ac:dyDescent="0.2">
      <c r="A107" s="468" t="s">
        <v>304</v>
      </c>
      <c r="B107" s="468" t="s">
        <v>300</v>
      </c>
      <c r="C107" s="473" t="s">
        <v>802</v>
      </c>
      <c r="D107" s="444">
        <v>46233279</v>
      </c>
      <c r="E107" s="444">
        <v>0</v>
      </c>
      <c r="F107" s="444">
        <v>46233279</v>
      </c>
      <c r="G107" s="445">
        <v>154.97999999999999</v>
      </c>
      <c r="H107" s="474">
        <v>27</v>
      </c>
      <c r="I107" s="474">
        <v>0</v>
      </c>
      <c r="J107" s="475">
        <v>27</v>
      </c>
      <c r="K107" s="476">
        <v>0</v>
      </c>
      <c r="L107" s="477">
        <v>0</v>
      </c>
      <c r="M107" s="476">
        <v>0</v>
      </c>
      <c r="N107" s="475">
        <v>0</v>
      </c>
      <c r="O107" s="478">
        <v>0</v>
      </c>
      <c r="P107" s="479">
        <v>1.2E-2</v>
      </c>
      <c r="Q107" s="480">
        <v>27.012</v>
      </c>
      <c r="R107" s="481">
        <v>3.6139999999999999</v>
      </c>
      <c r="S107" s="481">
        <v>0</v>
      </c>
      <c r="T107" s="481">
        <v>0</v>
      </c>
      <c r="U107" s="481">
        <v>0</v>
      </c>
      <c r="V107" s="481">
        <v>0</v>
      </c>
      <c r="W107" s="481">
        <v>30.626000000000001</v>
      </c>
      <c r="X107" s="481">
        <v>96.528999999999996</v>
      </c>
      <c r="Y107" s="564">
        <v>4922881.78</v>
      </c>
      <c r="Z107" s="564">
        <v>3456532.89</v>
      </c>
    </row>
    <row r="108" spans="1:26" s="470" customFormat="1" x14ac:dyDescent="0.2">
      <c r="A108" s="468" t="s">
        <v>306</v>
      </c>
      <c r="B108" s="468" t="s">
        <v>300</v>
      </c>
      <c r="C108" s="473" t="s">
        <v>803</v>
      </c>
      <c r="D108" s="444">
        <v>59271678</v>
      </c>
      <c r="E108" s="444">
        <v>0</v>
      </c>
      <c r="F108" s="444">
        <v>59271678</v>
      </c>
      <c r="G108" s="445">
        <v>0</v>
      </c>
      <c r="H108" s="474">
        <v>25.81</v>
      </c>
      <c r="I108" s="474">
        <v>3.3920000000000003</v>
      </c>
      <c r="J108" s="475">
        <v>22.417999999999999</v>
      </c>
      <c r="K108" s="476">
        <v>0</v>
      </c>
      <c r="L108" s="477">
        <v>0</v>
      </c>
      <c r="M108" s="476">
        <v>0</v>
      </c>
      <c r="N108" s="475">
        <v>0</v>
      </c>
      <c r="O108" s="478">
        <v>8.016</v>
      </c>
      <c r="P108" s="479">
        <v>0</v>
      </c>
      <c r="Q108" s="480">
        <v>30.433999999999997</v>
      </c>
      <c r="R108" s="481">
        <v>15.526999999999999</v>
      </c>
      <c r="S108" s="481">
        <v>0</v>
      </c>
      <c r="T108" s="481">
        <v>0</v>
      </c>
      <c r="U108" s="481">
        <v>0</v>
      </c>
      <c r="V108" s="481">
        <v>0</v>
      </c>
      <c r="W108" s="481">
        <v>45.960999999999999</v>
      </c>
      <c r="X108" s="481">
        <v>62.643000000000001</v>
      </c>
      <c r="Y108" s="564">
        <v>3700914.36</v>
      </c>
      <c r="Z108" s="564">
        <v>2275574.9900000002</v>
      </c>
    </row>
    <row r="109" spans="1:26" s="470" customFormat="1" x14ac:dyDescent="0.2">
      <c r="A109" s="468" t="s">
        <v>308</v>
      </c>
      <c r="B109" s="468" t="s">
        <v>309</v>
      </c>
      <c r="C109" s="473" t="s">
        <v>804</v>
      </c>
      <c r="D109" s="444">
        <v>218586860</v>
      </c>
      <c r="E109" s="444">
        <v>0</v>
      </c>
      <c r="F109" s="444">
        <v>218586860</v>
      </c>
      <c r="G109" s="445">
        <v>479.43</v>
      </c>
      <c r="H109" s="474">
        <v>3.43</v>
      </c>
      <c r="I109" s="474">
        <v>0</v>
      </c>
      <c r="J109" s="475">
        <v>3.43</v>
      </c>
      <c r="K109" s="476">
        <v>0</v>
      </c>
      <c r="L109" s="477">
        <v>0</v>
      </c>
      <c r="M109" s="476">
        <v>1.9E-2</v>
      </c>
      <c r="N109" s="475">
        <v>0</v>
      </c>
      <c r="O109" s="478">
        <v>0</v>
      </c>
      <c r="P109" s="479">
        <v>1E-3</v>
      </c>
      <c r="Q109" s="480">
        <v>3.45</v>
      </c>
      <c r="R109" s="481">
        <v>3.9350000000000001</v>
      </c>
      <c r="S109" s="481">
        <v>0</v>
      </c>
      <c r="T109" s="481">
        <v>0</v>
      </c>
      <c r="U109" s="481">
        <v>0</v>
      </c>
      <c r="V109" s="481">
        <v>0</v>
      </c>
      <c r="W109" s="481">
        <v>7.3849999999999998</v>
      </c>
      <c r="X109" s="481">
        <v>14.298999999999999</v>
      </c>
      <c r="Y109" s="564">
        <v>3606759.77</v>
      </c>
      <c r="Z109" s="564">
        <v>2675199.16</v>
      </c>
    </row>
    <row r="110" spans="1:26" s="470" customFormat="1" x14ac:dyDescent="0.2">
      <c r="A110" s="468" t="s">
        <v>311</v>
      </c>
      <c r="B110" s="468" t="s">
        <v>309</v>
      </c>
      <c r="C110" s="473" t="s">
        <v>805</v>
      </c>
      <c r="D110" s="444">
        <v>202510</v>
      </c>
      <c r="E110" s="444">
        <v>0</v>
      </c>
      <c r="F110" s="444">
        <v>202510</v>
      </c>
      <c r="G110" s="445">
        <v>0</v>
      </c>
      <c r="H110" s="474">
        <v>11.895</v>
      </c>
      <c r="I110" s="474">
        <v>0</v>
      </c>
      <c r="J110" s="475">
        <v>11.895</v>
      </c>
      <c r="K110" s="476">
        <v>0</v>
      </c>
      <c r="L110" s="477">
        <v>0</v>
      </c>
      <c r="M110" s="476">
        <v>0</v>
      </c>
      <c r="N110" s="475">
        <v>0</v>
      </c>
      <c r="O110" s="478">
        <v>2.0329999999999999</v>
      </c>
      <c r="P110" s="479">
        <v>0</v>
      </c>
      <c r="Q110" s="480">
        <v>13.927999999999999</v>
      </c>
      <c r="R110" s="481">
        <v>16.399000000000001</v>
      </c>
      <c r="S110" s="481">
        <v>2.5999999999999999E-2</v>
      </c>
      <c r="T110" s="481">
        <v>0</v>
      </c>
      <c r="U110" s="481">
        <v>0</v>
      </c>
      <c r="V110" s="481">
        <v>0</v>
      </c>
      <c r="W110" s="481">
        <v>30.352999999999998</v>
      </c>
      <c r="X110" s="481">
        <v>27.437000000000001</v>
      </c>
      <c r="Y110" s="564">
        <v>4664669.05</v>
      </c>
      <c r="Z110" s="564">
        <v>2511881.04</v>
      </c>
    </row>
    <row r="111" spans="1:26" s="470" customFormat="1" x14ac:dyDescent="0.2">
      <c r="A111" s="468" t="s">
        <v>313</v>
      </c>
      <c r="B111" s="468" t="s">
        <v>309</v>
      </c>
      <c r="C111" s="473" t="s">
        <v>806</v>
      </c>
      <c r="D111" s="444">
        <v>3049041640</v>
      </c>
      <c r="E111" s="444">
        <v>34299630</v>
      </c>
      <c r="F111" s="444">
        <v>3014742010</v>
      </c>
      <c r="G111" s="445">
        <v>378379.57</v>
      </c>
      <c r="H111" s="474">
        <v>27</v>
      </c>
      <c r="I111" s="474">
        <v>0</v>
      </c>
      <c r="J111" s="475">
        <v>27</v>
      </c>
      <c r="K111" s="476">
        <v>0</v>
      </c>
      <c r="L111" s="477">
        <v>0</v>
      </c>
      <c r="M111" s="476">
        <v>0</v>
      </c>
      <c r="N111" s="475">
        <v>0</v>
      </c>
      <c r="O111" s="478">
        <v>6.6639999999999997</v>
      </c>
      <c r="P111" s="479">
        <v>8.7999999999999995E-2</v>
      </c>
      <c r="Q111" s="480">
        <v>33.752000000000002</v>
      </c>
      <c r="R111" s="481">
        <v>11.324999999999999</v>
      </c>
      <c r="S111" s="481">
        <v>0</v>
      </c>
      <c r="T111" s="481">
        <v>0</v>
      </c>
      <c r="U111" s="481">
        <v>0</v>
      </c>
      <c r="V111" s="481">
        <v>0</v>
      </c>
      <c r="W111" s="481">
        <v>45.076999999999998</v>
      </c>
      <c r="X111" s="481">
        <v>71.03</v>
      </c>
      <c r="Y111" s="564">
        <v>230009152.87</v>
      </c>
      <c r="Z111" s="564">
        <v>137661635.94999999</v>
      </c>
    </row>
    <row r="112" spans="1:26" s="470" customFormat="1" x14ac:dyDescent="0.2">
      <c r="A112" s="468" t="s">
        <v>315</v>
      </c>
      <c r="B112" s="468" t="s">
        <v>316</v>
      </c>
      <c r="C112" s="473" t="s">
        <v>807</v>
      </c>
      <c r="D112" s="444">
        <v>72723413</v>
      </c>
      <c r="E112" s="444">
        <v>0</v>
      </c>
      <c r="F112" s="444">
        <v>72723413</v>
      </c>
      <c r="G112" s="445">
        <v>4565.71</v>
      </c>
      <c r="H112" s="474">
        <v>27</v>
      </c>
      <c r="I112" s="474">
        <v>1.5470000000000002</v>
      </c>
      <c r="J112" s="475">
        <v>25.452999999999999</v>
      </c>
      <c r="K112" s="476">
        <v>0</v>
      </c>
      <c r="L112" s="477">
        <v>0</v>
      </c>
      <c r="M112" s="476">
        <v>0</v>
      </c>
      <c r="N112" s="475">
        <v>0</v>
      </c>
      <c r="O112" s="478">
        <v>1.256</v>
      </c>
      <c r="P112" s="479">
        <v>0</v>
      </c>
      <c r="Q112" s="480">
        <v>26.709</v>
      </c>
      <c r="R112" s="481">
        <v>9.327</v>
      </c>
      <c r="S112" s="481">
        <v>0</v>
      </c>
      <c r="T112" s="481">
        <v>0</v>
      </c>
      <c r="U112" s="481">
        <v>0</v>
      </c>
      <c r="V112" s="481">
        <v>0</v>
      </c>
      <c r="W112" s="481">
        <v>36.036000000000001</v>
      </c>
      <c r="X112" s="481">
        <v>32.752000000000002</v>
      </c>
      <c r="Y112" s="564">
        <v>2245170.21</v>
      </c>
      <c r="Z112" s="564">
        <v>468616.3</v>
      </c>
    </row>
    <row r="113" spans="1:26" s="470" customFormat="1" x14ac:dyDescent="0.2">
      <c r="A113" s="468" t="s">
        <v>318</v>
      </c>
      <c r="B113" s="468" t="s">
        <v>319</v>
      </c>
      <c r="C113" s="473" t="s">
        <v>808</v>
      </c>
      <c r="D113" s="502">
        <v>439356951</v>
      </c>
      <c r="E113" s="502">
        <v>0</v>
      </c>
      <c r="F113" s="502">
        <v>439356951</v>
      </c>
      <c r="G113" s="502">
        <v>155147.04</v>
      </c>
      <c r="H113" s="474">
        <v>27</v>
      </c>
      <c r="I113" s="474">
        <v>1.484</v>
      </c>
      <c r="J113" s="475">
        <v>25.515999999999998</v>
      </c>
      <c r="K113" s="476">
        <v>0</v>
      </c>
      <c r="L113" s="477">
        <v>0</v>
      </c>
      <c r="M113" s="476">
        <v>0.69699999999999995</v>
      </c>
      <c r="N113" s="475">
        <v>0</v>
      </c>
      <c r="O113" s="478">
        <v>4.7670000000000003</v>
      </c>
      <c r="P113" s="479">
        <v>0.219</v>
      </c>
      <c r="Q113" s="480">
        <v>31.198999999999998</v>
      </c>
      <c r="R113" s="481">
        <v>6.5270000000000001</v>
      </c>
      <c r="S113" s="481">
        <v>0</v>
      </c>
      <c r="T113" s="481">
        <v>0</v>
      </c>
      <c r="U113" s="481">
        <v>0</v>
      </c>
      <c r="V113" s="481">
        <v>0</v>
      </c>
      <c r="W113" s="481">
        <v>37.725999999999999</v>
      </c>
      <c r="X113" s="481">
        <v>49.728000000000002</v>
      </c>
      <c r="Y113" s="564">
        <v>21129919.309999999</v>
      </c>
      <c r="Z113" s="564">
        <v>9814081.1899999995</v>
      </c>
    </row>
    <row r="114" spans="1:26" s="470" customFormat="1" x14ac:dyDescent="0.2">
      <c r="A114" s="468" t="s">
        <v>320</v>
      </c>
      <c r="B114" s="468" t="s">
        <v>321</v>
      </c>
      <c r="C114" s="473" t="s">
        <v>809</v>
      </c>
      <c r="D114" s="444">
        <v>570302780</v>
      </c>
      <c r="E114" s="444">
        <v>0</v>
      </c>
      <c r="F114" s="444">
        <v>570302780</v>
      </c>
      <c r="G114" s="445">
        <v>39455.730000000003</v>
      </c>
      <c r="H114" s="474">
        <v>27</v>
      </c>
      <c r="I114" s="474">
        <v>3.1550000000000002</v>
      </c>
      <c r="J114" s="475">
        <v>23.844999999999999</v>
      </c>
      <c r="K114" s="476">
        <v>0</v>
      </c>
      <c r="L114" s="477">
        <v>0</v>
      </c>
      <c r="M114" s="476">
        <v>0</v>
      </c>
      <c r="N114" s="475">
        <v>0</v>
      </c>
      <c r="O114" s="478">
        <v>3.9</v>
      </c>
      <c r="P114" s="479">
        <v>0</v>
      </c>
      <c r="Q114" s="480">
        <v>27.744999999999997</v>
      </c>
      <c r="R114" s="481">
        <v>0</v>
      </c>
      <c r="S114" s="481">
        <v>0</v>
      </c>
      <c r="T114" s="481">
        <v>0</v>
      </c>
      <c r="U114" s="481">
        <v>0</v>
      </c>
      <c r="V114" s="481">
        <v>0</v>
      </c>
      <c r="W114" s="481">
        <v>27.744999999999997</v>
      </c>
      <c r="X114" s="481">
        <v>48.613</v>
      </c>
      <c r="Y114" s="564">
        <v>28542301.57</v>
      </c>
      <c r="Z114" s="564">
        <v>13872577.58</v>
      </c>
    </row>
    <row r="115" spans="1:26" s="470" customFormat="1" x14ac:dyDescent="0.2">
      <c r="A115" s="468" t="s">
        <v>322</v>
      </c>
      <c r="B115" s="468" t="s">
        <v>321</v>
      </c>
      <c r="C115" s="473" t="s">
        <v>810</v>
      </c>
      <c r="D115" s="444">
        <v>82842759</v>
      </c>
      <c r="E115" s="444">
        <v>0</v>
      </c>
      <c r="F115" s="444">
        <v>82842759</v>
      </c>
      <c r="G115" s="445">
        <v>21659.73</v>
      </c>
      <c r="H115" s="474">
        <v>27</v>
      </c>
      <c r="I115" s="474">
        <v>1.117</v>
      </c>
      <c r="J115" s="475">
        <v>25.882999999999999</v>
      </c>
      <c r="K115" s="476">
        <v>0</v>
      </c>
      <c r="L115" s="477">
        <v>0</v>
      </c>
      <c r="M115" s="476">
        <v>0</v>
      </c>
      <c r="N115" s="475">
        <v>0</v>
      </c>
      <c r="O115" s="478">
        <v>5.6589999999999998</v>
      </c>
      <c r="P115" s="479">
        <v>0.10299999999999999</v>
      </c>
      <c r="Q115" s="480">
        <v>31.645</v>
      </c>
      <c r="R115" s="481">
        <v>3.694</v>
      </c>
      <c r="S115" s="481">
        <v>0</v>
      </c>
      <c r="T115" s="481">
        <v>0</v>
      </c>
      <c r="U115" s="481">
        <v>0</v>
      </c>
      <c r="V115" s="481">
        <v>0</v>
      </c>
      <c r="W115" s="481">
        <v>35.338999999999999</v>
      </c>
      <c r="X115" s="481">
        <v>108.624</v>
      </c>
      <c r="Y115" s="564">
        <v>8361117.5199999996</v>
      </c>
      <c r="Z115" s="564">
        <v>6244400.8499999996</v>
      </c>
    </row>
    <row r="116" spans="1:26" s="470" customFormat="1" x14ac:dyDescent="0.2">
      <c r="A116" s="468" t="s">
        <v>323</v>
      </c>
      <c r="B116" s="468" t="s">
        <v>321</v>
      </c>
      <c r="C116" s="473" t="s">
        <v>811</v>
      </c>
      <c r="D116" s="444">
        <v>75572391</v>
      </c>
      <c r="E116" s="444">
        <v>0</v>
      </c>
      <c r="F116" s="444">
        <v>75572391</v>
      </c>
      <c r="G116" s="445">
        <v>33889.25</v>
      </c>
      <c r="H116" s="474">
        <v>27</v>
      </c>
      <c r="I116" s="474">
        <v>6.3420000000000005</v>
      </c>
      <c r="J116" s="475">
        <v>20.658000000000001</v>
      </c>
      <c r="K116" s="476">
        <v>0</v>
      </c>
      <c r="L116" s="477">
        <v>0</v>
      </c>
      <c r="M116" s="476">
        <v>0</v>
      </c>
      <c r="N116" s="475">
        <v>0</v>
      </c>
      <c r="O116" s="478">
        <v>1.0309999999999999</v>
      </c>
      <c r="P116" s="479">
        <v>7.0999999999999994E-2</v>
      </c>
      <c r="Q116" s="480">
        <v>21.76</v>
      </c>
      <c r="R116" s="481">
        <v>6.6859999999999999</v>
      </c>
      <c r="S116" s="481">
        <v>0</v>
      </c>
      <c r="T116" s="481">
        <v>0</v>
      </c>
      <c r="U116" s="481">
        <v>0</v>
      </c>
      <c r="V116" s="481">
        <v>0</v>
      </c>
      <c r="W116" s="481">
        <v>28.446000000000002</v>
      </c>
      <c r="X116" s="481">
        <v>94.272000000000006</v>
      </c>
      <c r="Y116" s="564">
        <v>6478268.9800000004</v>
      </c>
      <c r="Z116" s="564">
        <v>4988218.99</v>
      </c>
    </row>
    <row r="117" spans="1:26" s="470" customFormat="1" x14ac:dyDescent="0.2">
      <c r="A117" s="468" t="s">
        <v>325</v>
      </c>
      <c r="B117" s="468" t="s">
        <v>326</v>
      </c>
      <c r="C117" s="473" t="s">
        <v>812</v>
      </c>
      <c r="D117" s="444">
        <v>1013651848</v>
      </c>
      <c r="E117" s="444">
        <v>18485132</v>
      </c>
      <c r="F117" s="444">
        <v>995166716</v>
      </c>
      <c r="G117" s="445">
        <v>64002.119999999988</v>
      </c>
      <c r="H117" s="474">
        <v>27</v>
      </c>
      <c r="I117" s="474">
        <v>3.2999999999999918E-2</v>
      </c>
      <c r="J117" s="475">
        <v>26.966999999999999</v>
      </c>
      <c r="K117" s="476">
        <v>0</v>
      </c>
      <c r="L117" s="477">
        <v>0</v>
      </c>
      <c r="M117" s="476">
        <v>0</v>
      </c>
      <c r="N117" s="475">
        <v>0</v>
      </c>
      <c r="O117" s="478">
        <v>0</v>
      </c>
      <c r="P117" s="479">
        <v>7.9000000000000001E-2</v>
      </c>
      <c r="Q117" s="480">
        <v>27.045999999999999</v>
      </c>
      <c r="R117" s="481">
        <v>2.2919999999999998</v>
      </c>
      <c r="S117" s="481">
        <v>0</v>
      </c>
      <c r="T117" s="481">
        <v>0</v>
      </c>
      <c r="U117" s="481">
        <v>0</v>
      </c>
      <c r="V117" s="481">
        <v>0</v>
      </c>
      <c r="W117" s="481">
        <v>29.338000000000001</v>
      </c>
      <c r="X117" s="481">
        <v>67.644000000000005</v>
      </c>
      <c r="Y117" s="564">
        <v>67847459.400000006</v>
      </c>
      <c r="Z117" s="564">
        <v>39173232.789999999</v>
      </c>
    </row>
    <row r="118" spans="1:26" s="470" customFormat="1" x14ac:dyDescent="0.2">
      <c r="A118" s="468" t="s">
        <v>327</v>
      </c>
      <c r="B118" s="468" t="s">
        <v>326</v>
      </c>
      <c r="C118" s="473" t="s">
        <v>813</v>
      </c>
      <c r="D118" s="444">
        <v>31661825</v>
      </c>
      <c r="E118" s="444">
        <v>0</v>
      </c>
      <c r="F118" s="444">
        <v>31661825</v>
      </c>
      <c r="G118" s="445">
        <v>5470.75</v>
      </c>
      <c r="H118" s="474">
        <v>27</v>
      </c>
      <c r="I118" s="474">
        <v>2.101</v>
      </c>
      <c r="J118" s="475">
        <v>24.899000000000001</v>
      </c>
      <c r="K118" s="476">
        <v>0</v>
      </c>
      <c r="L118" s="477">
        <v>0</v>
      </c>
      <c r="M118" s="476">
        <v>0</v>
      </c>
      <c r="N118" s="475">
        <v>0</v>
      </c>
      <c r="O118" s="478">
        <v>9.9290000000000003</v>
      </c>
      <c r="P118" s="479">
        <v>9.6000000000000002E-2</v>
      </c>
      <c r="Q118" s="480">
        <v>34.923999999999999</v>
      </c>
      <c r="R118" s="481">
        <v>2.129</v>
      </c>
      <c r="S118" s="481">
        <v>0</v>
      </c>
      <c r="T118" s="481">
        <v>0</v>
      </c>
      <c r="U118" s="481">
        <v>0</v>
      </c>
      <c r="V118" s="481">
        <v>0</v>
      </c>
      <c r="W118" s="481">
        <v>37.052999999999997</v>
      </c>
      <c r="X118" s="481">
        <v>145.80099999999999</v>
      </c>
      <c r="Y118" s="564">
        <v>4485116.38</v>
      </c>
      <c r="Z118" s="564">
        <v>3652213.38</v>
      </c>
    </row>
    <row r="119" spans="1:26" s="470" customFormat="1" x14ac:dyDescent="0.2">
      <c r="A119" s="468" t="s">
        <v>329</v>
      </c>
      <c r="B119" s="468" t="s">
        <v>330</v>
      </c>
      <c r="C119" s="473" t="s">
        <v>814</v>
      </c>
      <c r="D119" s="444">
        <v>272538408</v>
      </c>
      <c r="E119" s="444">
        <v>0</v>
      </c>
      <c r="F119" s="444">
        <v>272538408</v>
      </c>
      <c r="G119" s="445">
        <v>37707.159999999996</v>
      </c>
      <c r="H119" s="474">
        <v>27</v>
      </c>
      <c r="I119" s="474">
        <v>0</v>
      </c>
      <c r="J119" s="475">
        <v>27</v>
      </c>
      <c r="K119" s="476">
        <v>0</v>
      </c>
      <c r="L119" s="477">
        <v>0</v>
      </c>
      <c r="M119" s="476">
        <v>0</v>
      </c>
      <c r="N119" s="475">
        <v>0</v>
      </c>
      <c r="O119" s="478">
        <v>9.1739999999999995</v>
      </c>
      <c r="P119" s="479">
        <v>0.22600000000000001</v>
      </c>
      <c r="Q119" s="480">
        <v>36.4</v>
      </c>
      <c r="R119" s="481">
        <v>12.615</v>
      </c>
      <c r="S119" s="481">
        <v>0</v>
      </c>
      <c r="T119" s="481">
        <v>0</v>
      </c>
      <c r="U119" s="481">
        <v>0</v>
      </c>
      <c r="V119" s="481">
        <v>0</v>
      </c>
      <c r="W119" s="481">
        <v>49.015000000000001</v>
      </c>
      <c r="X119" s="481">
        <v>55.813000000000002</v>
      </c>
      <c r="Y119" s="564">
        <v>16327554.82</v>
      </c>
      <c r="Z119" s="564">
        <v>8110473.8399999999</v>
      </c>
    </row>
    <row r="120" spans="1:26" s="470" customFormat="1" x14ac:dyDescent="0.2">
      <c r="A120" s="468" t="s">
        <v>332</v>
      </c>
      <c r="B120" s="468" t="s">
        <v>330</v>
      </c>
      <c r="C120" s="473" t="s">
        <v>815</v>
      </c>
      <c r="D120" s="444">
        <v>382010840</v>
      </c>
      <c r="E120" s="444">
        <v>0</v>
      </c>
      <c r="F120" s="444">
        <v>382010840</v>
      </c>
      <c r="G120" s="445">
        <v>204452.12</v>
      </c>
      <c r="H120" s="474">
        <v>27</v>
      </c>
      <c r="I120" s="474">
        <v>0</v>
      </c>
      <c r="J120" s="475">
        <v>27</v>
      </c>
      <c r="K120" s="476">
        <v>0</v>
      </c>
      <c r="L120" s="477">
        <v>0</v>
      </c>
      <c r="M120" s="476">
        <v>0</v>
      </c>
      <c r="N120" s="475">
        <v>0</v>
      </c>
      <c r="O120" s="478">
        <v>1.5369999999999999</v>
      </c>
      <c r="P120" s="479">
        <v>7.9000000000000001E-2</v>
      </c>
      <c r="Q120" s="480">
        <v>28.616</v>
      </c>
      <c r="R120" s="481">
        <v>7.6619999999999999</v>
      </c>
      <c r="S120" s="481">
        <v>0</v>
      </c>
      <c r="T120" s="481">
        <v>0</v>
      </c>
      <c r="U120" s="481">
        <v>0</v>
      </c>
      <c r="V120" s="481">
        <v>0</v>
      </c>
      <c r="W120" s="481">
        <v>36.277999999999999</v>
      </c>
      <c r="X120" s="481">
        <v>97.561999999999998</v>
      </c>
      <c r="Y120" s="564">
        <v>39338943.890000001</v>
      </c>
      <c r="Z120" s="564">
        <v>27881795.710000001</v>
      </c>
    </row>
    <row r="121" spans="1:26" s="470" customFormat="1" x14ac:dyDescent="0.2">
      <c r="A121" s="468" t="s">
        <v>334</v>
      </c>
      <c r="B121" s="468" t="s">
        <v>330</v>
      </c>
      <c r="C121" s="473" t="s">
        <v>816</v>
      </c>
      <c r="D121" s="444">
        <v>35040090</v>
      </c>
      <c r="E121" s="444">
        <v>0</v>
      </c>
      <c r="F121" s="444">
        <v>35040090</v>
      </c>
      <c r="G121" s="445">
        <v>21670.879999999997</v>
      </c>
      <c r="H121" s="474">
        <v>27</v>
      </c>
      <c r="I121" s="474">
        <v>0</v>
      </c>
      <c r="J121" s="475">
        <v>27</v>
      </c>
      <c r="K121" s="476">
        <v>0</v>
      </c>
      <c r="L121" s="477">
        <v>0</v>
      </c>
      <c r="M121" s="476">
        <v>0.28699999999999998</v>
      </c>
      <c r="N121" s="475">
        <v>0</v>
      </c>
      <c r="O121" s="478">
        <v>0</v>
      </c>
      <c r="P121" s="479">
        <v>3.3000000000000002E-2</v>
      </c>
      <c r="Q121" s="480">
        <v>27.32</v>
      </c>
      <c r="R121" s="481">
        <v>12.5</v>
      </c>
      <c r="S121" s="481">
        <v>0</v>
      </c>
      <c r="T121" s="481">
        <v>0</v>
      </c>
      <c r="U121" s="481">
        <v>0</v>
      </c>
      <c r="V121" s="481">
        <v>0</v>
      </c>
      <c r="W121" s="481">
        <v>39.82</v>
      </c>
      <c r="X121" s="481">
        <v>105.396</v>
      </c>
      <c r="Y121" s="564">
        <v>3903267.1</v>
      </c>
      <c r="Z121" s="564">
        <v>2856885.77</v>
      </c>
    </row>
    <row r="122" spans="1:26" s="470" customFormat="1" x14ac:dyDescent="0.2">
      <c r="A122" s="468" t="s">
        <v>336</v>
      </c>
      <c r="B122" s="468" t="s">
        <v>330</v>
      </c>
      <c r="C122" s="473" t="s">
        <v>817</v>
      </c>
      <c r="D122" s="444">
        <v>313055962</v>
      </c>
      <c r="E122" s="444">
        <v>0</v>
      </c>
      <c r="F122" s="444">
        <v>313055962</v>
      </c>
      <c r="G122" s="445">
        <v>28643.48</v>
      </c>
      <c r="H122" s="474">
        <v>24.545000000000002</v>
      </c>
      <c r="I122" s="474">
        <v>0</v>
      </c>
      <c r="J122" s="483">
        <v>22.880000000000003</v>
      </c>
      <c r="K122" s="484">
        <v>0.39800000000000002</v>
      </c>
      <c r="L122" s="485">
        <v>0</v>
      </c>
      <c r="M122" s="476">
        <v>0</v>
      </c>
      <c r="N122" s="475">
        <v>0</v>
      </c>
      <c r="O122" s="478">
        <v>0</v>
      </c>
      <c r="P122" s="479">
        <v>0.03</v>
      </c>
      <c r="Q122" s="480">
        <v>24.574999999999999</v>
      </c>
      <c r="R122" s="481">
        <v>12.5</v>
      </c>
      <c r="S122" s="481">
        <v>0</v>
      </c>
      <c r="T122" s="481">
        <v>0</v>
      </c>
      <c r="U122" s="481">
        <v>0</v>
      </c>
      <c r="V122" s="481">
        <v>0</v>
      </c>
      <c r="W122" s="481">
        <v>37.075000000000003</v>
      </c>
      <c r="X122" s="481">
        <v>27.945</v>
      </c>
      <c r="Y122" s="564">
        <v>11479667.050000001</v>
      </c>
      <c r="Z122" s="564">
        <v>1336137.3500000001</v>
      </c>
    </row>
    <row r="123" spans="1:26" s="470" customFormat="1" x14ac:dyDescent="0.2">
      <c r="A123" s="468" t="s">
        <v>338</v>
      </c>
      <c r="B123" s="468" t="s">
        <v>339</v>
      </c>
      <c r="C123" s="473" t="s">
        <v>818</v>
      </c>
      <c r="D123" s="502">
        <v>98595604</v>
      </c>
      <c r="E123" s="502">
        <v>3670318</v>
      </c>
      <c r="F123" s="502">
        <v>94925286</v>
      </c>
      <c r="G123" s="502">
        <v>50443.51</v>
      </c>
      <c r="H123" s="474">
        <v>27</v>
      </c>
      <c r="I123" s="474">
        <v>0</v>
      </c>
      <c r="J123" s="475">
        <v>27</v>
      </c>
      <c r="K123" s="476">
        <v>0</v>
      </c>
      <c r="L123" s="477">
        <v>0</v>
      </c>
      <c r="M123" s="476">
        <v>0</v>
      </c>
      <c r="N123" s="475">
        <v>0</v>
      </c>
      <c r="O123" s="478">
        <v>0</v>
      </c>
      <c r="P123" s="479">
        <v>5.0000000000000001E-3</v>
      </c>
      <c r="Q123" s="480">
        <v>27.004999999999999</v>
      </c>
      <c r="R123" s="481">
        <v>5.2270000000000003</v>
      </c>
      <c r="S123" s="481">
        <v>0</v>
      </c>
      <c r="T123" s="481">
        <v>0</v>
      </c>
      <c r="U123" s="481">
        <v>0</v>
      </c>
      <c r="V123" s="481">
        <v>0</v>
      </c>
      <c r="W123" s="481">
        <v>32.231999999999999</v>
      </c>
      <c r="X123" s="481">
        <v>160.964</v>
      </c>
      <c r="Y123" s="564">
        <v>16311885.359999999</v>
      </c>
      <c r="Z123" s="564">
        <v>13266177.939999999</v>
      </c>
    </row>
    <row r="124" spans="1:26" s="470" customFormat="1" x14ac:dyDescent="0.2">
      <c r="A124" s="468" t="s">
        <v>341</v>
      </c>
      <c r="B124" s="468" t="s">
        <v>339</v>
      </c>
      <c r="C124" s="473" t="s">
        <v>819</v>
      </c>
      <c r="D124" s="502">
        <v>44323966</v>
      </c>
      <c r="E124" s="502">
        <v>0</v>
      </c>
      <c r="F124" s="502">
        <v>44323966</v>
      </c>
      <c r="G124" s="502">
        <v>6537.2</v>
      </c>
      <c r="H124" s="474">
        <v>27</v>
      </c>
      <c r="I124" s="474">
        <v>0</v>
      </c>
      <c r="J124" s="475">
        <v>27</v>
      </c>
      <c r="K124" s="476">
        <v>0</v>
      </c>
      <c r="L124" s="477">
        <v>0</v>
      </c>
      <c r="M124" s="476">
        <v>0</v>
      </c>
      <c r="N124" s="475">
        <v>0</v>
      </c>
      <c r="O124" s="478">
        <v>0</v>
      </c>
      <c r="P124" s="479">
        <v>0</v>
      </c>
      <c r="Q124" s="480">
        <v>27</v>
      </c>
      <c r="R124" s="481">
        <v>7.9870000000000001</v>
      </c>
      <c r="S124" s="481">
        <v>0</v>
      </c>
      <c r="T124" s="481">
        <v>0</v>
      </c>
      <c r="U124" s="481">
        <v>0</v>
      </c>
      <c r="V124" s="481">
        <v>0</v>
      </c>
      <c r="W124" s="481">
        <v>34.987000000000002</v>
      </c>
      <c r="X124" s="481">
        <v>175.57499999999999</v>
      </c>
      <c r="Y124" s="564">
        <v>8410095.3399999999</v>
      </c>
      <c r="Z124" s="564">
        <v>6929630.3099999996</v>
      </c>
    </row>
    <row r="125" spans="1:26" s="470" customFormat="1" x14ac:dyDescent="0.2">
      <c r="A125" s="487" t="s">
        <v>343</v>
      </c>
      <c r="B125" s="468" t="s">
        <v>339</v>
      </c>
      <c r="C125" s="473" t="s">
        <v>820</v>
      </c>
      <c r="D125" s="444">
        <v>12122721</v>
      </c>
      <c r="E125" s="444">
        <v>0</v>
      </c>
      <c r="F125" s="444">
        <v>12122721</v>
      </c>
      <c r="G125" s="445">
        <v>1108.42</v>
      </c>
      <c r="H125" s="474">
        <v>27</v>
      </c>
      <c r="I125" s="474">
        <v>0.27099999999999991</v>
      </c>
      <c r="J125" s="475">
        <v>26.728999999999999</v>
      </c>
      <c r="K125" s="476">
        <v>0</v>
      </c>
      <c r="L125" s="477">
        <v>0</v>
      </c>
      <c r="M125" s="476">
        <v>0</v>
      </c>
      <c r="N125" s="475">
        <v>0</v>
      </c>
      <c r="O125" s="478">
        <v>0</v>
      </c>
      <c r="P125" s="479">
        <v>0</v>
      </c>
      <c r="Q125" s="480">
        <v>25.728999999999999</v>
      </c>
      <c r="R125" s="481">
        <v>0</v>
      </c>
      <c r="S125" s="481">
        <v>0</v>
      </c>
      <c r="T125" s="481">
        <v>0</v>
      </c>
      <c r="U125" s="481">
        <v>0</v>
      </c>
      <c r="V125" s="481">
        <v>0</v>
      </c>
      <c r="W125" s="481">
        <v>25.728999999999999</v>
      </c>
      <c r="X125" s="481">
        <v>291.24</v>
      </c>
      <c r="Y125" s="564">
        <v>3749928.71</v>
      </c>
      <c r="Z125" s="564">
        <v>3354267.45</v>
      </c>
    </row>
    <row r="126" spans="1:26" s="470" customFormat="1" x14ac:dyDescent="0.2">
      <c r="A126" s="487" t="s">
        <v>345</v>
      </c>
      <c r="B126" s="468" t="s">
        <v>339</v>
      </c>
      <c r="C126" s="473" t="s">
        <v>821</v>
      </c>
      <c r="D126" s="444">
        <v>30663407</v>
      </c>
      <c r="E126" s="444">
        <v>0</v>
      </c>
      <c r="F126" s="444">
        <v>30663407</v>
      </c>
      <c r="G126" s="445">
        <v>2288.27</v>
      </c>
      <c r="H126" s="474">
        <v>27</v>
      </c>
      <c r="I126" s="474">
        <v>0</v>
      </c>
      <c r="J126" s="475">
        <v>27</v>
      </c>
      <c r="K126" s="476">
        <v>0</v>
      </c>
      <c r="L126" s="477">
        <v>0</v>
      </c>
      <c r="M126" s="476">
        <v>0</v>
      </c>
      <c r="N126" s="475">
        <v>0</v>
      </c>
      <c r="O126" s="478">
        <v>0</v>
      </c>
      <c r="P126" s="479">
        <v>0</v>
      </c>
      <c r="Q126" s="480">
        <v>27</v>
      </c>
      <c r="R126" s="481">
        <v>13.324999999999999</v>
      </c>
      <c r="S126" s="481">
        <v>0</v>
      </c>
      <c r="T126" s="481">
        <v>0</v>
      </c>
      <c r="U126" s="481">
        <v>0</v>
      </c>
      <c r="V126" s="481">
        <v>0</v>
      </c>
      <c r="W126" s="481">
        <v>40.325000000000003</v>
      </c>
      <c r="X126" s="481">
        <v>164.24100000000001</v>
      </c>
      <c r="Y126" s="564">
        <v>5395850.8600000003</v>
      </c>
      <c r="Z126" s="564">
        <v>4401791.6100000003</v>
      </c>
    </row>
    <row r="127" spans="1:26" s="470" customFormat="1" x14ac:dyDescent="0.2">
      <c r="A127" s="468" t="s">
        <v>347</v>
      </c>
      <c r="B127" s="468" t="s">
        <v>339</v>
      </c>
      <c r="C127" s="473" t="s">
        <v>822</v>
      </c>
      <c r="D127" s="502">
        <v>10223435</v>
      </c>
      <c r="E127" s="502">
        <v>0</v>
      </c>
      <c r="F127" s="502">
        <v>10223435</v>
      </c>
      <c r="G127" s="502">
        <v>715.52</v>
      </c>
      <c r="H127" s="474">
        <v>27</v>
      </c>
      <c r="I127" s="474">
        <v>0</v>
      </c>
      <c r="J127" s="475">
        <v>27</v>
      </c>
      <c r="K127" s="476">
        <v>0</v>
      </c>
      <c r="L127" s="477">
        <v>0</v>
      </c>
      <c r="M127" s="476">
        <v>0</v>
      </c>
      <c r="N127" s="475">
        <v>0</v>
      </c>
      <c r="O127" s="478">
        <v>0</v>
      </c>
      <c r="P127" s="479">
        <v>0</v>
      </c>
      <c r="Q127" s="480">
        <v>27</v>
      </c>
      <c r="R127" s="481">
        <v>0</v>
      </c>
      <c r="S127" s="481">
        <v>0</v>
      </c>
      <c r="T127" s="481">
        <v>0</v>
      </c>
      <c r="U127" s="481">
        <v>0</v>
      </c>
      <c r="V127" s="481">
        <v>0</v>
      </c>
      <c r="W127" s="481">
        <v>27</v>
      </c>
      <c r="X127" s="481">
        <v>376.06200000000001</v>
      </c>
      <c r="Y127" s="564">
        <v>3874077.65</v>
      </c>
      <c r="Z127" s="564">
        <v>3548497.51</v>
      </c>
    </row>
    <row r="128" spans="1:26" s="470" customFormat="1" x14ac:dyDescent="0.2">
      <c r="A128" s="468" t="s">
        <v>349</v>
      </c>
      <c r="B128" s="468" t="s">
        <v>339</v>
      </c>
      <c r="C128" s="473" t="s">
        <v>823</v>
      </c>
      <c r="D128" s="502">
        <v>22318336</v>
      </c>
      <c r="E128" s="502">
        <v>918887</v>
      </c>
      <c r="F128" s="502">
        <v>21399449</v>
      </c>
      <c r="G128" s="502">
        <v>763.36</v>
      </c>
      <c r="H128" s="474">
        <v>27</v>
      </c>
      <c r="I128" s="474">
        <v>3.0000000000001137E-3</v>
      </c>
      <c r="J128" s="475">
        <v>26.997</v>
      </c>
      <c r="K128" s="476">
        <v>0</v>
      </c>
      <c r="L128" s="477">
        <v>0</v>
      </c>
      <c r="M128" s="476">
        <v>0</v>
      </c>
      <c r="N128" s="475">
        <v>0</v>
      </c>
      <c r="O128" s="478">
        <v>0.80400000000000005</v>
      </c>
      <c r="P128" s="479">
        <v>0</v>
      </c>
      <c r="Q128" s="480">
        <v>27.800999999999998</v>
      </c>
      <c r="R128" s="481">
        <v>9.4160000000000004</v>
      </c>
      <c r="S128" s="481">
        <v>0</v>
      </c>
      <c r="T128" s="481">
        <v>0</v>
      </c>
      <c r="U128" s="481">
        <v>0</v>
      </c>
      <c r="V128" s="481">
        <v>0</v>
      </c>
      <c r="W128" s="481">
        <v>37.216999999999999</v>
      </c>
      <c r="X128" s="481">
        <v>214.154</v>
      </c>
      <c r="Y128" s="564">
        <v>4786522.34</v>
      </c>
      <c r="Z128" s="564">
        <v>4083163.24</v>
      </c>
    </row>
    <row r="129" spans="1:26" s="470" customFormat="1" x14ac:dyDescent="0.2">
      <c r="A129" s="468" t="s">
        <v>351</v>
      </c>
      <c r="B129" s="468" t="s">
        <v>352</v>
      </c>
      <c r="C129" s="473" t="s">
        <v>824</v>
      </c>
      <c r="D129" s="444">
        <v>113991810</v>
      </c>
      <c r="E129" s="444">
        <v>0</v>
      </c>
      <c r="F129" s="444">
        <v>113991810</v>
      </c>
      <c r="G129" s="445">
        <v>3973.72</v>
      </c>
      <c r="H129" s="474">
        <v>27</v>
      </c>
      <c r="I129" s="474">
        <v>3.069</v>
      </c>
      <c r="J129" s="475">
        <v>23.931000000000001</v>
      </c>
      <c r="K129" s="476">
        <v>0</v>
      </c>
      <c r="L129" s="477">
        <v>0</v>
      </c>
      <c r="M129" s="476">
        <v>0</v>
      </c>
      <c r="N129" s="475">
        <v>0</v>
      </c>
      <c r="O129" s="478">
        <v>4.8739999999999997</v>
      </c>
      <c r="P129" s="479">
        <v>0.16300000000000001</v>
      </c>
      <c r="Q129" s="480">
        <v>11.105999999999998</v>
      </c>
      <c r="R129" s="481">
        <v>1.9339999999999999</v>
      </c>
      <c r="S129" s="481">
        <v>0</v>
      </c>
      <c r="T129" s="481">
        <v>0</v>
      </c>
      <c r="U129" s="481">
        <v>0</v>
      </c>
      <c r="V129" s="481">
        <v>0</v>
      </c>
      <c r="W129" s="481">
        <v>13.039999999999997</v>
      </c>
      <c r="X129" s="481">
        <v>32.125999999999998</v>
      </c>
      <c r="Y129" s="564">
        <v>3815527.3</v>
      </c>
      <c r="Z129" s="564">
        <v>935466.25</v>
      </c>
    </row>
    <row r="130" spans="1:26" s="470" customFormat="1" x14ac:dyDescent="0.2">
      <c r="A130" s="468" t="s">
        <v>353</v>
      </c>
      <c r="B130" s="468" t="s">
        <v>352</v>
      </c>
      <c r="C130" s="473" t="s">
        <v>825</v>
      </c>
      <c r="D130" s="444">
        <v>219308080</v>
      </c>
      <c r="E130" s="444">
        <v>0</v>
      </c>
      <c r="F130" s="444">
        <v>219308080</v>
      </c>
      <c r="G130" s="445">
        <v>24265.84</v>
      </c>
      <c r="H130" s="474">
        <v>21.643000000000001</v>
      </c>
      <c r="I130" s="474">
        <v>3.7149999999999999</v>
      </c>
      <c r="J130" s="475">
        <v>17.928000000000001</v>
      </c>
      <c r="K130" s="476">
        <v>0</v>
      </c>
      <c r="L130" s="477">
        <v>0</v>
      </c>
      <c r="M130" s="476">
        <v>0</v>
      </c>
      <c r="N130" s="475">
        <v>0</v>
      </c>
      <c r="O130" s="478">
        <v>7.056</v>
      </c>
      <c r="P130" s="479">
        <v>7.8E-2</v>
      </c>
      <c r="Q130" s="480">
        <v>25.062000000000001</v>
      </c>
      <c r="R130" s="481">
        <v>5.3739999999999997</v>
      </c>
      <c r="S130" s="481">
        <v>0</v>
      </c>
      <c r="T130" s="481">
        <v>0</v>
      </c>
      <c r="U130" s="481">
        <v>0</v>
      </c>
      <c r="V130" s="481">
        <v>0</v>
      </c>
      <c r="W130" s="481">
        <v>30.436</v>
      </c>
      <c r="X130" s="481">
        <v>22.298999999999999</v>
      </c>
      <c r="Y130" s="564">
        <v>5145943.72</v>
      </c>
      <c r="Z130" s="564">
        <v>960280.22</v>
      </c>
    </row>
    <row r="131" spans="1:26" s="470" customFormat="1" x14ac:dyDescent="0.2">
      <c r="A131" s="468" t="s">
        <v>355</v>
      </c>
      <c r="B131" s="468" t="s">
        <v>356</v>
      </c>
      <c r="C131" s="473" t="s">
        <v>826</v>
      </c>
      <c r="D131" s="444">
        <v>255745096.19999999</v>
      </c>
      <c r="E131" s="444">
        <v>0</v>
      </c>
      <c r="F131" s="444">
        <v>255745096.19999999</v>
      </c>
      <c r="G131" s="445">
        <v>27575.5</v>
      </c>
      <c r="H131" s="474">
        <v>27</v>
      </c>
      <c r="I131" s="474">
        <v>4.3380000000000001</v>
      </c>
      <c r="J131" s="475">
        <v>22.661999999999999</v>
      </c>
      <c r="K131" s="476">
        <v>0</v>
      </c>
      <c r="L131" s="477">
        <v>0</v>
      </c>
      <c r="M131" s="476">
        <v>0</v>
      </c>
      <c r="N131" s="475">
        <v>0</v>
      </c>
      <c r="O131" s="478">
        <v>3.1869999999999998</v>
      </c>
      <c r="P131" s="479">
        <v>0.08</v>
      </c>
      <c r="Q131" s="480">
        <v>25.928999999999998</v>
      </c>
      <c r="R131" s="481">
        <v>4.5060000000000002</v>
      </c>
      <c r="S131" s="481">
        <v>0</v>
      </c>
      <c r="T131" s="481">
        <v>0</v>
      </c>
      <c r="U131" s="481">
        <v>0</v>
      </c>
      <c r="V131" s="481">
        <v>0</v>
      </c>
      <c r="W131" s="481">
        <v>30.434999999999999</v>
      </c>
      <c r="X131" s="481">
        <v>33.692999999999998</v>
      </c>
      <c r="Y131" s="564">
        <v>9292336.7100000009</v>
      </c>
      <c r="Z131" s="564">
        <v>2902986.01</v>
      </c>
    </row>
    <row r="132" spans="1:26" s="470" customFormat="1" x14ac:dyDescent="0.2">
      <c r="A132" s="468" t="s">
        <v>358</v>
      </c>
      <c r="B132" s="468" t="s">
        <v>356</v>
      </c>
      <c r="C132" s="473" t="s">
        <v>827</v>
      </c>
      <c r="D132" s="444">
        <v>660852243.87</v>
      </c>
      <c r="E132" s="444">
        <v>0</v>
      </c>
      <c r="F132" s="444">
        <v>660852243.87</v>
      </c>
      <c r="G132" s="445">
        <v>57502.73</v>
      </c>
      <c r="H132" s="474">
        <v>12.173</v>
      </c>
      <c r="I132" s="474">
        <v>0</v>
      </c>
      <c r="J132" s="483">
        <v>12.173</v>
      </c>
      <c r="K132" s="484">
        <v>0.84</v>
      </c>
      <c r="L132" s="485">
        <v>0.89300000000000002</v>
      </c>
      <c r="M132" s="476">
        <v>0.89</v>
      </c>
      <c r="N132" s="475">
        <v>0</v>
      </c>
      <c r="O132" s="478">
        <v>3.0840000000000001</v>
      </c>
      <c r="P132" s="479">
        <v>7.0999999999999994E-2</v>
      </c>
      <c r="Q132" s="480">
        <v>16.218000000000004</v>
      </c>
      <c r="R132" s="481">
        <v>1.05</v>
      </c>
      <c r="S132" s="481">
        <v>0</v>
      </c>
      <c r="T132" s="481">
        <v>0</v>
      </c>
      <c r="U132" s="481">
        <v>0</v>
      </c>
      <c r="V132" s="481">
        <v>0</v>
      </c>
      <c r="W132" s="481">
        <v>17.268000000000004</v>
      </c>
      <c r="X132" s="481">
        <v>10.039</v>
      </c>
      <c r="Y132" s="564">
        <v>7467213.0099999998</v>
      </c>
      <c r="Z132" s="564">
        <v>50.48</v>
      </c>
    </row>
    <row r="133" spans="1:26" s="470" customFormat="1" x14ac:dyDescent="0.2">
      <c r="A133" s="468" t="s">
        <v>359</v>
      </c>
      <c r="B133" s="468" t="s">
        <v>360</v>
      </c>
      <c r="C133" s="473" t="s">
        <v>828</v>
      </c>
      <c r="D133" s="444">
        <v>86076780</v>
      </c>
      <c r="E133" s="444">
        <v>0</v>
      </c>
      <c r="F133" s="444">
        <v>86076780</v>
      </c>
      <c r="G133" s="445">
        <v>1168.94</v>
      </c>
      <c r="H133" s="474">
        <v>27</v>
      </c>
      <c r="I133" s="474">
        <v>0</v>
      </c>
      <c r="J133" s="475">
        <v>27</v>
      </c>
      <c r="K133" s="476">
        <v>0</v>
      </c>
      <c r="L133" s="477">
        <v>0</v>
      </c>
      <c r="M133" s="476">
        <v>0</v>
      </c>
      <c r="N133" s="475">
        <v>0</v>
      </c>
      <c r="O133" s="478">
        <v>7</v>
      </c>
      <c r="P133" s="479">
        <v>0</v>
      </c>
      <c r="Q133" s="480">
        <v>34</v>
      </c>
      <c r="R133" s="481">
        <v>3.31</v>
      </c>
      <c r="S133" s="481">
        <v>0</v>
      </c>
      <c r="T133" s="481">
        <v>0</v>
      </c>
      <c r="U133" s="481">
        <v>0</v>
      </c>
      <c r="V133" s="481">
        <v>0</v>
      </c>
      <c r="W133" s="481">
        <v>37.31</v>
      </c>
      <c r="X133" s="481">
        <v>79.734999999999999</v>
      </c>
      <c r="Y133" s="564">
        <v>7192096.0199999996</v>
      </c>
      <c r="Z133" s="564">
        <v>4587260.49</v>
      </c>
    </row>
    <row r="134" spans="1:26" s="470" customFormat="1" x14ac:dyDescent="0.2">
      <c r="A134" s="468" t="s">
        <v>362</v>
      </c>
      <c r="B134" s="468" t="s">
        <v>360</v>
      </c>
      <c r="C134" s="473" t="s">
        <v>829</v>
      </c>
      <c r="D134" s="444">
        <v>38642130</v>
      </c>
      <c r="E134" s="444">
        <v>0</v>
      </c>
      <c r="F134" s="444">
        <v>38642130</v>
      </c>
      <c r="G134" s="445">
        <v>134.06</v>
      </c>
      <c r="H134" s="474">
        <v>27</v>
      </c>
      <c r="I134" s="474">
        <v>0</v>
      </c>
      <c r="J134" s="475">
        <v>27</v>
      </c>
      <c r="K134" s="476">
        <v>0</v>
      </c>
      <c r="L134" s="477">
        <v>0</v>
      </c>
      <c r="M134" s="476">
        <v>0</v>
      </c>
      <c r="N134" s="475">
        <v>0</v>
      </c>
      <c r="O134" s="478">
        <v>5</v>
      </c>
      <c r="P134" s="479">
        <v>0</v>
      </c>
      <c r="Q134" s="480">
        <v>32</v>
      </c>
      <c r="R134" s="481">
        <v>7.4009999999999998</v>
      </c>
      <c r="S134" s="481">
        <v>0</v>
      </c>
      <c r="T134" s="481">
        <v>0</v>
      </c>
      <c r="U134" s="481">
        <v>0</v>
      </c>
      <c r="V134" s="481">
        <v>0</v>
      </c>
      <c r="W134" s="481">
        <v>39.400999999999996</v>
      </c>
      <c r="X134" s="481">
        <v>111.85299999999999</v>
      </c>
      <c r="Y134" s="564">
        <v>4421929.42</v>
      </c>
      <c r="Z134" s="564">
        <v>3268475.93</v>
      </c>
    </row>
    <row r="135" spans="1:26" s="470" customFormat="1" x14ac:dyDescent="0.2">
      <c r="A135" s="468" t="s">
        <v>364</v>
      </c>
      <c r="B135" s="468" t="s">
        <v>365</v>
      </c>
      <c r="C135" s="473" t="s">
        <v>830</v>
      </c>
      <c r="D135" s="444">
        <v>5704958990</v>
      </c>
      <c r="E135" s="444">
        <v>0</v>
      </c>
      <c r="F135" s="444">
        <v>5704958990</v>
      </c>
      <c r="G135" s="445">
        <v>0</v>
      </c>
      <c r="H135" s="474">
        <v>4.4119999999999999</v>
      </c>
      <c r="I135" s="474">
        <v>0</v>
      </c>
      <c r="J135" s="483">
        <v>4.4119999999999999</v>
      </c>
      <c r="K135" s="484">
        <v>6.4000000000000001E-2</v>
      </c>
      <c r="L135" s="485">
        <v>0</v>
      </c>
      <c r="M135" s="476">
        <v>0.13300000000000001</v>
      </c>
      <c r="N135" s="475">
        <v>0</v>
      </c>
      <c r="O135" s="478">
        <v>1.3089999999999999</v>
      </c>
      <c r="P135" s="479">
        <v>2.5999999999999999E-2</v>
      </c>
      <c r="Q135" s="480">
        <v>5.88</v>
      </c>
      <c r="R135" s="481">
        <v>1.5149999999999999</v>
      </c>
      <c r="S135" s="481">
        <v>0</v>
      </c>
      <c r="T135" s="481">
        <v>0</v>
      </c>
      <c r="U135" s="481">
        <v>0</v>
      </c>
      <c r="V135" s="481">
        <v>0</v>
      </c>
      <c r="W135" s="481">
        <v>7.3949999999999996</v>
      </c>
      <c r="X135" s="481">
        <v>4.0309999999999997</v>
      </c>
      <c r="Y135" s="564">
        <v>23689244.559999999</v>
      </c>
      <c r="Z135" s="564">
        <v>1622.87</v>
      </c>
    </row>
    <row r="136" spans="1:26" s="470" customFormat="1" x14ac:dyDescent="0.2">
      <c r="A136" s="468" t="s">
        <v>367</v>
      </c>
      <c r="B136" s="468" t="s">
        <v>368</v>
      </c>
      <c r="C136" s="473" t="s">
        <v>831</v>
      </c>
      <c r="D136" s="444">
        <v>18093040</v>
      </c>
      <c r="E136" s="444">
        <v>0</v>
      </c>
      <c r="F136" s="444">
        <v>18093040</v>
      </c>
      <c r="G136" s="445">
        <v>5022</v>
      </c>
      <c r="H136" s="474">
        <v>27</v>
      </c>
      <c r="I136" s="474">
        <v>0</v>
      </c>
      <c r="J136" s="475">
        <v>27</v>
      </c>
      <c r="K136" s="476">
        <v>0</v>
      </c>
      <c r="L136" s="477">
        <v>0</v>
      </c>
      <c r="M136" s="476">
        <v>0</v>
      </c>
      <c r="N136" s="475">
        <v>0</v>
      </c>
      <c r="O136" s="478">
        <v>0</v>
      </c>
      <c r="P136" s="479">
        <v>6.0999999999999999E-2</v>
      </c>
      <c r="Q136" s="480">
        <v>27.061</v>
      </c>
      <c r="R136" s="481">
        <v>0</v>
      </c>
      <c r="S136" s="481">
        <v>0</v>
      </c>
      <c r="T136" s="481">
        <v>0</v>
      </c>
      <c r="U136" s="481">
        <v>0</v>
      </c>
      <c r="V136" s="481">
        <v>0</v>
      </c>
      <c r="W136" s="481">
        <v>27.061</v>
      </c>
      <c r="X136" s="481">
        <v>194.78800000000001</v>
      </c>
      <c r="Y136" s="564">
        <v>3753665.26</v>
      </c>
      <c r="Z136" s="564">
        <v>3175349.17</v>
      </c>
    </row>
    <row r="137" spans="1:26" s="470" customFormat="1" x14ac:dyDescent="0.2">
      <c r="A137" s="468" t="s">
        <v>370</v>
      </c>
      <c r="B137" s="468" t="s">
        <v>368</v>
      </c>
      <c r="C137" s="473" t="s">
        <v>832</v>
      </c>
      <c r="D137" s="444">
        <v>110058068</v>
      </c>
      <c r="E137" s="444">
        <v>3232018</v>
      </c>
      <c r="F137" s="444">
        <v>106826050</v>
      </c>
      <c r="G137" s="445">
        <v>21633</v>
      </c>
      <c r="H137" s="474">
        <v>27</v>
      </c>
      <c r="I137" s="474">
        <v>2.4050000000000002</v>
      </c>
      <c r="J137" s="475">
        <v>24.594999999999999</v>
      </c>
      <c r="K137" s="476">
        <v>0</v>
      </c>
      <c r="L137" s="477">
        <v>0</v>
      </c>
      <c r="M137" s="476">
        <v>0</v>
      </c>
      <c r="N137" s="475">
        <v>0</v>
      </c>
      <c r="O137" s="478">
        <v>0</v>
      </c>
      <c r="P137" s="479">
        <v>0</v>
      </c>
      <c r="Q137" s="480">
        <v>24.594999999999999</v>
      </c>
      <c r="R137" s="481">
        <v>3.5960000000000001</v>
      </c>
      <c r="S137" s="481">
        <v>0</v>
      </c>
      <c r="T137" s="481">
        <v>0</v>
      </c>
      <c r="U137" s="481">
        <v>0</v>
      </c>
      <c r="V137" s="481">
        <v>0</v>
      </c>
      <c r="W137" s="481">
        <v>28.190999999999999</v>
      </c>
      <c r="X137" s="481">
        <v>152.23699999999999</v>
      </c>
      <c r="Y137" s="564">
        <v>16571740.74</v>
      </c>
      <c r="Z137" s="564">
        <v>13612337.9</v>
      </c>
    </row>
    <row r="138" spans="1:26" s="470" customFormat="1" x14ac:dyDescent="0.2">
      <c r="A138" s="468" t="s">
        <v>372</v>
      </c>
      <c r="B138" s="468" t="s">
        <v>368</v>
      </c>
      <c r="C138" s="473" t="s">
        <v>833</v>
      </c>
      <c r="D138" s="444">
        <v>29938857</v>
      </c>
      <c r="E138" s="444">
        <v>0</v>
      </c>
      <c r="F138" s="444">
        <v>29938857</v>
      </c>
      <c r="G138" s="445">
        <v>6992</v>
      </c>
      <c r="H138" s="474">
        <v>27</v>
      </c>
      <c r="I138" s="474">
        <v>0</v>
      </c>
      <c r="J138" s="475">
        <v>27</v>
      </c>
      <c r="K138" s="476">
        <v>0</v>
      </c>
      <c r="L138" s="477">
        <v>0</v>
      </c>
      <c r="M138" s="476">
        <v>0</v>
      </c>
      <c r="N138" s="475">
        <v>0</v>
      </c>
      <c r="O138" s="478">
        <v>0</v>
      </c>
      <c r="P138" s="479">
        <v>0</v>
      </c>
      <c r="Q138" s="480">
        <v>27</v>
      </c>
      <c r="R138" s="481">
        <v>8.7870000000000008</v>
      </c>
      <c r="S138" s="481">
        <v>0</v>
      </c>
      <c r="T138" s="481">
        <v>0</v>
      </c>
      <c r="U138" s="481">
        <v>0</v>
      </c>
      <c r="V138" s="481">
        <v>0</v>
      </c>
      <c r="W138" s="481">
        <v>35.786999999999999</v>
      </c>
      <c r="X138" s="481">
        <v>132.83199999999999</v>
      </c>
      <c r="Y138" s="564">
        <v>4272588.22</v>
      </c>
      <c r="Z138" s="564">
        <v>3311251.87</v>
      </c>
    </row>
    <row r="139" spans="1:26" s="470" customFormat="1" x14ac:dyDescent="0.2">
      <c r="A139" s="468" t="s">
        <v>374</v>
      </c>
      <c r="B139" s="468" t="s">
        <v>368</v>
      </c>
      <c r="C139" s="473" t="s">
        <v>834</v>
      </c>
      <c r="D139" s="444">
        <v>15401792</v>
      </c>
      <c r="E139" s="444">
        <v>0</v>
      </c>
      <c r="F139" s="444">
        <v>15401792</v>
      </c>
      <c r="G139" s="445">
        <v>5469.6100000000006</v>
      </c>
      <c r="H139" s="474">
        <v>27</v>
      </c>
      <c r="I139" s="474">
        <v>0</v>
      </c>
      <c r="J139" s="475">
        <v>27</v>
      </c>
      <c r="K139" s="476">
        <v>0</v>
      </c>
      <c r="L139" s="477">
        <v>0</v>
      </c>
      <c r="M139" s="476">
        <v>0</v>
      </c>
      <c r="N139" s="475">
        <v>0</v>
      </c>
      <c r="O139" s="478">
        <v>0</v>
      </c>
      <c r="P139" s="479">
        <v>0</v>
      </c>
      <c r="Q139" s="480">
        <v>27.016999999999999</v>
      </c>
      <c r="R139" s="481">
        <v>0</v>
      </c>
      <c r="S139" s="481">
        <v>0</v>
      </c>
      <c r="T139" s="481">
        <v>0</v>
      </c>
      <c r="U139" s="481">
        <v>0</v>
      </c>
      <c r="V139" s="481">
        <v>0</v>
      </c>
      <c r="W139" s="481">
        <v>27.016999999999999</v>
      </c>
      <c r="X139" s="481">
        <v>274.39400000000001</v>
      </c>
      <c r="Y139" s="564">
        <v>4185390.82</v>
      </c>
      <c r="Z139" s="564">
        <v>3726109.78</v>
      </c>
    </row>
    <row r="140" spans="1:26" s="470" customFormat="1" x14ac:dyDescent="0.2">
      <c r="A140" s="468" t="s">
        <v>376</v>
      </c>
      <c r="B140" s="468" t="s">
        <v>377</v>
      </c>
      <c r="C140" s="473" t="s">
        <v>835</v>
      </c>
      <c r="D140" s="444">
        <v>1621900480</v>
      </c>
      <c r="E140" s="444">
        <v>132666666</v>
      </c>
      <c r="F140" s="444">
        <v>1489233814</v>
      </c>
      <c r="G140" s="445">
        <v>61408</v>
      </c>
      <c r="H140" s="474">
        <v>27</v>
      </c>
      <c r="I140" s="474">
        <v>0</v>
      </c>
      <c r="J140" s="475">
        <v>27</v>
      </c>
      <c r="K140" s="476">
        <v>0</v>
      </c>
      <c r="L140" s="477">
        <v>0</v>
      </c>
      <c r="M140" s="476">
        <v>0</v>
      </c>
      <c r="N140" s="475">
        <v>0</v>
      </c>
      <c r="O140" s="478">
        <v>0</v>
      </c>
      <c r="P140" s="479">
        <v>0.23300000000000001</v>
      </c>
      <c r="Q140" s="480">
        <v>27.233000000000001</v>
      </c>
      <c r="R140" s="481">
        <v>14.169</v>
      </c>
      <c r="S140" s="481">
        <v>0</v>
      </c>
      <c r="T140" s="481">
        <v>0</v>
      </c>
      <c r="U140" s="481">
        <v>0</v>
      </c>
      <c r="V140" s="481">
        <v>0</v>
      </c>
      <c r="W140" s="481">
        <v>41.402000000000001</v>
      </c>
      <c r="X140" s="481">
        <v>108.47199999999999</v>
      </c>
      <c r="Y140" s="564">
        <v>163687034.40000001</v>
      </c>
      <c r="Z140" s="564">
        <v>120537315.7</v>
      </c>
    </row>
    <row r="141" spans="1:26" s="470" customFormat="1" x14ac:dyDescent="0.2">
      <c r="A141" s="468" t="s">
        <v>379</v>
      </c>
      <c r="B141" s="468" t="s">
        <v>377</v>
      </c>
      <c r="C141" s="473" t="s">
        <v>836</v>
      </c>
      <c r="D141" s="444">
        <v>1205184370</v>
      </c>
      <c r="E141" s="444">
        <v>22460100</v>
      </c>
      <c r="F141" s="444">
        <v>1182724270</v>
      </c>
      <c r="G141" s="445">
        <v>68647</v>
      </c>
      <c r="H141" s="474">
        <v>27</v>
      </c>
      <c r="I141" s="474">
        <v>0</v>
      </c>
      <c r="J141" s="475">
        <v>27</v>
      </c>
      <c r="K141" s="476">
        <v>0</v>
      </c>
      <c r="L141" s="477">
        <v>0</v>
      </c>
      <c r="M141" s="476">
        <v>0</v>
      </c>
      <c r="N141" s="475">
        <v>0</v>
      </c>
      <c r="O141" s="478">
        <v>0</v>
      </c>
      <c r="P141" s="479">
        <v>1.6E-2</v>
      </c>
      <c r="Q141" s="480">
        <v>27.015999999999998</v>
      </c>
      <c r="R141" s="481">
        <v>12.962999999999999</v>
      </c>
      <c r="S141" s="481">
        <v>0</v>
      </c>
      <c r="T141" s="481">
        <v>0</v>
      </c>
      <c r="U141" s="481">
        <v>0</v>
      </c>
      <c r="V141" s="481">
        <v>0</v>
      </c>
      <c r="W141" s="481">
        <v>39.978999999999999</v>
      </c>
      <c r="X141" s="481">
        <v>96.37</v>
      </c>
      <c r="Y141" s="564">
        <v>113585335.43000001</v>
      </c>
      <c r="Z141" s="564">
        <v>80111218.819999993</v>
      </c>
    </row>
    <row r="142" spans="1:26" s="470" customFormat="1" x14ac:dyDescent="0.2">
      <c r="A142" s="468" t="s">
        <v>381</v>
      </c>
      <c r="B142" s="468" t="s">
        <v>382</v>
      </c>
      <c r="C142" s="473" t="s">
        <v>837</v>
      </c>
      <c r="D142" s="444">
        <v>445295140</v>
      </c>
      <c r="E142" s="444">
        <v>0</v>
      </c>
      <c r="F142" s="444">
        <v>445295140</v>
      </c>
      <c r="G142" s="445">
        <v>7643.6600000000008</v>
      </c>
      <c r="H142" s="474">
        <v>5.7670000000000003</v>
      </c>
      <c r="I142" s="474">
        <v>0</v>
      </c>
      <c r="J142" s="475">
        <v>5.7670000000000003</v>
      </c>
      <c r="K142" s="476">
        <v>0</v>
      </c>
      <c r="L142" s="477">
        <v>0</v>
      </c>
      <c r="M142" s="476">
        <v>0</v>
      </c>
      <c r="N142" s="475">
        <v>0</v>
      </c>
      <c r="O142" s="478">
        <v>0.80400000000000005</v>
      </c>
      <c r="P142" s="479">
        <v>0.158</v>
      </c>
      <c r="Q142" s="480">
        <v>6.729000000000001</v>
      </c>
      <c r="R142" s="481">
        <v>9.1419999999999995</v>
      </c>
      <c r="S142" s="481">
        <v>0</v>
      </c>
      <c r="T142" s="481">
        <v>0</v>
      </c>
      <c r="U142" s="481">
        <v>0</v>
      </c>
      <c r="V142" s="481">
        <v>0</v>
      </c>
      <c r="W142" s="481">
        <v>15.871</v>
      </c>
      <c r="X142" s="481">
        <v>17.405000000000001</v>
      </c>
      <c r="Y142" s="564">
        <v>8598773.1500000004</v>
      </c>
      <c r="Z142" s="564">
        <v>5660371.54</v>
      </c>
    </row>
    <row r="143" spans="1:26" s="470" customFormat="1" x14ac:dyDescent="0.2">
      <c r="A143" s="468" t="s">
        <v>384</v>
      </c>
      <c r="B143" s="468" t="s">
        <v>382</v>
      </c>
      <c r="C143" s="473" t="s">
        <v>838</v>
      </c>
      <c r="D143" s="444">
        <v>282271490</v>
      </c>
      <c r="E143" s="444">
        <v>0</v>
      </c>
      <c r="F143" s="444">
        <v>282271490</v>
      </c>
      <c r="G143" s="445">
        <v>8826.6</v>
      </c>
      <c r="H143" s="474">
        <v>6.1429999999999998</v>
      </c>
      <c r="I143" s="474">
        <v>0</v>
      </c>
      <c r="J143" s="475">
        <v>6.1429999999999998</v>
      </c>
      <c r="K143" s="476">
        <v>0</v>
      </c>
      <c r="L143" s="477">
        <v>0</v>
      </c>
      <c r="M143" s="476">
        <v>2.379</v>
      </c>
      <c r="N143" s="475">
        <v>0</v>
      </c>
      <c r="O143" s="478">
        <v>2.67</v>
      </c>
      <c r="P143" s="479">
        <v>6.0000000000000001E-3</v>
      </c>
      <c r="Q143" s="480">
        <v>11.198</v>
      </c>
      <c r="R143" s="481">
        <v>9.5519999999999996</v>
      </c>
      <c r="S143" s="481">
        <v>0.96499999999999997</v>
      </c>
      <c r="T143" s="481">
        <v>0</v>
      </c>
      <c r="U143" s="481">
        <v>0</v>
      </c>
      <c r="V143" s="481">
        <v>0</v>
      </c>
      <c r="W143" s="481">
        <v>21.715</v>
      </c>
      <c r="X143" s="481">
        <v>22.576000000000001</v>
      </c>
      <c r="Y143" s="564">
        <v>6056194.2999999998</v>
      </c>
      <c r="Z143" s="564">
        <v>4344499.28</v>
      </c>
    </row>
    <row r="144" spans="1:26" s="470" customFormat="1" x14ac:dyDescent="0.2">
      <c r="A144" s="468" t="s">
        <v>386</v>
      </c>
      <c r="B144" s="468" t="s">
        <v>387</v>
      </c>
      <c r="C144" s="473" t="s">
        <v>839</v>
      </c>
      <c r="D144" s="444">
        <v>143352616</v>
      </c>
      <c r="E144" s="444">
        <v>0</v>
      </c>
      <c r="F144" s="444">
        <v>143352616</v>
      </c>
      <c r="G144" s="445">
        <v>10231.66</v>
      </c>
      <c r="H144" s="474">
        <v>27</v>
      </c>
      <c r="I144" s="474">
        <v>5.6920000000000002</v>
      </c>
      <c r="J144" s="475">
        <v>21.308</v>
      </c>
      <c r="K144" s="476">
        <v>0</v>
      </c>
      <c r="L144" s="477">
        <v>0</v>
      </c>
      <c r="M144" s="476">
        <v>0</v>
      </c>
      <c r="N144" s="475">
        <v>0</v>
      </c>
      <c r="O144" s="478">
        <v>9</v>
      </c>
      <c r="P144" s="479">
        <v>7.3999999999999996E-2</v>
      </c>
      <c r="Q144" s="480">
        <v>30.382000000000001</v>
      </c>
      <c r="R144" s="481">
        <v>11.297000000000001</v>
      </c>
      <c r="S144" s="481">
        <v>0</v>
      </c>
      <c r="T144" s="481">
        <v>0</v>
      </c>
      <c r="U144" s="481">
        <v>0</v>
      </c>
      <c r="V144" s="481">
        <v>0</v>
      </c>
      <c r="W144" s="481">
        <v>41.679000000000002</v>
      </c>
      <c r="X144" s="481">
        <v>39.055</v>
      </c>
      <c r="Y144" s="564">
        <v>5594227.1299999999</v>
      </c>
      <c r="Z144" s="564">
        <v>2411433.64</v>
      </c>
    </row>
    <row r="145" spans="1:26" s="470" customFormat="1" x14ac:dyDescent="0.2">
      <c r="A145" s="468" t="s">
        <v>389</v>
      </c>
      <c r="B145" s="468" t="s">
        <v>387</v>
      </c>
      <c r="C145" s="473" t="s">
        <v>840</v>
      </c>
      <c r="D145" s="444">
        <v>89454489</v>
      </c>
      <c r="E145" s="444">
        <v>0</v>
      </c>
      <c r="F145" s="444">
        <v>89454489</v>
      </c>
      <c r="G145" s="445">
        <v>11620.4</v>
      </c>
      <c r="H145" s="474">
        <v>27</v>
      </c>
      <c r="I145" s="474">
        <v>0</v>
      </c>
      <c r="J145" s="475">
        <v>27</v>
      </c>
      <c r="K145" s="476">
        <v>0</v>
      </c>
      <c r="L145" s="477">
        <v>0</v>
      </c>
      <c r="M145" s="476">
        <v>0</v>
      </c>
      <c r="N145" s="475">
        <v>0</v>
      </c>
      <c r="O145" s="478">
        <v>2.6269999999999998</v>
      </c>
      <c r="P145" s="479">
        <v>1.2E-2</v>
      </c>
      <c r="Q145" s="480">
        <v>29.638999999999999</v>
      </c>
      <c r="R145" s="481">
        <v>7.7910000000000004</v>
      </c>
      <c r="S145" s="481">
        <v>0</v>
      </c>
      <c r="T145" s="481">
        <v>0</v>
      </c>
      <c r="U145" s="481">
        <v>0</v>
      </c>
      <c r="V145" s="481">
        <v>0</v>
      </c>
      <c r="W145" s="481">
        <v>37.43</v>
      </c>
      <c r="X145" s="481">
        <v>135.93299999999999</v>
      </c>
      <c r="Y145" s="564">
        <v>12177586.880000001</v>
      </c>
      <c r="Z145" s="564">
        <v>9537123.6899999995</v>
      </c>
    </row>
    <row r="146" spans="1:26" s="470" customFormat="1" x14ac:dyDescent="0.2">
      <c r="A146" s="468" t="s">
        <v>391</v>
      </c>
      <c r="B146" s="468" t="s">
        <v>387</v>
      </c>
      <c r="C146" s="473" t="s">
        <v>841</v>
      </c>
      <c r="D146" s="444">
        <v>48289628</v>
      </c>
      <c r="E146" s="444">
        <v>0</v>
      </c>
      <c r="F146" s="444">
        <v>48289628</v>
      </c>
      <c r="G146" s="445">
        <v>17.62</v>
      </c>
      <c r="H146" s="474">
        <v>27</v>
      </c>
      <c r="I146" s="474">
        <v>0</v>
      </c>
      <c r="J146" s="475">
        <v>27</v>
      </c>
      <c r="K146" s="476">
        <v>0</v>
      </c>
      <c r="L146" s="477">
        <v>0</v>
      </c>
      <c r="M146" s="476">
        <v>0</v>
      </c>
      <c r="N146" s="475">
        <v>0</v>
      </c>
      <c r="O146" s="478">
        <v>1.7170000000000001</v>
      </c>
      <c r="P146" s="479">
        <v>0.46800000000000003</v>
      </c>
      <c r="Q146" s="480">
        <v>29.184999999999999</v>
      </c>
      <c r="R146" s="481">
        <v>8.9499999999999993</v>
      </c>
      <c r="S146" s="481">
        <v>0</v>
      </c>
      <c r="T146" s="481">
        <v>0</v>
      </c>
      <c r="U146" s="481">
        <v>0</v>
      </c>
      <c r="V146" s="481">
        <v>0</v>
      </c>
      <c r="W146" s="481">
        <v>38.134999999999998</v>
      </c>
      <c r="X146" s="481">
        <v>100.111</v>
      </c>
      <c r="Y146" s="564">
        <v>4799141.82</v>
      </c>
      <c r="Z146" s="564">
        <v>3420152.24</v>
      </c>
    </row>
    <row r="147" spans="1:26" s="470" customFormat="1" x14ac:dyDescent="0.2">
      <c r="A147" s="468" t="s">
        <v>393</v>
      </c>
      <c r="B147" s="468" t="s">
        <v>394</v>
      </c>
      <c r="C147" s="473" t="s">
        <v>842</v>
      </c>
      <c r="D147" s="444">
        <v>174640890</v>
      </c>
      <c r="E147" s="444">
        <v>0</v>
      </c>
      <c r="F147" s="444">
        <v>174640890</v>
      </c>
      <c r="G147" s="445">
        <v>55158.64</v>
      </c>
      <c r="H147" s="474">
        <v>27</v>
      </c>
      <c r="I147" s="474">
        <v>1.4140000000000001</v>
      </c>
      <c r="J147" s="475">
        <v>25.585999999999999</v>
      </c>
      <c r="K147" s="476">
        <v>0</v>
      </c>
      <c r="L147" s="477">
        <v>0</v>
      </c>
      <c r="M147" s="476">
        <v>0</v>
      </c>
      <c r="N147" s="475">
        <v>0</v>
      </c>
      <c r="O147" s="478">
        <v>6.0419999999999998</v>
      </c>
      <c r="P147" s="479">
        <v>0.28399999999999997</v>
      </c>
      <c r="Q147" s="480">
        <v>31.911999999999999</v>
      </c>
      <c r="R147" s="481">
        <v>12.978</v>
      </c>
      <c r="S147" s="481">
        <v>0</v>
      </c>
      <c r="T147" s="481">
        <v>0</v>
      </c>
      <c r="U147" s="481">
        <v>0</v>
      </c>
      <c r="V147" s="481">
        <v>0</v>
      </c>
      <c r="W147" s="481">
        <v>44.89</v>
      </c>
      <c r="X147" s="481">
        <v>35.470999999999997</v>
      </c>
      <c r="Y147" s="564">
        <v>6337242.9900000002</v>
      </c>
      <c r="Z147" s="564">
        <v>1707065.72</v>
      </c>
    </row>
    <row r="148" spans="1:26" s="470" customFormat="1" x14ac:dyDescent="0.2">
      <c r="A148" s="468" t="s">
        <v>396</v>
      </c>
      <c r="B148" s="468" t="s">
        <v>394</v>
      </c>
      <c r="C148" s="473" t="s">
        <v>843</v>
      </c>
      <c r="D148" s="444">
        <v>2185441930</v>
      </c>
      <c r="E148" s="444">
        <v>111965842</v>
      </c>
      <c r="F148" s="444">
        <v>2073476088</v>
      </c>
      <c r="G148" s="445">
        <v>62014.58</v>
      </c>
      <c r="H148" s="474">
        <v>6.2359999999999998</v>
      </c>
      <c r="I148" s="474">
        <v>0</v>
      </c>
      <c r="J148" s="475">
        <v>6.2359999999999998</v>
      </c>
      <c r="K148" s="476">
        <v>0</v>
      </c>
      <c r="L148" s="477">
        <v>0</v>
      </c>
      <c r="M148" s="476">
        <v>0.61599999999999999</v>
      </c>
      <c r="N148" s="450">
        <v>0</v>
      </c>
      <c r="O148" s="478">
        <v>3.3780000000000001</v>
      </c>
      <c r="P148" s="479">
        <v>7.1999999999999995E-2</v>
      </c>
      <c r="Q148" s="480">
        <v>10.328999999999999</v>
      </c>
      <c r="R148" s="481">
        <v>5.1189999999999998</v>
      </c>
      <c r="S148" s="481">
        <v>0</v>
      </c>
      <c r="T148" s="481">
        <v>0</v>
      </c>
      <c r="U148" s="482">
        <v>1.1459999999999999</v>
      </c>
      <c r="V148" s="482">
        <v>0</v>
      </c>
      <c r="W148" s="481">
        <v>16.593999999999998</v>
      </c>
      <c r="X148" s="481">
        <v>14.255000000000001</v>
      </c>
      <c r="Y148" s="564">
        <v>31158516.550000001</v>
      </c>
      <c r="Z148" s="564">
        <v>19402665.559999999</v>
      </c>
    </row>
    <row r="149" spans="1:26" s="470" customFormat="1" x14ac:dyDescent="0.2">
      <c r="A149" s="468" t="s">
        <v>398</v>
      </c>
      <c r="B149" s="468" t="s">
        <v>394</v>
      </c>
      <c r="C149" s="473" t="s">
        <v>844</v>
      </c>
      <c r="D149" s="444">
        <v>163994370</v>
      </c>
      <c r="E149" s="444">
        <v>0</v>
      </c>
      <c r="F149" s="444">
        <v>163994370</v>
      </c>
      <c r="G149" s="445">
        <v>17323.21</v>
      </c>
      <c r="H149" s="488">
        <v>21.283000000000001</v>
      </c>
      <c r="I149" s="488">
        <v>0</v>
      </c>
      <c r="J149" s="475">
        <v>21.283000000000001</v>
      </c>
      <c r="K149" s="476">
        <v>0</v>
      </c>
      <c r="L149" s="477">
        <v>0</v>
      </c>
      <c r="M149" s="476">
        <v>0</v>
      </c>
      <c r="N149" s="475">
        <v>0</v>
      </c>
      <c r="O149" s="478">
        <v>8.5519999999999996</v>
      </c>
      <c r="P149" s="479">
        <v>0.14899999999999999</v>
      </c>
      <c r="Q149" s="480">
        <v>29.984000000000002</v>
      </c>
      <c r="R149" s="481">
        <v>0</v>
      </c>
      <c r="S149" s="481">
        <v>2.1709999999999998</v>
      </c>
      <c r="T149" s="481">
        <v>0</v>
      </c>
      <c r="U149" s="482">
        <v>6.94</v>
      </c>
      <c r="V149" s="482">
        <v>0</v>
      </c>
      <c r="W149" s="481">
        <v>39.094999999999999</v>
      </c>
      <c r="X149" s="481">
        <v>30.244</v>
      </c>
      <c r="Y149" s="564">
        <v>5215205.16</v>
      </c>
      <c r="Z149" s="564">
        <v>1482811.68</v>
      </c>
    </row>
    <row r="150" spans="1:26" s="470" customFormat="1" x14ac:dyDescent="0.2">
      <c r="A150" s="468" t="s">
        <v>400</v>
      </c>
      <c r="B150" s="468" t="s">
        <v>401</v>
      </c>
      <c r="C150" s="473" t="s">
        <v>845</v>
      </c>
      <c r="D150" s="444">
        <v>42381731</v>
      </c>
      <c r="E150" s="444">
        <v>0</v>
      </c>
      <c r="F150" s="444">
        <v>42381731</v>
      </c>
      <c r="G150" s="445">
        <v>2014.72</v>
      </c>
      <c r="H150" s="474">
        <v>27</v>
      </c>
      <c r="I150" s="474">
        <v>0</v>
      </c>
      <c r="J150" s="475">
        <v>27</v>
      </c>
      <c r="K150" s="476">
        <v>0</v>
      </c>
      <c r="L150" s="477">
        <v>0</v>
      </c>
      <c r="M150" s="476">
        <v>0</v>
      </c>
      <c r="N150" s="475">
        <v>0</v>
      </c>
      <c r="O150" s="478">
        <v>0</v>
      </c>
      <c r="P150" s="479">
        <v>5.8999999999999997E-2</v>
      </c>
      <c r="Q150" s="480">
        <v>27.059000000000001</v>
      </c>
      <c r="R150" s="481">
        <v>8.9469999999999992</v>
      </c>
      <c r="S150" s="481">
        <v>0</v>
      </c>
      <c r="T150" s="481">
        <v>0</v>
      </c>
      <c r="U150" s="481">
        <v>0</v>
      </c>
      <c r="V150" s="481">
        <v>0</v>
      </c>
      <c r="W150" s="481">
        <v>36.006</v>
      </c>
      <c r="X150" s="481">
        <v>86.376000000000005</v>
      </c>
      <c r="Y150" s="564">
        <v>3403118.39</v>
      </c>
      <c r="Z150" s="564">
        <v>2178307.2999999998</v>
      </c>
    </row>
    <row r="151" spans="1:26" s="470" customFormat="1" x14ac:dyDescent="0.2">
      <c r="A151" s="468" t="s">
        <v>403</v>
      </c>
      <c r="B151" s="468" t="s">
        <v>401</v>
      </c>
      <c r="C151" s="473" t="s">
        <v>846</v>
      </c>
      <c r="D151" s="503">
        <v>54129971</v>
      </c>
      <c r="E151" s="444">
        <v>0</v>
      </c>
      <c r="F151" s="503">
        <v>54129971</v>
      </c>
      <c r="G151" s="499">
        <v>3597.33</v>
      </c>
      <c r="H151" s="474">
        <v>27</v>
      </c>
      <c r="I151" s="474">
        <v>0</v>
      </c>
      <c r="J151" s="475">
        <v>27</v>
      </c>
      <c r="K151" s="476">
        <v>0</v>
      </c>
      <c r="L151" s="477">
        <v>0</v>
      </c>
      <c r="M151" s="476">
        <v>0</v>
      </c>
      <c r="N151" s="475">
        <v>0</v>
      </c>
      <c r="O151" s="478">
        <v>4.5670000000000002</v>
      </c>
      <c r="P151" s="479">
        <v>0.156</v>
      </c>
      <c r="Q151" s="480">
        <v>31.722999999999999</v>
      </c>
      <c r="R151" s="481">
        <v>9.1050000000000004</v>
      </c>
      <c r="S151" s="481">
        <v>0</v>
      </c>
      <c r="T151" s="481">
        <v>0</v>
      </c>
      <c r="U151" s="481">
        <v>0</v>
      </c>
      <c r="V151" s="481">
        <v>0</v>
      </c>
      <c r="W151" s="481">
        <v>40.828000000000003</v>
      </c>
      <c r="X151" s="481">
        <v>84.887</v>
      </c>
      <c r="Y151" s="564">
        <v>4358136.75</v>
      </c>
      <c r="Z151" s="564">
        <v>2883272.05</v>
      </c>
    </row>
    <row r="152" spans="1:26" s="470" customFormat="1" x14ac:dyDescent="0.2">
      <c r="A152" s="468" t="s">
        <v>404</v>
      </c>
      <c r="B152" s="468" t="s">
        <v>401</v>
      </c>
      <c r="C152" s="473" t="s">
        <v>847</v>
      </c>
      <c r="D152" s="444">
        <v>49469329</v>
      </c>
      <c r="E152" s="444">
        <v>0</v>
      </c>
      <c r="F152" s="444">
        <v>49469329</v>
      </c>
      <c r="G152" s="445">
        <v>3774.14</v>
      </c>
      <c r="H152" s="474">
        <v>27</v>
      </c>
      <c r="I152" s="474">
        <v>0</v>
      </c>
      <c r="J152" s="475">
        <v>27</v>
      </c>
      <c r="K152" s="476">
        <v>0</v>
      </c>
      <c r="L152" s="477">
        <v>0</v>
      </c>
      <c r="M152" s="476">
        <v>0</v>
      </c>
      <c r="N152" s="475">
        <v>0</v>
      </c>
      <c r="O152" s="478">
        <v>0</v>
      </c>
      <c r="P152" s="479">
        <v>5.8999999999999997E-2</v>
      </c>
      <c r="Q152" s="480">
        <v>27.059000000000001</v>
      </c>
      <c r="R152" s="481">
        <v>10.311</v>
      </c>
      <c r="S152" s="481">
        <v>0</v>
      </c>
      <c r="T152" s="481">
        <v>0</v>
      </c>
      <c r="U152" s="481">
        <v>0</v>
      </c>
      <c r="V152" s="481">
        <v>0</v>
      </c>
      <c r="W152" s="481">
        <v>37.370000000000005</v>
      </c>
      <c r="X152" s="481">
        <v>171.624</v>
      </c>
      <c r="Y152" s="564">
        <v>8201587.5599999996</v>
      </c>
      <c r="Z152" s="564">
        <v>6762347.0899999999</v>
      </c>
    </row>
    <row r="153" spans="1:26" s="470" customFormat="1" x14ac:dyDescent="0.2">
      <c r="A153" s="468" t="s">
        <v>406</v>
      </c>
      <c r="B153" s="468" t="s">
        <v>407</v>
      </c>
      <c r="C153" s="473" t="s">
        <v>848</v>
      </c>
      <c r="D153" s="444">
        <v>90365697</v>
      </c>
      <c r="E153" s="444">
        <v>0</v>
      </c>
      <c r="F153" s="444">
        <v>90365697</v>
      </c>
      <c r="G153" s="445">
        <v>13544</v>
      </c>
      <c r="H153" s="474">
        <v>15.009</v>
      </c>
      <c r="I153" s="474">
        <v>0</v>
      </c>
      <c r="J153" s="475">
        <v>15.009</v>
      </c>
      <c r="K153" s="476">
        <v>0</v>
      </c>
      <c r="L153" s="477">
        <v>0</v>
      </c>
      <c r="M153" s="476">
        <v>0.27</v>
      </c>
      <c r="N153" s="475">
        <v>0</v>
      </c>
      <c r="O153" s="478">
        <v>0</v>
      </c>
      <c r="P153" s="479">
        <v>2.3E-2</v>
      </c>
      <c r="Q153" s="480">
        <v>15.302</v>
      </c>
      <c r="R153" s="481">
        <v>1.25</v>
      </c>
      <c r="S153" s="481">
        <v>0</v>
      </c>
      <c r="T153" s="481">
        <v>0</v>
      </c>
      <c r="U153" s="481">
        <v>0</v>
      </c>
      <c r="V153" s="481">
        <v>0</v>
      </c>
      <c r="W153" s="481">
        <v>16.552</v>
      </c>
      <c r="X153" s="481">
        <v>23.437999999999999</v>
      </c>
      <c r="Y153" s="564">
        <v>1902380.39</v>
      </c>
      <c r="Z153" s="564">
        <v>656856.61</v>
      </c>
    </row>
    <row r="154" spans="1:26" s="470" customFormat="1" x14ac:dyDescent="0.2">
      <c r="A154" s="468" t="s">
        <v>409</v>
      </c>
      <c r="B154" s="468" t="s">
        <v>410</v>
      </c>
      <c r="C154" s="473" t="s">
        <v>849</v>
      </c>
      <c r="D154" s="444">
        <v>1638404652.6199999</v>
      </c>
      <c r="E154" s="444">
        <v>0</v>
      </c>
      <c r="F154" s="444">
        <v>1638404652.6199999</v>
      </c>
      <c r="G154" s="445">
        <v>40213.329999999994</v>
      </c>
      <c r="H154" s="474">
        <v>7.2809999999999997</v>
      </c>
      <c r="I154" s="474">
        <v>0</v>
      </c>
      <c r="J154" s="475">
        <v>7.2809999999999997</v>
      </c>
      <c r="K154" s="476">
        <v>0</v>
      </c>
      <c r="L154" s="477">
        <v>0</v>
      </c>
      <c r="M154" s="476">
        <v>0</v>
      </c>
      <c r="N154" s="475">
        <v>0</v>
      </c>
      <c r="O154" s="478">
        <v>3.036</v>
      </c>
      <c r="P154" s="479">
        <v>8.8999999999999996E-2</v>
      </c>
      <c r="Q154" s="480">
        <v>10.406000000000001</v>
      </c>
      <c r="R154" s="481">
        <v>3.129</v>
      </c>
      <c r="S154" s="481">
        <v>0.34399999999999997</v>
      </c>
      <c r="T154" s="481">
        <v>0</v>
      </c>
      <c r="U154" s="481">
        <v>0</v>
      </c>
      <c r="V154" s="481">
        <v>0</v>
      </c>
      <c r="W154" s="481">
        <v>13.879</v>
      </c>
      <c r="X154" s="481">
        <v>9.1820000000000004</v>
      </c>
      <c r="Y154" s="564">
        <v>13370071.560000001</v>
      </c>
      <c r="Z154" s="564">
        <v>2702111.25</v>
      </c>
    </row>
    <row r="155" spans="1:26" s="470" customFormat="1" x14ac:dyDescent="0.2">
      <c r="A155" s="468" t="s">
        <v>412</v>
      </c>
      <c r="B155" s="468" t="s">
        <v>410</v>
      </c>
      <c r="C155" s="473" t="s">
        <v>850</v>
      </c>
      <c r="D155" s="444">
        <v>66727178.950000003</v>
      </c>
      <c r="E155" s="444">
        <v>0</v>
      </c>
      <c r="F155" s="444">
        <v>66727178.950000003</v>
      </c>
      <c r="G155" s="445">
        <v>2028.3999999999999</v>
      </c>
      <c r="H155" s="474">
        <v>16.998999999999999</v>
      </c>
      <c r="I155" s="474">
        <v>8.0890000000000004</v>
      </c>
      <c r="J155" s="475">
        <v>8.9099999999999984</v>
      </c>
      <c r="K155" s="476">
        <v>0</v>
      </c>
      <c r="L155" s="477">
        <v>0</v>
      </c>
      <c r="M155" s="476">
        <v>0</v>
      </c>
      <c r="N155" s="475">
        <v>0</v>
      </c>
      <c r="O155" s="478">
        <v>8.5649999999999995</v>
      </c>
      <c r="P155" s="479">
        <v>5.8000000000000003E-2</v>
      </c>
      <c r="Q155" s="480">
        <v>17.532999999999998</v>
      </c>
      <c r="R155" s="481">
        <v>0</v>
      </c>
      <c r="S155" s="481">
        <v>0</v>
      </c>
      <c r="T155" s="481">
        <v>0</v>
      </c>
      <c r="U155" s="481">
        <v>0</v>
      </c>
      <c r="V155" s="481">
        <v>0</v>
      </c>
      <c r="W155" s="481">
        <v>17.532999999999998</v>
      </c>
      <c r="X155" s="481">
        <v>63.274000000000001</v>
      </c>
      <c r="Y155" s="564">
        <v>3805304.78</v>
      </c>
      <c r="Z155" s="564">
        <v>3251342.16</v>
      </c>
    </row>
    <row r="156" spans="1:26" s="470" customFormat="1" x14ac:dyDescent="0.2">
      <c r="A156" s="468" t="s">
        <v>414</v>
      </c>
      <c r="B156" s="468" t="s">
        <v>415</v>
      </c>
      <c r="C156" s="473" t="s">
        <v>851</v>
      </c>
      <c r="D156" s="444">
        <v>37202667</v>
      </c>
      <c r="E156" s="444">
        <v>0</v>
      </c>
      <c r="F156" s="444">
        <v>37202667</v>
      </c>
      <c r="G156" s="445">
        <v>8642.68</v>
      </c>
      <c r="H156" s="474">
        <v>27</v>
      </c>
      <c r="I156" s="474">
        <v>0</v>
      </c>
      <c r="J156" s="475">
        <v>27</v>
      </c>
      <c r="K156" s="476">
        <v>0</v>
      </c>
      <c r="L156" s="477">
        <v>0</v>
      </c>
      <c r="M156" s="476">
        <v>0</v>
      </c>
      <c r="N156" s="475">
        <v>0</v>
      </c>
      <c r="O156" s="478">
        <v>0</v>
      </c>
      <c r="P156" s="479">
        <v>0.17899999999999999</v>
      </c>
      <c r="Q156" s="480">
        <v>27.178999999999998</v>
      </c>
      <c r="R156" s="481">
        <v>13.528</v>
      </c>
      <c r="S156" s="481">
        <v>0</v>
      </c>
      <c r="T156" s="481">
        <v>0</v>
      </c>
      <c r="U156" s="481">
        <v>0</v>
      </c>
      <c r="V156" s="481">
        <v>0</v>
      </c>
      <c r="W156" s="481">
        <v>40.707000000000001</v>
      </c>
      <c r="X156" s="481">
        <v>197.37299999999999</v>
      </c>
      <c r="Y156" s="564">
        <v>8090226.3799999999</v>
      </c>
      <c r="Z156" s="564">
        <v>6889207.1299999999</v>
      </c>
    </row>
    <row r="157" spans="1:26" s="470" customFormat="1" x14ac:dyDescent="0.2">
      <c r="A157" s="468" t="s">
        <v>417</v>
      </c>
      <c r="B157" s="468" t="s">
        <v>415</v>
      </c>
      <c r="C157" s="473" t="s">
        <v>852</v>
      </c>
      <c r="D157" s="444">
        <v>30919956</v>
      </c>
      <c r="E157" s="444">
        <v>0</v>
      </c>
      <c r="F157" s="444">
        <v>30919956</v>
      </c>
      <c r="G157" s="445">
        <v>1957.89</v>
      </c>
      <c r="H157" s="474">
        <v>27</v>
      </c>
      <c r="I157" s="474">
        <v>0</v>
      </c>
      <c r="J157" s="475">
        <v>27</v>
      </c>
      <c r="K157" s="476">
        <v>0</v>
      </c>
      <c r="L157" s="477">
        <v>0</v>
      </c>
      <c r="M157" s="476">
        <v>2.4809999999999999</v>
      </c>
      <c r="N157" s="475">
        <v>0</v>
      </c>
      <c r="O157" s="478">
        <v>0</v>
      </c>
      <c r="P157" s="479">
        <v>0</v>
      </c>
      <c r="Q157" s="480">
        <v>29.481000000000002</v>
      </c>
      <c r="R157" s="481">
        <v>13</v>
      </c>
      <c r="S157" s="481">
        <v>0</v>
      </c>
      <c r="T157" s="481">
        <v>0</v>
      </c>
      <c r="U157" s="481">
        <v>0</v>
      </c>
      <c r="V157" s="481">
        <v>0</v>
      </c>
      <c r="W157" s="481">
        <v>42.481000000000002</v>
      </c>
      <c r="X157" s="481">
        <v>85.018000000000001</v>
      </c>
      <c r="Y157" s="564">
        <v>2843721.35</v>
      </c>
      <c r="Z157" s="564">
        <v>1874846.9</v>
      </c>
    </row>
    <row r="158" spans="1:26" s="470" customFormat="1" x14ac:dyDescent="0.2">
      <c r="A158" s="468" t="s">
        <v>419</v>
      </c>
      <c r="B158" s="468" t="s">
        <v>420</v>
      </c>
      <c r="C158" s="473" t="s">
        <v>853</v>
      </c>
      <c r="D158" s="444">
        <v>3959456940</v>
      </c>
      <c r="E158" s="444">
        <v>66686260</v>
      </c>
      <c r="F158" s="444">
        <v>3892770680</v>
      </c>
      <c r="G158" s="445">
        <v>154627.18</v>
      </c>
      <c r="H158" s="474">
        <v>10.666</v>
      </c>
      <c r="I158" s="474">
        <v>0</v>
      </c>
      <c r="J158" s="483">
        <v>10.666</v>
      </c>
      <c r="K158" s="484">
        <v>0</v>
      </c>
      <c r="L158" s="485">
        <v>0</v>
      </c>
      <c r="M158" s="476">
        <v>0.435</v>
      </c>
      <c r="N158" s="475">
        <v>0</v>
      </c>
      <c r="O158" s="478">
        <v>1.8120000000000001</v>
      </c>
      <c r="P158" s="479">
        <v>1.7999999999999999E-2</v>
      </c>
      <c r="Q158" s="480">
        <v>12.931000000000001</v>
      </c>
      <c r="R158" s="481">
        <v>1.591</v>
      </c>
      <c r="S158" s="481">
        <v>0.25900000000000001</v>
      </c>
      <c r="T158" s="481">
        <v>0</v>
      </c>
      <c r="U158" s="481">
        <v>1</v>
      </c>
      <c r="V158" s="481">
        <v>0</v>
      </c>
      <c r="W158" s="481">
        <v>15.781000000000001</v>
      </c>
      <c r="X158" s="481">
        <v>10.93</v>
      </c>
      <c r="Y158" s="564">
        <v>42788890.170000002</v>
      </c>
      <c r="Z158" s="564">
        <v>989770.17</v>
      </c>
    </row>
    <row r="159" spans="1:26" s="470" customFormat="1" x14ac:dyDescent="0.2">
      <c r="A159" s="468" t="s">
        <v>421</v>
      </c>
      <c r="B159" s="468" t="s">
        <v>422</v>
      </c>
      <c r="C159" s="473" t="s">
        <v>854</v>
      </c>
      <c r="D159" s="444">
        <v>429104561.37</v>
      </c>
      <c r="E159" s="444">
        <v>0</v>
      </c>
      <c r="F159" s="444">
        <v>429104561.37</v>
      </c>
      <c r="G159" s="445">
        <v>5212.0600000000004</v>
      </c>
      <c r="H159" s="474">
        <v>9.6240000000000006</v>
      </c>
      <c r="I159" s="474">
        <v>0</v>
      </c>
      <c r="J159" s="483">
        <v>9.6240000000000006</v>
      </c>
      <c r="K159" s="484">
        <v>0</v>
      </c>
      <c r="L159" s="485">
        <v>0</v>
      </c>
      <c r="M159" s="476">
        <v>0</v>
      </c>
      <c r="N159" s="475">
        <v>0</v>
      </c>
      <c r="O159" s="478">
        <v>1.411</v>
      </c>
      <c r="P159" s="479">
        <v>5.0000000000000001E-3</v>
      </c>
      <c r="Q159" s="480">
        <v>10.673999999999999</v>
      </c>
      <c r="R159" s="481">
        <v>1.1879999999999999</v>
      </c>
      <c r="S159" s="481">
        <v>0</v>
      </c>
      <c r="T159" s="481">
        <v>0</v>
      </c>
      <c r="U159" s="481">
        <v>0</v>
      </c>
      <c r="V159" s="481">
        <v>0</v>
      </c>
      <c r="W159" s="481">
        <v>11.862</v>
      </c>
      <c r="X159" s="481">
        <v>11.128</v>
      </c>
      <c r="Y159" s="564">
        <v>4884803.9000000004</v>
      </c>
      <c r="Z159" s="564">
        <v>614479</v>
      </c>
    </row>
    <row r="160" spans="1:26" s="470" customFormat="1" x14ac:dyDescent="0.2">
      <c r="A160" s="468" t="s">
        <v>424</v>
      </c>
      <c r="B160" s="468" t="s">
        <v>422</v>
      </c>
      <c r="C160" s="473" t="s">
        <v>855</v>
      </c>
      <c r="D160" s="444">
        <v>493634124.43000001</v>
      </c>
      <c r="E160" s="444">
        <v>13834618</v>
      </c>
      <c r="F160" s="444">
        <v>479799506.43000001</v>
      </c>
      <c r="G160" s="445">
        <v>22716.14</v>
      </c>
      <c r="H160" s="474">
        <v>27</v>
      </c>
      <c r="I160" s="474">
        <v>0</v>
      </c>
      <c r="J160" s="475">
        <v>27</v>
      </c>
      <c r="K160" s="476">
        <v>0</v>
      </c>
      <c r="L160" s="477">
        <v>0</v>
      </c>
      <c r="M160" s="476">
        <v>0</v>
      </c>
      <c r="N160" s="475">
        <v>0</v>
      </c>
      <c r="O160" s="478">
        <v>2.6419999999999999</v>
      </c>
      <c r="P160" s="479">
        <v>6.5000000000000002E-2</v>
      </c>
      <c r="Q160" s="480">
        <v>29.707000000000001</v>
      </c>
      <c r="R160" s="481">
        <v>0</v>
      </c>
      <c r="S160" s="481">
        <v>0</v>
      </c>
      <c r="T160" s="481">
        <v>0</v>
      </c>
      <c r="U160" s="481">
        <v>0</v>
      </c>
      <c r="V160" s="481">
        <v>0</v>
      </c>
      <c r="W160" s="481">
        <v>29.707000000000001</v>
      </c>
      <c r="X160" s="481">
        <v>45.317</v>
      </c>
      <c r="Y160" s="564">
        <v>21970505.670000002</v>
      </c>
      <c r="Z160" s="564">
        <v>8516909.9299999997</v>
      </c>
    </row>
    <row r="161" spans="1:26" s="470" customFormat="1" x14ac:dyDescent="0.2">
      <c r="A161" s="468" t="s">
        <v>426</v>
      </c>
      <c r="B161" s="468" t="s">
        <v>427</v>
      </c>
      <c r="C161" s="473" t="s">
        <v>856</v>
      </c>
      <c r="D161" s="444">
        <v>57477849</v>
      </c>
      <c r="E161" s="444">
        <v>0</v>
      </c>
      <c r="F161" s="444">
        <v>57477849</v>
      </c>
      <c r="G161" s="445">
        <v>0</v>
      </c>
      <c r="H161" s="474">
        <v>27</v>
      </c>
      <c r="I161" s="474">
        <v>0</v>
      </c>
      <c r="J161" s="475">
        <v>27</v>
      </c>
      <c r="K161" s="476">
        <v>0</v>
      </c>
      <c r="L161" s="477">
        <v>0</v>
      </c>
      <c r="M161" s="476">
        <v>0</v>
      </c>
      <c r="N161" s="475">
        <v>0</v>
      </c>
      <c r="O161" s="478">
        <v>0</v>
      </c>
      <c r="P161" s="479">
        <v>0.14099999999999999</v>
      </c>
      <c r="Q161" s="480">
        <v>27.140999999999998</v>
      </c>
      <c r="R161" s="481">
        <v>9.94</v>
      </c>
      <c r="S161" s="481">
        <v>0</v>
      </c>
      <c r="T161" s="481">
        <v>0</v>
      </c>
      <c r="U161" s="481">
        <v>0</v>
      </c>
      <c r="V161" s="481">
        <v>0</v>
      </c>
      <c r="W161" s="481">
        <v>37.080999999999996</v>
      </c>
      <c r="X161" s="481">
        <v>103.736</v>
      </c>
      <c r="Y161" s="564">
        <v>5894100.7999999998</v>
      </c>
      <c r="Z161" s="564">
        <v>4240342.9400000004</v>
      </c>
    </row>
    <row r="162" spans="1:26" s="470" customFormat="1" x14ac:dyDescent="0.2">
      <c r="A162" s="468" t="s">
        <v>429</v>
      </c>
      <c r="B162" s="468" t="s">
        <v>427</v>
      </c>
      <c r="C162" s="473" t="s">
        <v>857</v>
      </c>
      <c r="D162" s="444">
        <v>33165605</v>
      </c>
      <c r="E162" s="444">
        <v>0</v>
      </c>
      <c r="F162" s="444">
        <v>33165605</v>
      </c>
      <c r="G162" s="445">
        <v>2488</v>
      </c>
      <c r="H162" s="474">
        <v>27</v>
      </c>
      <c r="I162" s="474">
        <v>7.8190000000000008</v>
      </c>
      <c r="J162" s="475">
        <v>19.180999999999997</v>
      </c>
      <c r="K162" s="476">
        <v>0</v>
      </c>
      <c r="L162" s="477">
        <v>0</v>
      </c>
      <c r="M162" s="476">
        <v>0.23300000000000001</v>
      </c>
      <c r="N162" s="475">
        <v>0</v>
      </c>
      <c r="O162" s="478">
        <v>8.4</v>
      </c>
      <c r="P162" s="479">
        <v>9.1999999999999998E-2</v>
      </c>
      <c r="Q162" s="480">
        <v>27.905999999999999</v>
      </c>
      <c r="R162" s="481">
        <v>0</v>
      </c>
      <c r="S162" s="481">
        <v>0</v>
      </c>
      <c r="T162" s="481">
        <v>0</v>
      </c>
      <c r="U162" s="481">
        <v>0</v>
      </c>
      <c r="V162" s="481">
        <v>0</v>
      </c>
      <c r="W162" s="481">
        <v>27.905999999999999</v>
      </c>
      <c r="X162" s="481">
        <v>61.441000000000003</v>
      </c>
      <c r="Y162" s="564">
        <v>1991377.31</v>
      </c>
      <c r="Z162" s="564">
        <v>1322213.1599999999</v>
      </c>
    </row>
    <row r="163" spans="1:26" s="470" customFormat="1" x14ac:dyDescent="0.2">
      <c r="A163" s="468" t="s">
        <v>431</v>
      </c>
      <c r="B163" s="468" t="s">
        <v>427</v>
      </c>
      <c r="C163" s="473" t="s">
        <v>858</v>
      </c>
      <c r="D163" s="444">
        <v>24698104</v>
      </c>
      <c r="E163" s="444">
        <v>0</v>
      </c>
      <c r="F163" s="444">
        <v>24698104</v>
      </c>
      <c r="G163" s="445">
        <v>0</v>
      </c>
      <c r="H163" s="474">
        <v>27</v>
      </c>
      <c r="I163" s="474">
        <v>0</v>
      </c>
      <c r="J163" s="475">
        <v>27</v>
      </c>
      <c r="K163" s="476">
        <v>0</v>
      </c>
      <c r="L163" s="477">
        <v>0</v>
      </c>
      <c r="M163" s="476">
        <v>0</v>
      </c>
      <c r="N163" s="475">
        <v>0</v>
      </c>
      <c r="O163" s="478">
        <v>0</v>
      </c>
      <c r="P163" s="479">
        <v>0</v>
      </c>
      <c r="Q163" s="480">
        <v>27</v>
      </c>
      <c r="R163" s="481">
        <v>7.1879999999999997</v>
      </c>
      <c r="S163" s="481">
        <v>0</v>
      </c>
      <c r="T163" s="481">
        <v>0</v>
      </c>
      <c r="U163" s="481">
        <v>0</v>
      </c>
      <c r="V163" s="481">
        <v>0</v>
      </c>
      <c r="W163" s="481">
        <v>34.188000000000002</v>
      </c>
      <c r="X163" s="481">
        <v>151.47900000000001</v>
      </c>
      <c r="Y163" s="564">
        <v>3722187.28</v>
      </c>
      <c r="Z163" s="564">
        <v>2998037.84</v>
      </c>
    </row>
    <row r="164" spans="1:26" s="470" customFormat="1" x14ac:dyDescent="0.2">
      <c r="A164" s="468" t="s">
        <v>433</v>
      </c>
      <c r="B164" s="468" t="s">
        <v>427</v>
      </c>
      <c r="C164" s="473" t="s">
        <v>859</v>
      </c>
      <c r="D164" s="444">
        <v>31339286</v>
      </c>
      <c r="E164" s="444">
        <v>0</v>
      </c>
      <c r="F164" s="444">
        <v>31339286</v>
      </c>
      <c r="G164" s="445">
        <v>480</v>
      </c>
      <c r="H164" s="474">
        <v>27</v>
      </c>
      <c r="I164" s="474">
        <v>0</v>
      </c>
      <c r="J164" s="475">
        <v>27</v>
      </c>
      <c r="K164" s="476">
        <v>0</v>
      </c>
      <c r="L164" s="477">
        <v>0</v>
      </c>
      <c r="M164" s="476">
        <v>0</v>
      </c>
      <c r="N164" s="475">
        <v>0</v>
      </c>
      <c r="O164" s="478">
        <v>0</v>
      </c>
      <c r="P164" s="479">
        <v>0</v>
      </c>
      <c r="Q164" s="480">
        <v>27</v>
      </c>
      <c r="R164" s="481">
        <v>0</v>
      </c>
      <c r="S164" s="481">
        <v>0</v>
      </c>
      <c r="T164" s="481">
        <v>0</v>
      </c>
      <c r="U164" s="481">
        <v>0</v>
      </c>
      <c r="V164" s="481">
        <v>0</v>
      </c>
      <c r="W164" s="481">
        <v>27</v>
      </c>
      <c r="X164" s="481">
        <v>78.424000000000007</v>
      </c>
      <c r="Y164" s="564">
        <v>2767543.75</v>
      </c>
      <c r="Z164" s="564">
        <v>1757615.66</v>
      </c>
    </row>
    <row r="165" spans="1:26" s="470" customFormat="1" x14ac:dyDescent="0.2">
      <c r="A165" s="468" t="s">
        <v>435</v>
      </c>
      <c r="B165" s="468" t="s">
        <v>427</v>
      </c>
      <c r="C165" s="473" t="s">
        <v>860</v>
      </c>
      <c r="D165" s="444">
        <v>38678526</v>
      </c>
      <c r="E165" s="444">
        <v>0</v>
      </c>
      <c r="F165" s="444">
        <v>38678526</v>
      </c>
      <c r="G165" s="445">
        <v>1207</v>
      </c>
      <c r="H165" s="474">
        <v>27</v>
      </c>
      <c r="I165" s="474">
        <v>2.2279999999999998</v>
      </c>
      <c r="J165" s="475">
        <v>24.771999999999998</v>
      </c>
      <c r="K165" s="476">
        <v>0</v>
      </c>
      <c r="L165" s="477">
        <v>0</v>
      </c>
      <c r="M165" s="476">
        <v>2.161</v>
      </c>
      <c r="N165" s="475">
        <v>0</v>
      </c>
      <c r="O165" s="478">
        <v>5.7560000000000002</v>
      </c>
      <c r="P165" s="479">
        <v>0.435</v>
      </c>
      <c r="Q165" s="480">
        <v>33.124000000000002</v>
      </c>
      <c r="R165" s="481">
        <v>0</v>
      </c>
      <c r="S165" s="481">
        <v>0</v>
      </c>
      <c r="T165" s="481">
        <v>0</v>
      </c>
      <c r="U165" s="481">
        <v>0</v>
      </c>
      <c r="V165" s="481">
        <v>0</v>
      </c>
      <c r="W165" s="481">
        <v>33.124000000000002</v>
      </c>
      <c r="X165" s="481">
        <v>43.332000000000001</v>
      </c>
      <c r="Y165" s="564">
        <v>1735535.5</v>
      </c>
      <c r="Z165" s="564">
        <v>694574.5</v>
      </c>
    </row>
    <row r="166" spans="1:26" s="470" customFormat="1" x14ac:dyDescent="0.2">
      <c r="A166" s="468" t="s">
        <v>437</v>
      </c>
      <c r="B166" s="468" t="s">
        <v>438</v>
      </c>
      <c r="C166" s="473" t="s">
        <v>861</v>
      </c>
      <c r="D166" s="444">
        <v>1731008670</v>
      </c>
      <c r="E166" s="444">
        <v>245242</v>
      </c>
      <c r="F166" s="444">
        <v>1730763428</v>
      </c>
      <c r="G166" s="445">
        <v>6525.88</v>
      </c>
      <c r="H166" s="474">
        <v>9.6389999999999993</v>
      </c>
      <c r="I166" s="474">
        <v>0</v>
      </c>
      <c r="J166" s="475">
        <v>9.6389999999999993</v>
      </c>
      <c r="K166" s="476">
        <v>0</v>
      </c>
      <c r="L166" s="477">
        <v>0</v>
      </c>
      <c r="M166" s="476">
        <v>0</v>
      </c>
      <c r="N166" s="475">
        <v>0</v>
      </c>
      <c r="O166" s="478">
        <v>2.7810000000000001</v>
      </c>
      <c r="P166" s="479">
        <v>1E-3</v>
      </c>
      <c r="Q166" s="480">
        <v>12.420999999999999</v>
      </c>
      <c r="R166" s="481">
        <v>3.6</v>
      </c>
      <c r="S166" s="481">
        <v>0</v>
      </c>
      <c r="T166" s="481">
        <v>0</v>
      </c>
      <c r="U166" s="481">
        <v>0</v>
      </c>
      <c r="V166" s="481">
        <v>0</v>
      </c>
      <c r="W166" s="481">
        <v>16.021000000000001</v>
      </c>
      <c r="X166" s="481">
        <v>15.103</v>
      </c>
      <c r="Y166" s="564">
        <v>21080079.800000001</v>
      </c>
      <c r="Z166" s="564">
        <v>7368483.0700000003</v>
      </c>
    </row>
    <row r="167" spans="1:26" s="470" customFormat="1" x14ac:dyDescent="0.2">
      <c r="A167" s="468" t="s">
        <v>440</v>
      </c>
      <c r="B167" s="468" t="s">
        <v>438</v>
      </c>
      <c r="C167" s="473" t="s">
        <v>862</v>
      </c>
      <c r="D167" s="444">
        <v>1023418280</v>
      </c>
      <c r="E167" s="444">
        <v>415010</v>
      </c>
      <c r="F167" s="444">
        <v>1023003270</v>
      </c>
      <c r="G167" s="445">
        <v>10043.9</v>
      </c>
      <c r="H167" s="488">
        <v>22.207999999999998</v>
      </c>
      <c r="I167" s="488">
        <v>0</v>
      </c>
      <c r="J167" s="483">
        <v>22.207999999999998</v>
      </c>
      <c r="K167" s="484">
        <v>0</v>
      </c>
      <c r="L167" s="485">
        <v>0</v>
      </c>
      <c r="M167" s="476">
        <v>0</v>
      </c>
      <c r="N167" s="475">
        <v>0</v>
      </c>
      <c r="O167" s="478">
        <v>3.242</v>
      </c>
      <c r="P167" s="479">
        <v>4.0000000000000001E-3</v>
      </c>
      <c r="Q167" s="480">
        <v>25.454000000000001</v>
      </c>
      <c r="R167" s="481">
        <v>11.378</v>
      </c>
      <c r="S167" s="481">
        <v>0</v>
      </c>
      <c r="T167" s="481">
        <v>0</v>
      </c>
      <c r="U167" s="481">
        <v>0</v>
      </c>
      <c r="V167" s="481">
        <v>0</v>
      </c>
      <c r="W167" s="481">
        <v>36.832000000000001</v>
      </c>
      <c r="X167" s="481">
        <v>27.35</v>
      </c>
      <c r="Y167" s="564">
        <v>23028042.300000001</v>
      </c>
      <c r="Z167" s="564">
        <v>4146439.09</v>
      </c>
    </row>
    <row r="168" spans="1:26" s="470" customFormat="1" x14ac:dyDescent="0.2">
      <c r="A168" s="468" t="s">
        <v>442</v>
      </c>
      <c r="B168" s="468" t="s">
        <v>438</v>
      </c>
      <c r="C168" s="473" t="s">
        <v>863</v>
      </c>
      <c r="D168" s="444">
        <v>2287616976</v>
      </c>
      <c r="E168" s="444">
        <v>0</v>
      </c>
      <c r="F168" s="444">
        <v>2287616976</v>
      </c>
      <c r="G168" s="445">
        <v>273071.08</v>
      </c>
      <c r="H168" s="474">
        <v>10.845000000000001</v>
      </c>
      <c r="I168" s="474">
        <v>0</v>
      </c>
      <c r="J168" s="483">
        <v>10.845000000000001</v>
      </c>
      <c r="K168" s="484">
        <v>0</v>
      </c>
      <c r="L168" s="485">
        <v>0</v>
      </c>
      <c r="M168" s="476">
        <v>2.1999999999999999E-2</v>
      </c>
      <c r="N168" s="475">
        <v>0</v>
      </c>
      <c r="O168" s="478">
        <v>2.0840000000000001</v>
      </c>
      <c r="P168" s="479">
        <v>2.5999999999999999E-2</v>
      </c>
      <c r="Q168" s="480">
        <v>12.977</v>
      </c>
      <c r="R168" s="481">
        <v>3.0190000000000001</v>
      </c>
      <c r="S168" s="481">
        <v>0</v>
      </c>
      <c r="T168" s="481">
        <v>0</v>
      </c>
      <c r="U168" s="481">
        <v>0</v>
      </c>
      <c r="V168" s="481">
        <v>0</v>
      </c>
      <c r="W168" s="481">
        <v>15.996</v>
      </c>
      <c r="X168" s="481">
        <v>13.262</v>
      </c>
      <c r="Y168" s="564">
        <v>30258313.629999999</v>
      </c>
      <c r="Z168" s="564">
        <v>5343586.95</v>
      </c>
    </row>
    <row r="169" spans="1:26" s="470" customFormat="1" x14ac:dyDescent="0.2">
      <c r="A169" s="468" t="s">
        <v>444</v>
      </c>
      <c r="B169" s="468" t="s">
        <v>438</v>
      </c>
      <c r="C169" s="473" t="s">
        <v>864</v>
      </c>
      <c r="D169" s="444">
        <v>2186030160</v>
      </c>
      <c r="E169" s="444">
        <v>1694075</v>
      </c>
      <c r="F169" s="444">
        <v>2184336085</v>
      </c>
      <c r="G169" s="445">
        <v>457264.07</v>
      </c>
      <c r="H169" s="474">
        <v>27</v>
      </c>
      <c r="I169" s="474">
        <v>0</v>
      </c>
      <c r="J169" s="475">
        <v>27</v>
      </c>
      <c r="K169" s="476">
        <v>0</v>
      </c>
      <c r="L169" s="477">
        <v>0</v>
      </c>
      <c r="M169" s="476">
        <v>0</v>
      </c>
      <c r="N169" s="475">
        <v>0</v>
      </c>
      <c r="O169" s="478">
        <v>5.8339999999999996</v>
      </c>
      <c r="P169" s="479">
        <v>0.16600000000000001</v>
      </c>
      <c r="Q169" s="480">
        <v>33</v>
      </c>
      <c r="R169" s="481">
        <v>15.319000000000001</v>
      </c>
      <c r="S169" s="481">
        <v>0</v>
      </c>
      <c r="T169" s="481">
        <v>0</v>
      </c>
      <c r="U169" s="481">
        <v>0</v>
      </c>
      <c r="V169" s="481">
        <v>0</v>
      </c>
      <c r="W169" s="481">
        <v>48.319000000000003</v>
      </c>
      <c r="X169" s="481">
        <v>48.805</v>
      </c>
      <c r="Y169" s="564">
        <v>94310893.129999995</v>
      </c>
      <c r="Z169" s="564">
        <v>41126694.659999996</v>
      </c>
    </row>
    <row r="170" spans="1:26" s="470" customFormat="1" x14ac:dyDescent="0.2">
      <c r="A170" s="468" t="s">
        <v>446</v>
      </c>
      <c r="B170" s="468" t="s">
        <v>438</v>
      </c>
      <c r="C170" s="473" t="s">
        <v>865</v>
      </c>
      <c r="D170" s="444">
        <v>1278590277</v>
      </c>
      <c r="E170" s="444">
        <v>0</v>
      </c>
      <c r="F170" s="444">
        <v>1278590277</v>
      </c>
      <c r="G170" s="445">
        <v>38549.649999999994</v>
      </c>
      <c r="H170" s="474">
        <v>27</v>
      </c>
      <c r="I170" s="474">
        <v>3.5860000000000003</v>
      </c>
      <c r="J170" s="475">
        <v>23.414000000000001</v>
      </c>
      <c r="K170" s="476">
        <v>0</v>
      </c>
      <c r="L170" s="477">
        <v>0</v>
      </c>
      <c r="M170" s="476">
        <v>0</v>
      </c>
      <c r="N170" s="475">
        <v>0</v>
      </c>
      <c r="O170" s="478">
        <v>3.738</v>
      </c>
      <c r="P170" s="479">
        <v>2.5000000000000001E-2</v>
      </c>
      <c r="Q170" s="480">
        <v>27.177</v>
      </c>
      <c r="R170" s="481">
        <v>9.9019999999999992</v>
      </c>
      <c r="S170" s="481">
        <v>0</v>
      </c>
      <c r="T170" s="481">
        <v>0</v>
      </c>
      <c r="U170" s="481">
        <v>0</v>
      </c>
      <c r="V170" s="481">
        <v>0</v>
      </c>
      <c r="W170" s="481">
        <v>37.079000000000001</v>
      </c>
      <c r="X170" s="481">
        <v>33.591000000000001</v>
      </c>
      <c r="Y170" s="564">
        <v>45024271.32</v>
      </c>
      <c r="Z170" s="564">
        <v>13359614.07</v>
      </c>
    </row>
    <row r="171" spans="1:26" s="470" customFormat="1" x14ac:dyDescent="0.2">
      <c r="A171" s="468" t="s">
        <v>448</v>
      </c>
      <c r="B171" s="468" t="s">
        <v>438</v>
      </c>
      <c r="C171" s="473" t="s">
        <v>866</v>
      </c>
      <c r="D171" s="444">
        <v>2797660890</v>
      </c>
      <c r="E171" s="444">
        <v>137949216</v>
      </c>
      <c r="F171" s="444">
        <v>2659711674</v>
      </c>
      <c r="G171" s="445">
        <v>305039.69</v>
      </c>
      <c r="H171" s="474">
        <v>27</v>
      </c>
      <c r="I171" s="474">
        <v>0</v>
      </c>
      <c r="J171" s="475">
        <v>27</v>
      </c>
      <c r="K171" s="476">
        <v>0</v>
      </c>
      <c r="L171" s="477">
        <v>0</v>
      </c>
      <c r="M171" s="476">
        <v>0</v>
      </c>
      <c r="N171" s="475">
        <v>0</v>
      </c>
      <c r="O171" s="478">
        <v>10</v>
      </c>
      <c r="P171" s="479">
        <v>0.09</v>
      </c>
      <c r="Q171" s="480">
        <v>37.090000000000003</v>
      </c>
      <c r="R171" s="481">
        <v>10</v>
      </c>
      <c r="S171" s="481">
        <v>0</v>
      </c>
      <c r="T171" s="481">
        <v>0</v>
      </c>
      <c r="U171" s="481">
        <v>0</v>
      </c>
      <c r="V171" s="481">
        <v>0</v>
      </c>
      <c r="W171" s="481">
        <v>47.09</v>
      </c>
      <c r="X171" s="481">
        <v>109.479</v>
      </c>
      <c r="Y171" s="564">
        <v>266370825.75999999</v>
      </c>
      <c r="Z171" s="564">
        <v>198171911.37</v>
      </c>
    </row>
    <row r="172" spans="1:26" s="470" customFormat="1" x14ac:dyDescent="0.2">
      <c r="A172" s="468" t="s">
        <v>450</v>
      </c>
      <c r="B172" s="468" t="s">
        <v>438</v>
      </c>
      <c r="C172" s="473" t="s">
        <v>867</v>
      </c>
      <c r="D172" s="444">
        <v>2690425670</v>
      </c>
      <c r="E172" s="444">
        <v>0</v>
      </c>
      <c r="F172" s="444">
        <v>2690425670</v>
      </c>
      <c r="G172" s="445">
        <v>329.5</v>
      </c>
      <c r="H172" s="488">
        <v>5.6239999999999997</v>
      </c>
      <c r="I172" s="488">
        <v>0</v>
      </c>
      <c r="J172" s="483">
        <v>5.6239999999999997</v>
      </c>
      <c r="K172" s="484">
        <v>0.20699999999999999</v>
      </c>
      <c r="L172" s="485">
        <v>1.413</v>
      </c>
      <c r="M172" s="476">
        <v>0</v>
      </c>
      <c r="N172" s="475">
        <v>0</v>
      </c>
      <c r="O172" s="478">
        <v>0.92800000000000005</v>
      </c>
      <c r="P172" s="479">
        <v>0</v>
      </c>
      <c r="Q172" s="480">
        <v>6.5519999999999996</v>
      </c>
      <c r="R172" s="481">
        <v>3.8</v>
      </c>
      <c r="S172" s="481">
        <v>0</v>
      </c>
      <c r="T172" s="481">
        <v>0</v>
      </c>
      <c r="U172" s="481">
        <v>0</v>
      </c>
      <c r="V172" s="481">
        <v>0</v>
      </c>
      <c r="W172" s="481">
        <v>10.352</v>
      </c>
      <c r="X172" s="481">
        <v>3.4359999999999999</v>
      </c>
      <c r="Y172" s="564">
        <v>13846353.949999999</v>
      </c>
      <c r="Z172" s="564">
        <v>1397.72</v>
      </c>
    </row>
    <row r="173" spans="1:26" s="470" customFormat="1" x14ac:dyDescent="0.2">
      <c r="A173" s="468" t="s">
        <v>452</v>
      </c>
      <c r="B173" s="468" t="s">
        <v>438</v>
      </c>
      <c r="C173" s="473" t="s">
        <v>868</v>
      </c>
      <c r="D173" s="444">
        <v>1301490510</v>
      </c>
      <c r="E173" s="444">
        <v>33681849</v>
      </c>
      <c r="F173" s="444">
        <v>1267808661</v>
      </c>
      <c r="G173" s="445">
        <v>74234.63</v>
      </c>
      <c r="H173" s="474">
        <v>12.143000000000001</v>
      </c>
      <c r="I173" s="474">
        <v>0</v>
      </c>
      <c r="J173" s="475">
        <v>12.143000000000001</v>
      </c>
      <c r="K173" s="476">
        <v>0</v>
      </c>
      <c r="L173" s="477">
        <v>0</v>
      </c>
      <c r="M173" s="476">
        <v>0</v>
      </c>
      <c r="N173" s="475">
        <v>0</v>
      </c>
      <c r="O173" s="478">
        <v>2.3170000000000002</v>
      </c>
      <c r="P173" s="479">
        <v>0</v>
      </c>
      <c r="Q173" s="480">
        <v>14.46</v>
      </c>
      <c r="R173" s="481">
        <v>4.0309999999999997</v>
      </c>
      <c r="S173" s="481">
        <v>0</v>
      </c>
      <c r="T173" s="481">
        <v>0</v>
      </c>
      <c r="U173" s="481">
        <v>0</v>
      </c>
      <c r="V173" s="481">
        <v>0</v>
      </c>
      <c r="W173" s="481">
        <v>18.491</v>
      </c>
      <c r="X173" s="481">
        <v>25.792999999999999</v>
      </c>
      <c r="Y173" s="564">
        <v>28138920.390000001</v>
      </c>
      <c r="Z173" s="564">
        <v>14509545.880000001</v>
      </c>
    </row>
    <row r="174" spans="1:26" s="470" customFormat="1" x14ac:dyDescent="0.2">
      <c r="A174" s="468" t="s">
        <v>454</v>
      </c>
      <c r="B174" s="468" t="s">
        <v>438</v>
      </c>
      <c r="C174" s="473" t="s">
        <v>869</v>
      </c>
      <c r="D174" s="444">
        <v>663862350</v>
      </c>
      <c r="E174" s="444">
        <v>0</v>
      </c>
      <c r="F174" s="444">
        <v>663862350</v>
      </c>
      <c r="G174" s="445">
        <v>8692.61</v>
      </c>
      <c r="H174" s="474">
        <v>27</v>
      </c>
      <c r="I174" s="474">
        <v>5.12</v>
      </c>
      <c r="J174" s="483">
        <v>21.88</v>
      </c>
      <c r="K174" s="484">
        <v>0.91900000000000004</v>
      </c>
      <c r="L174" s="485">
        <v>3.0619999999999998</v>
      </c>
      <c r="M174" s="476">
        <v>0</v>
      </c>
      <c r="N174" s="475">
        <v>0</v>
      </c>
      <c r="O174" s="478">
        <v>1.341</v>
      </c>
      <c r="P174" s="479">
        <v>4.0000000000000001E-3</v>
      </c>
      <c r="Q174" s="480">
        <v>22.225000000000005</v>
      </c>
      <c r="R174" s="481">
        <v>10.96</v>
      </c>
      <c r="S174" s="481">
        <v>0</v>
      </c>
      <c r="T174" s="481">
        <v>0</v>
      </c>
      <c r="U174" s="481">
        <v>0</v>
      </c>
      <c r="V174" s="481">
        <v>0</v>
      </c>
      <c r="W174" s="481">
        <v>33.185000000000002</v>
      </c>
      <c r="X174" s="481">
        <v>13.557</v>
      </c>
      <c r="Y174" s="564">
        <v>12333404.35</v>
      </c>
      <c r="Z174" s="564">
        <v>0.01</v>
      </c>
    </row>
    <row r="175" spans="1:26" s="470" customFormat="1" x14ac:dyDescent="0.2">
      <c r="A175" s="468" t="s">
        <v>456</v>
      </c>
      <c r="B175" s="468" t="s">
        <v>438</v>
      </c>
      <c r="C175" s="473" t="s">
        <v>870</v>
      </c>
      <c r="D175" s="444">
        <v>482313250</v>
      </c>
      <c r="E175" s="444">
        <v>0</v>
      </c>
      <c r="F175" s="444">
        <v>482313250</v>
      </c>
      <c r="G175" s="445">
        <v>2.84</v>
      </c>
      <c r="H175" s="488">
        <v>12.375999999999999</v>
      </c>
      <c r="I175" s="488">
        <v>0</v>
      </c>
      <c r="J175" s="483">
        <v>12.375999999999999</v>
      </c>
      <c r="K175" s="484">
        <v>0.217</v>
      </c>
      <c r="L175" s="485">
        <v>5.7809999999999997</v>
      </c>
      <c r="M175" s="476">
        <v>0</v>
      </c>
      <c r="N175" s="475">
        <v>0</v>
      </c>
      <c r="O175" s="478">
        <v>1.913</v>
      </c>
      <c r="P175" s="479">
        <v>0</v>
      </c>
      <c r="Q175" s="480">
        <v>14.289</v>
      </c>
      <c r="R175" s="481">
        <v>0</v>
      </c>
      <c r="S175" s="481">
        <v>0</v>
      </c>
      <c r="T175" s="481">
        <v>0</v>
      </c>
      <c r="U175" s="481">
        <v>0</v>
      </c>
      <c r="V175" s="481">
        <v>0</v>
      </c>
      <c r="W175" s="481">
        <v>14.289</v>
      </c>
      <c r="X175" s="481">
        <v>6.7149999999999999</v>
      </c>
      <c r="Y175" s="564">
        <v>3409546.33</v>
      </c>
      <c r="Z175" s="564">
        <v>0</v>
      </c>
    </row>
    <row r="176" spans="1:26" s="470" customFormat="1" x14ac:dyDescent="0.2">
      <c r="A176" s="468" t="s">
        <v>458</v>
      </c>
      <c r="B176" s="468" t="s">
        <v>438</v>
      </c>
      <c r="C176" s="473" t="s">
        <v>871</v>
      </c>
      <c r="D176" s="444">
        <v>460274295</v>
      </c>
      <c r="E176" s="444">
        <v>0</v>
      </c>
      <c r="F176" s="444">
        <v>460274295</v>
      </c>
      <c r="G176" s="445">
        <v>41.76</v>
      </c>
      <c r="H176" s="474">
        <v>5.0679999999999996</v>
      </c>
      <c r="I176" s="474">
        <v>0</v>
      </c>
      <c r="J176" s="489">
        <v>5.0679999999999996</v>
      </c>
      <c r="K176" s="490">
        <v>0</v>
      </c>
      <c r="L176" s="491">
        <v>0</v>
      </c>
      <c r="M176" s="476">
        <v>0</v>
      </c>
      <c r="N176" s="475">
        <v>0</v>
      </c>
      <c r="O176" s="478">
        <v>0.129</v>
      </c>
      <c r="P176" s="479">
        <v>0</v>
      </c>
      <c r="Q176" s="480">
        <v>5.1969999999999992</v>
      </c>
      <c r="R176" s="481">
        <v>0.433</v>
      </c>
      <c r="S176" s="481">
        <v>0</v>
      </c>
      <c r="T176" s="481">
        <v>0</v>
      </c>
      <c r="U176" s="481">
        <v>0</v>
      </c>
      <c r="V176" s="481">
        <v>0</v>
      </c>
      <c r="W176" s="481">
        <v>5.629999999999999</v>
      </c>
      <c r="X176" s="481">
        <v>6.4669999999999996</v>
      </c>
      <c r="Y176" s="564">
        <v>3425421.11</v>
      </c>
      <c r="Z176" s="564">
        <v>719890.29</v>
      </c>
    </row>
    <row r="177" spans="1:27" s="470" customFormat="1" x14ac:dyDescent="0.2">
      <c r="A177" s="468" t="s">
        <v>460</v>
      </c>
      <c r="B177" s="468" t="s">
        <v>438</v>
      </c>
      <c r="C177" s="473" t="s">
        <v>872</v>
      </c>
      <c r="D177" s="444">
        <v>667784150</v>
      </c>
      <c r="E177" s="444">
        <v>0</v>
      </c>
      <c r="F177" s="444">
        <v>667784150</v>
      </c>
      <c r="G177" s="445">
        <v>47.92</v>
      </c>
      <c r="H177" s="488">
        <v>4.2930000000000001</v>
      </c>
      <c r="I177" s="488">
        <v>0</v>
      </c>
      <c r="J177" s="483">
        <v>4.2930000000000001</v>
      </c>
      <c r="K177" s="484">
        <v>0.13</v>
      </c>
      <c r="L177" s="485">
        <v>1.698</v>
      </c>
      <c r="M177" s="476">
        <v>0</v>
      </c>
      <c r="N177" s="475">
        <v>0</v>
      </c>
      <c r="O177" s="478">
        <v>0.72599999999999998</v>
      </c>
      <c r="P177" s="479">
        <v>1E-3</v>
      </c>
      <c r="Q177" s="480">
        <v>5.0199999999999996</v>
      </c>
      <c r="R177" s="481">
        <v>0</v>
      </c>
      <c r="S177" s="481">
        <v>0</v>
      </c>
      <c r="T177" s="481">
        <v>0</v>
      </c>
      <c r="U177" s="481">
        <v>0</v>
      </c>
      <c r="V177" s="481">
        <v>0</v>
      </c>
      <c r="W177" s="481">
        <v>5.0199999999999996</v>
      </c>
      <c r="X177" s="481">
        <v>2.5209999999999999</v>
      </c>
      <c r="Y177" s="564">
        <v>1506104.61</v>
      </c>
      <c r="Z177" s="564">
        <v>0</v>
      </c>
    </row>
    <row r="178" spans="1:27" s="470" customFormat="1" x14ac:dyDescent="0.2">
      <c r="A178" s="468" t="s">
        <v>462</v>
      </c>
      <c r="B178" s="468" t="s">
        <v>463</v>
      </c>
      <c r="C178" s="473" t="s">
        <v>873</v>
      </c>
      <c r="D178" s="444">
        <v>161631600</v>
      </c>
      <c r="E178" s="444">
        <v>0</v>
      </c>
      <c r="F178" s="444">
        <v>161631600</v>
      </c>
      <c r="G178" s="445">
        <v>8500.32</v>
      </c>
      <c r="H178" s="474">
        <v>27</v>
      </c>
      <c r="I178" s="474">
        <v>3.6550000000000002</v>
      </c>
      <c r="J178" s="475">
        <v>23.344999999999999</v>
      </c>
      <c r="K178" s="476">
        <v>0</v>
      </c>
      <c r="L178" s="477">
        <v>0</v>
      </c>
      <c r="M178" s="476">
        <v>0</v>
      </c>
      <c r="N178" s="475">
        <v>0</v>
      </c>
      <c r="O178" s="478">
        <v>7.68</v>
      </c>
      <c r="P178" s="479">
        <v>9.2999999999999999E-2</v>
      </c>
      <c r="Q178" s="480">
        <v>30.117999999999999</v>
      </c>
      <c r="R178" s="481">
        <v>8.9139999999999997</v>
      </c>
      <c r="S178" s="481">
        <v>0</v>
      </c>
      <c r="T178" s="481">
        <v>0</v>
      </c>
      <c r="U178" s="481">
        <v>0</v>
      </c>
      <c r="V178" s="481">
        <v>0</v>
      </c>
      <c r="W178" s="481">
        <v>39.031999999999996</v>
      </c>
      <c r="X178" s="481">
        <v>67.602000000000004</v>
      </c>
      <c r="Y178" s="564">
        <v>10797281.810000001</v>
      </c>
      <c r="Z178" s="564">
        <v>6846144.5599999996</v>
      </c>
    </row>
    <row r="179" spans="1:27" x14ac:dyDescent="0.2">
      <c r="A179" s="468" t="s">
        <v>465</v>
      </c>
      <c r="B179" s="468" t="s">
        <v>463</v>
      </c>
      <c r="C179" s="473" t="s">
        <v>874</v>
      </c>
      <c r="D179" s="444">
        <v>136209790</v>
      </c>
      <c r="E179" s="444">
        <v>0</v>
      </c>
      <c r="F179" s="444">
        <v>136209790</v>
      </c>
      <c r="G179" s="445">
        <v>15045.54</v>
      </c>
      <c r="H179" s="474">
        <v>27</v>
      </c>
      <c r="I179" s="474">
        <v>6.968</v>
      </c>
      <c r="J179" s="475">
        <v>20.032</v>
      </c>
      <c r="K179" s="476">
        <v>0</v>
      </c>
      <c r="L179" s="477">
        <v>0</v>
      </c>
      <c r="M179" s="476">
        <v>0</v>
      </c>
      <c r="N179" s="475">
        <v>0</v>
      </c>
      <c r="O179" s="478">
        <v>15.356999999999999</v>
      </c>
      <c r="P179" s="479">
        <v>0.16300000000000001</v>
      </c>
      <c r="Q179" s="480">
        <v>35.551999999999992</v>
      </c>
      <c r="R179" s="481">
        <v>8.7799999999999994</v>
      </c>
      <c r="S179" s="481">
        <v>0</v>
      </c>
      <c r="T179" s="481">
        <v>0</v>
      </c>
      <c r="U179" s="481">
        <v>0</v>
      </c>
      <c r="V179" s="481">
        <v>0</v>
      </c>
      <c r="W179" s="481">
        <v>44.331999999999994</v>
      </c>
      <c r="X179" s="481">
        <v>68.927000000000007</v>
      </c>
      <c r="Y179" s="564">
        <v>9321322.6300000008</v>
      </c>
      <c r="Z179" s="564">
        <v>6462152.8700000001</v>
      </c>
    </row>
    <row r="180" spans="1:27" x14ac:dyDescent="0.2">
      <c r="A180" s="468" t="s">
        <v>467</v>
      </c>
      <c r="B180" s="468" t="s">
        <v>463</v>
      </c>
      <c r="C180" s="473" t="s">
        <v>875</v>
      </c>
      <c r="D180" s="444">
        <v>17922016</v>
      </c>
      <c r="E180" s="444">
        <v>0</v>
      </c>
      <c r="F180" s="444">
        <v>17922016</v>
      </c>
      <c r="G180" s="445">
        <v>3355.37</v>
      </c>
      <c r="H180" s="474">
        <v>27</v>
      </c>
      <c r="I180" s="474">
        <v>0.50199999999999978</v>
      </c>
      <c r="J180" s="475">
        <v>26.498000000000001</v>
      </c>
      <c r="K180" s="476">
        <v>0</v>
      </c>
      <c r="L180" s="477">
        <v>0</v>
      </c>
      <c r="M180" s="476">
        <v>0</v>
      </c>
      <c r="N180" s="475">
        <v>0</v>
      </c>
      <c r="O180" s="478">
        <v>0</v>
      </c>
      <c r="P180" s="479">
        <v>5.0999999999999997E-2</v>
      </c>
      <c r="Q180" s="480">
        <v>26.548999999999999</v>
      </c>
      <c r="R180" s="481">
        <v>15</v>
      </c>
      <c r="S180" s="481">
        <v>0</v>
      </c>
      <c r="T180" s="481">
        <v>0</v>
      </c>
      <c r="U180" s="481">
        <v>0</v>
      </c>
      <c r="V180" s="481">
        <v>0</v>
      </c>
      <c r="W180" s="481">
        <v>41.548999999999999</v>
      </c>
      <c r="X180" s="481">
        <v>187.733</v>
      </c>
      <c r="Y180" s="564">
        <v>3290841.9</v>
      </c>
      <c r="Z180" s="564">
        <v>2783688.53</v>
      </c>
    </row>
    <row r="181" spans="1:27" x14ac:dyDescent="0.2">
      <c r="A181" s="468" t="s">
        <v>469</v>
      </c>
      <c r="B181" s="468" t="s">
        <v>463</v>
      </c>
      <c r="C181" s="473" t="s">
        <v>876</v>
      </c>
      <c r="D181" s="444">
        <v>16543956</v>
      </c>
      <c r="E181" s="444">
        <v>0</v>
      </c>
      <c r="F181" s="444">
        <v>16543956</v>
      </c>
      <c r="G181" s="445">
        <v>2869.34</v>
      </c>
      <c r="H181" s="474">
        <v>27</v>
      </c>
      <c r="I181" s="474">
        <v>2.3250000000000002</v>
      </c>
      <c r="J181" s="475">
        <v>24.675000000000001</v>
      </c>
      <c r="K181" s="476">
        <v>0</v>
      </c>
      <c r="L181" s="477">
        <v>0</v>
      </c>
      <c r="M181" s="476">
        <v>0</v>
      </c>
      <c r="N181" s="475">
        <v>0</v>
      </c>
      <c r="O181" s="478">
        <v>0</v>
      </c>
      <c r="P181" s="479">
        <v>0</v>
      </c>
      <c r="Q181" s="480">
        <v>24.675000000000001</v>
      </c>
      <c r="R181" s="481">
        <v>0</v>
      </c>
      <c r="S181" s="481">
        <v>0</v>
      </c>
      <c r="T181" s="481">
        <v>0</v>
      </c>
      <c r="U181" s="481">
        <v>0</v>
      </c>
      <c r="V181" s="481">
        <v>0</v>
      </c>
      <c r="W181" s="481">
        <v>24.675000000000001</v>
      </c>
      <c r="X181" s="481">
        <v>102.515</v>
      </c>
      <c r="Y181" s="564">
        <v>1701192.38</v>
      </c>
      <c r="Z181" s="564">
        <v>1262023.26</v>
      </c>
    </row>
    <row r="182" spans="1:27" x14ac:dyDescent="0.2">
      <c r="C182" s="468" t="s">
        <v>480</v>
      </c>
      <c r="D182" s="444">
        <f>SUM(D4:D181)</f>
        <v>199553578088.45999</v>
      </c>
      <c r="E182" s="444">
        <f t="shared" ref="E182:I182" si="0">SUM(E4:E181)</f>
        <v>4932773424</v>
      </c>
      <c r="F182" s="444">
        <f t="shared" si="0"/>
        <v>194620804664.45999</v>
      </c>
      <c r="G182" s="444">
        <f t="shared" si="0"/>
        <v>102140271.7400001</v>
      </c>
      <c r="H182" s="444">
        <f t="shared" si="0"/>
        <v>4140.3129999999992</v>
      </c>
      <c r="I182" s="444">
        <f t="shared" si="0"/>
        <v>206.744</v>
      </c>
      <c r="J182" s="444">
        <f>SUM(J4:J181)</f>
        <v>3931.9039999999982</v>
      </c>
      <c r="K182" s="444">
        <f t="shared" ref="K182:Q182" si="1">SUM(K4:K181)</f>
        <v>4.2119999999999997</v>
      </c>
      <c r="L182" s="444">
        <f t="shared" si="1"/>
        <v>16.777000000000001</v>
      </c>
      <c r="M182" s="444">
        <f t="shared" si="1"/>
        <v>35.535999999999994</v>
      </c>
      <c r="N182" s="444">
        <f t="shared" si="1"/>
        <v>4.2999999999999997E-2</v>
      </c>
      <c r="O182" s="444">
        <f t="shared" si="1"/>
        <v>783.06399999999951</v>
      </c>
      <c r="P182" s="444">
        <f t="shared" si="1"/>
        <v>18.473999999999993</v>
      </c>
      <c r="Q182" s="444">
        <f t="shared" si="1"/>
        <v>4744.5519999999997</v>
      </c>
      <c r="R182" s="444">
        <f t="shared" ref="R182" si="2">SUM(R4:R181)</f>
        <v>1098.4117000000006</v>
      </c>
      <c r="S182" s="444">
        <f t="shared" ref="S182" si="3">SUM(S4:S181)</f>
        <v>6.8419999999999996</v>
      </c>
      <c r="T182" s="444">
        <f t="shared" ref="T182" si="4">SUM(T4:T181)</f>
        <v>10</v>
      </c>
      <c r="U182" s="444">
        <f t="shared" ref="U182" si="5">SUM(U4:U181)</f>
        <v>43.306999999999995</v>
      </c>
      <c r="V182" s="444">
        <f t="shared" ref="V182" si="6">SUM(V4:V181)</f>
        <v>6.3159999999999998</v>
      </c>
      <c r="W182" s="444">
        <f t="shared" ref="W182:X182" si="7">SUM(W4:W181)</f>
        <v>5909.428700000004</v>
      </c>
      <c r="X182" s="444">
        <f t="shared" si="7"/>
        <v>15650.45800000001</v>
      </c>
      <c r="Y182" s="444">
        <f t="shared" ref="Y182" si="8">SUM(Y4:Y181)</f>
        <v>10031606090.249983</v>
      </c>
      <c r="Z182" s="444">
        <f t="shared" ref="Z182" si="9">SUM(Z4:Z181)</f>
        <v>5468246879.6499977</v>
      </c>
      <c r="AA182" s="472">
        <v>0</v>
      </c>
    </row>
    <row r="183" spans="1:27" s="496" customFormat="1" x14ac:dyDescent="0.2">
      <c r="A183" s="494"/>
      <c r="B183" s="494"/>
      <c r="C183" s="494"/>
      <c r="D183" s="444"/>
      <c r="E183" s="444"/>
      <c r="F183" s="444"/>
      <c r="G183" s="444"/>
      <c r="H183" s="481"/>
      <c r="I183" s="494"/>
      <c r="J183" s="495"/>
      <c r="K183" s="494"/>
      <c r="L183" s="494"/>
      <c r="M183" s="494"/>
      <c r="N183" s="495"/>
      <c r="O183" s="495"/>
      <c r="P183" s="495"/>
      <c r="Q183" s="495"/>
      <c r="R183" s="494"/>
      <c r="S183" s="494"/>
      <c r="T183" s="494"/>
      <c r="U183" s="494"/>
      <c r="V183" s="494"/>
      <c r="W183" s="494"/>
      <c r="X183" s="494"/>
      <c r="Y183" s="564"/>
      <c r="Z183" s="564"/>
    </row>
    <row r="185" spans="1:27" x14ac:dyDescent="0.2">
      <c r="A185" s="497"/>
      <c r="J185" s="495"/>
      <c r="K185" s="494"/>
      <c r="L185" s="494"/>
      <c r="M185" s="494"/>
      <c r="N185" s="495"/>
      <c r="O185" s="495"/>
      <c r="P185" s="495"/>
      <c r="Q185" s="495"/>
      <c r="R185" s="494"/>
      <c r="S185" s="494"/>
      <c r="T185" s="494"/>
      <c r="U185" s="494"/>
      <c r="V185" s="494"/>
      <c r="W185" s="494"/>
      <c r="X185" s="494"/>
    </row>
    <row r="361" spans="8:24" x14ac:dyDescent="0.2">
      <c r="H361" s="476"/>
      <c r="I361" s="476"/>
      <c r="J361" s="492"/>
      <c r="K361" s="476"/>
      <c r="L361" s="476"/>
      <c r="M361" s="476"/>
      <c r="N361" s="492"/>
      <c r="O361" s="492"/>
      <c r="P361" s="492"/>
      <c r="Q361" s="492"/>
      <c r="R361" s="476"/>
      <c r="S361" s="476"/>
      <c r="T361" s="476"/>
      <c r="U361" s="476"/>
      <c r="V361" s="476"/>
      <c r="W361" s="476"/>
      <c r="X361" s="493"/>
    </row>
  </sheetData>
  <sheetProtection algorithmName="SHA-512" hashValue="dAhRW0OZ3Ix2wtMJ/P4ciAkDMPhgnBpWOOoiTvUUssN6biDH77Ss9Jdw/LX0F8/52e7bb8fvHJij/Ur0SkZDRg==" saltValue="UX+v8G4p+Jac8ZNsnMOuQw==" spinCount="100000" sheet="1" objects="1" scenarios="1"/>
  <autoFilter ref="A3:GT182" xr:uid="{DE3FE716-E9D9-4705-A818-D21A0F8AEB59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511E-9FC9-4D8C-B75A-0F823D1BF43D}">
  <sheetPr>
    <tabColor rgb="FF92D050"/>
  </sheetPr>
  <dimension ref="A1:GC183"/>
  <sheetViews>
    <sheetView workbookViewId="0">
      <selection activeCell="E4" sqref="E4"/>
    </sheetView>
  </sheetViews>
  <sheetFormatPr defaultColWidth="8.625" defaultRowHeight="15" x14ac:dyDescent="0.25"/>
  <cols>
    <col min="1" max="1" width="6.125" style="408" bestFit="1" customWidth="1"/>
    <col min="2" max="2" width="11.75" style="408" bestFit="1" customWidth="1"/>
    <col min="3" max="3" width="19.125" style="408" bestFit="1" customWidth="1"/>
    <col min="4" max="4" width="8.625" style="408"/>
    <col min="5" max="5" width="17.75" style="557" bestFit="1" customWidth="1"/>
    <col min="6" max="6" width="14" style="557" bestFit="1" customWidth="1"/>
    <col min="7" max="7" width="13.5" style="408" bestFit="1" customWidth="1"/>
    <col min="8" max="16384" width="8.625" style="408"/>
  </cols>
  <sheetData>
    <row r="1" spans="1:185" x14ac:dyDescent="0.25">
      <c r="A1" s="527" t="s">
        <v>957</v>
      </c>
    </row>
    <row r="3" spans="1:185" x14ac:dyDescent="0.25">
      <c r="A3" s="408">
        <v>1</v>
      </c>
      <c r="B3" s="408">
        <v>2</v>
      </c>
      <c r="C3" s="408">
        <v>3</v>
      </c>
      <c r="D3" s="408">
        <v>4</v>
      </c>
      <c r="E3" s="559">
        <v>5</v>
      </c>
      <c r="F3" s="559">
        <v>6</v>
      </c>
    </row>
    <row r="4" spans="1:185" x14ac:dyDescent="0.25">
      <c r="E4" s="557" t="s">
        <v>960</v>
      </c>
      <c r="F4" s="557" t="s">
        <v>961</v>
      </c>
    </row>
    <row r="5" spans="1:185" s="527" customFormat="1" ht="15.75" x14ac:dyDescent="0.25">
      <c r="A5" s="527" t="s">
        <v>58</v>
      </c>
      <c r="B5" s="527" t="s">
        <v>59</v>
      </c>
      <c r="C5" s="527" t="s">
        <v>60</v>
      </c>
      <c r="E5" s="558"/>
      <c r="F5" s="558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561"/>
      <c r="AG5" s="561"/>
      <c r="AH5" s="561"/>
      <c r="AI5" s="561"/>
      <c r="AJ5" s="561"/>
      <c r="AK5" s="561"/>
      <c r="AL5" s="561"/>
      <c r="AM5" s="561"/>
      <c r="AN5" s="561"/>
      <c r="AO5" s="561"/>
      <c r="AP5" s="561"/>
      <c r="AQ5" s="561"/>
      <c r="AR5" s="561"/>
      <c r="AS5" s="561"/>
      <c r="AT5" s="561"/>
      <c r="AU5" s="561"/>
      <c r="AV5" s="561"/>
      <c r="AW5" s="561"/>
      <c r="AX5" s="561"/>
      <c r="AY5" s="561"/>
      <c r="AZ5" s="561"/>
      <c r="BA5" s="561"/>
      <c r="BB5" s="561"/>
      <c r="BC5" s="561"/>
      <c r="BD5" s="561"/>
      <c r="BE5" s="561">
        <v>0</v>
      </c>
      <c r="BF5" s="561">
        <v>0</v>
      </c>
      <c r="BG5" s="561">
        <v>0</v>
      </c>
      <c r="BH5" s="561">
        <v>0</v>
      </c>
      <c r="BI5" s="561">
        <v>0</v>
      </c>
      <c r="BJ5" s="561">
        <v>0</v>
      </c>
      <c r="BK5" s="561">
        <v>0</v>
      </c>
      <c r="BL5" s="561">
        <v>0</v>
      </c>
      <c r="BM5" s="561">
        <v>0</v>
      </c>
      <c r="BN5" s="561">
        <v>0</v>
      </c>
      <c r="BO5" s="561">
        <v>0</v>
      </c>
      <c r="BP5" s="561">
        <v>0</v>
      </c>
      <c r="BQ5" s="561">
        <v>0</v>
      </c>
      <c r="BR5" s="561">
        <v>0</v>
      </c>
      <c r="BS5" s="561">
        <v>0</v>
      </c>
      <c r="BT5" s="561">
        <v>0</v>
      </c>
      <c r="BU5" s="561">
        <v>0</v>
      </c>
      <c r="BV5" s="561">
        <v>0</v>
      </c>
      <c r="BW5" s="561">
        <v>0</v>
      </c>
      <c r="BX5" s="561">
        <v>0</v>
      </c>
      <c r="BY5" s="561">
        <v>0</v>
      </c>
      <c r="BZ5" s="561">
        <v>0</v>
      </c>
      <c r="CA5" s="561">
        <v>0</v>
      </c>
      <c r="CB5" s="561">
        <v>0</v>
      </c>
      <c r="CC5" s="561">
        <v>0</v>
      </c>
      <c r="CD5" s="561">
        <v>0</v>
      </c>
      <c r="CE5" s="561">
        <v>0</v>
      </c>
      <c r="CF5" s="561">
        <v>0</v>
      </c>
      <c r="CG5" s="561">
        <v>0</v>
      </c>
      <c r="CH5" s="561">
        <v>0</v>
      </c>
      <c r="CI5" s="561">
        <v>0</v>
      </c>
      <c r="CJ5" s="561">
        <v>0</v>
      </c>
      <c r="CK5" s="561">
        <v>0</v>
      </c>
      <c r="CL5" s="561">
        <v>0</v>
      </c>
      <c r="CM5" s="561">
        <v>0</v>
      </c>
      <c r="CN5" s="561">
        <v>0</v>
      </c>
      <c r="CO5" s="561">
        <v>0</v>
      </c>
      <c r="CP5" s="561">
        <v>0</v>
      </c>
      <c r="CQ5" s="561">
        <v>0</v>
      </c>
      <c r="CR5" s="561">
        <v>0</v>
      </c>
      <c r="CS5" s="561">
        <v>0</v>
      </c>
      <c r="CT5" s="561">
        <v>0</v>
      </c>
      <c r="CU5" s="561">
        <v>0</v>
      </c>
      <c r="CV5" s="561">
        <v>0</v>
      </c>
      <c r="CW5" s="561">
        <v>0</v>
      </c>
      <c r="CX5" s="561">
        <v>0</v>
      </c>
      <c r="CY5" s="561">
        <v>0</v>
      </c>
      <c r="CZ5" s="561">
        <v>0</v>
      </c>
      <c r="DA5" s="561">
        <v>0</v>
      </c>
      <c r="DB5" s="561">
        <v>0</v>
      </c>
      <c r="DC5" s="561">
        <v>0</v>
      </c>
      <c r="DD5" s="561">
        <v>0</v>
      </c>
      <c r="DE5" s="561">
        <v>0</v>
      </c>
      <c r="DF5" s="561">
        <v>0</v>
      </c>
      <c r="DG5" s="561">
        <v>0</v>
      </c>
      <c r="DH5" s="561">
        <v>0</v>
      </c>
      <c r="DI5" s="561">
        <v>0</v>
      </c>
      <c r="DJ5" s="561">
        <v>0</v>
      </c>
      <c r="DK5" s="561">
        <v>0</v>
      </c>
      <c r="DL5" s="561">
        <v>0</v>
      </c>
      <c r="DM5" s="561">
        <v>0</v>
      </c>
      <c r="DN5" s="561">
        <v>0</v>
      </c>
      <c r="DO5" s="561">
        <v>0</v>
      </c>
      <c r="DP5" s="561">
        <v>0</v>
      </c>
      <c r="DQ5" s="561">
        <v>0</v>
      </c>
      <c r="DR5" s="561">
        <v>0</v>
      </c>
      <c r="DS5" s="561">
        <v>0</v>
      </c>
      <c r="DT5" s="561">
        <v>0</v>
      </c>
      <c r="DU5" s="561">
        <v>0</v>
      </c>
      <c r="DV5" s="561">
        <v>0</v>
      </c>
      <c r="DW5" s="561">
        <v>0</v>
      </c>
      <c r="DX5" s="561">
        <v>0</v>
      </c>
      <c r="DY5" s="561">
        <v>0</v>
      </c>
      <c r="DZ5" s="561">
        <v>0</v>
      </c>
      <c r="EA5" s="561">
        <v>0</v>
      </c>
      <c r="EB5" s="561">
        <v>0</v>
      </c>
      <c r="EC5" s="561">
        <v>0</v>
      </c>
      <c r="ED5" s="561">
        <v>0</v>
      </c>
      <c r="EE5" s="561">
        <v>0</v>
      </c>
      <c r="EF5" s="561">
        <v>0</v>
      </c>
      <c r="EG5" s="561">
        <v>0</v>
      </c>
      <c r="EH5" s="561">
        <v>0</v>
      </c>
      <c r="EI5" s="561">
        <v>0</v>
      </c>
      <c r="EJ5" s="561">
        <v>0</v>
      </c>
      <c r="EK5" s="561">
        <v>0</v>
      </c>
      <c r="EL5" s="561">
        <v>0</v>
      </c>
      <c r="EM5" s="561">
        <v>0</v>
      </c>
      <c r="EN5" s="561">
        <v>0</v>
      </c>
      <c r="EO5" s="561">
        <v>0</v>
      </c>
      <c r="EP5" s="561">
        <v>0</v>
      </c>
      <c r="EQ5" s="561">
        <v>0</v>
      </c>
      <c r="ER5" s="561">
        <v>0</v>
      </c>
      <c r="ES5" s="561">
        <v>0</v>
      </c>
      <c r="ET5" s="561">
        <v>0</v>
      </c>
      <c r="EU5" s="561">
        <v>0</v>
      </c>
      <c r="EV5" s="561">
        <v>0</v>
      </c>
      <c r="EW5" s="561">
        <v>0</v>
      </c>
      <c r="EX5" s="561">
        <v>0</v>
      </c>
      <c r="EY5" s="561">
        <v>0</v>
      </c>
      <c r="EZ5" s="561">
        <v>0</v>
      </c>
      <c r="FA5" s="561">
        <v>0</v>
      </c>
      <c r="FB5" s="561">
        <v>0</v>
      </c>
      <c r="FC5" s="561">
        <v>0</v>
      </c>
      <c r="FD5" s="561">
        <v>0</v>
      </c>
      <c r="FE5" s="561">
        <v>0</v>
      </c>
      <c r="FF5" s="561">
        <v>0</v>
      </c>
      <c r="FG5" s="561">
        <v>0</v>
      </c>
      <c r="FH5" s="561">
        <v>0</v>
      </c>
      <c r="FI5" s="561">
        <v>0</v>
      </c>
      <c r="FJ5" s="561">
        <v>0</v>
      </c>
      <c r="FK5" s="561">
        <v>0</v>
      </c>
      <c r="FL5" s="561">
        <v>0</v>
      </c>
      <c r="FM5" s="561">
        <v>0</v>
      </c>
      <c r="FN5" s="561">
        <v>0</v>
      </c>
      <c r="FO5" s="561">
        <v>0</v>
      </c>
      <c r="FP5" s="561">
        <v>0</v>
      </c>
      <c r="FQ5" s="561">
        <v>0</v>
      </c>
      <c r="FR5" s="561">
        <v>0</v>
      </c>
      <c r="FS5" s="561">
        <v>0</v>
      </c>
      <c r="FT5" s="561">
        <v>0</v>
      </c>
      <c r="FU5" s="561">
        <v>0</v>
      </c>
      <c r="FV5" s="561">
        <v>0</v>
      </c>
      <c r="FW5" s="561">
        <v>0</v>
      </c>
      <c r="FX5" s="561">
        <v>0</v>
      </c>
      <c r="FY5" s="561">
        <v>0</v>
      </c>
      <c r="FZ5" s="561">
        <v>0</v>
      </c>
      <c r="GA5" s="561">
        <v>0</v>
      </c>
      <c r="GB5" s="561">
        <v>0</v>
      </c>
      <c r="GC5" s="560"/>
    </row>
    <row r="6" spans="1:185" ht="15.75" x14ac:dyDescent="0.25">
      <c r="A6" s="408" t="s">
        <v>28</v>
      </c>
      <c r="B6" s="408" t="s">
        <v>82</v>
      </c>
      <c r="C6" s="408" t="s">
        <v>83</v>
      </c>
      <c r="E6" s="557">
        <v>214049.99</v>
      </c>
      <c r="F6" s="557">
        <v>0</v>
      </c>
      <c r="G6" s="561"/>
    </row>
    <row r="7" spans="1:185" ht="15.75" x14ac:dyDescent="0.25">
      <c r="A7" s="408" t="s">
        <v>84</v>
      </c>
      <c r="B7" s="408" t="s">
        <v>82</v>
      </c>
      <c r="C7" s="408" t="s">
        <v>85</v>
      </c>
      <c r="E7" s="557">
        <v>0</v>
      </c>
      <c r="F7" s="557">
        <v>0</v>
      </c>
      <c r="G7" s="561"/>
    </row>
    <row r="8" spans="1:185" ht="15.75" x14ac:dyDescent="0.25">
      <c r="A8" s="408" t="s">
        <v>86</v>
      </c>
      <c r="B8" s="408" t="s">
        <v>82</v>
      </c>
      <c r="C8" s="408" t="s">
        <v>87</v>
      </c>
      <c r="E8" s="557">
        <v>0</v>
      </c>
      <c r="F8" s="557">
        <v>0</v>
      </c>
      <c r="G8" s="561"/>
    </row>
    <row r="9" spans="1:185" ht="15.75" x14ac:dyDescent="0.25">
      <c r="A9" s="408" t="s">
        <v>88</v>
      </c>
      <c r="B9" s="408" t="s">
        <v>82</v>
      </c>
      <c r="C9" s="408" t="s">
        <v>89</v>
      </c>
      <c r="E9" s="557">
        <v>0</v>
      </c>
      <c r="F9" s="557">
        <v>0</v>
      </c>
      <c r="G9" s="561"/>
    </row>
    <row r="10" spans="1:185" ht="15.75" x14ac:dyDescent="0.25">
      <c r="A10" s="408" t="s">
        <v>90</v>
      </c>
      <c r="B10" s="408" t="s">
        <v>82</v>
      </c>
      <c r="C10" s="408" t="s">
        <v>91</v>
      </c>
      <c r="E10" s="557">
        <v>0</v>
      </c>
      <c r="F10" s="557">
        <v>0</v>
      </c>
      <c r="G10" s="561"/>
    </row>
    <row r="11" spans="1:185" ht="15.75" x14ac:dyDescent="0.25">
      <c r="A11" s="408" t="s">
        <v>92</v>
      </c>
      <c r="B11" s="408" t="s">
        <v>82</v>
      </c>
      <c r="C11" s="408" t="s">
        <v>93</v>
      </c>
      <c r="E11" s="557">
        <v>0</v>
      </c>
      <c r="F11" s="557">
        <v>0</v>
      </c>
      <c r="G11" s="561"/>
    </row>
    <row r="12" spans="1:185" ht="15.75" x14ac:dyDescent="0.25">
      <c r="A12" s="408" t="s">
        <v>94</v>
      </c>
      <c r="B12" s="408" t="s">
        <v>82</v>
      </c>
      <c r="C12" s="408" t="s">
        <v>95</v>
      </c>
      <c r="E12" s="557">
        <v>518609.48</v>
      </c>
      <c r="F12" s="557">
        <v>0</v>
      </c>
      <c r="G12" s="561"/>
    </row>
    <row r="13" spans="1:185" ht="15.75" x14ac:dyDescent="0.25">
      <c r="A13" s="408" t="s">
        <v>96</v>
      </c>
      <c r="B13" s="408" t="s">
        <v>97</v>
      </c>
      <c r="C13" s="408" t="s">
        <v>97</v>
      </c>
      <c r="E13" s="557">
        <v>0</v>
      </c>
      <c r="F13" s="557">
        <v>0</v>
      </c>
      <c r="G13" s="561"/>
    </row>
    <row r="14" spans="1:185" ht="15.75" x14ac:dyDescent="0.25">
      <c r="A14" s="408" t="s">
        <v>98</v>
      </c>
      <c r="B14" s="408" t="s">
        <v>97</v>
      </c>
      <c r="C14" s="408" t="s">
        <v>99</v>
      </c>
      <c r="E14" s="557">
        <v>0</v>
      </c>
      <c r="F14" s="557">
        <v>0</v>
      </c>
      <c r="G14" s="561"/>
    </row>
    <row r="15" spans="1:185" ht="15.75" x14ac:dyDescent="0.25">
      <c r="A15" s="408" t="s">
        <v>100</v>
      </c>
      <c r="B15" s="408" t="s">
        <v>101</v>
      </c>
      <c r="C15" s="408" t="s">
        <v>102</v>
      </c>
      <c r="E15" s="557">
        <v>0</v>
      </c>
      <c r="F15" s="557">
        <v>0</v>
      </c>
      <c r="G15" s="561"/>
    </row>
    <row r="16" spans="1:185" ht="15.75" x14ac:dyDescent="0.25">
      <c r="A16" s="408" t="s">
        <v>103</v>
      </c>
      <c r="B16" s="408" t="s">
        <v>101</v>
      </c>
      <c r="C16" s="408" t="s">
        <v>104</v>
      </c>
      <c r="E16" s="557">
        <v>0</v>
      </c>
      <c r="F16" s="557">
        <v>0</v>
      </c>
      <c r="G16" s="561"/>
    </row>
    <row r="17" spans="1:7" ht="15.75" x14ac:dyDescent="0.25">
      <c r="A17" s="408" t="s">
        <v>105</v>
      </c>
      <c r="B17" s="408" t="s">
        <v>101</v>
      </c>
      <c r="C17" s="408" t="s">
        <v>106</v>
      </c>
      <c r="E17" s="557">
        <v>6454001.4400000004</v>
      </c>
      <c r="F17" s="557">
        <v>387510</v>
      </c>
      <c r="G17" s="561"/>
    </row>
    <row r="18" spans="1:7" ht="15.75" x14ac:dyDescent="0.25">
      <c r="A18" s="408" t="s">
        <v>107</v>
      </c>
      <c r="B18" s="408" t="s">
        <v>101</v>
      </c>
      <c r="C18" s="408" t="s">
        <v>108</v>
      </c>
      <c r="E18" s="557">
        <v>2315346.59</v>
      </c>
      <c r="F18" s="557">
        <v>0</v>
      </c>
      <c r="G18" s="561"/>
    </row>
    <row r="19" spans="1:7" ht="15.75" x14ac:dyDescent="0.25">
      <c r="A19" s="408" t="s">
        <v>109</v>
      </c>
      <c r="B19" s="408" t="s">
        <v>101</v>
      </c>
      <c r="C19" s="408" t="s">
        <v>110</v>
      </c>
      <c r="E19" s="557">
        <v>6508.04</v>
      </c>
      <c r="F19" s="557">
        <v>0</v>
      </c>
      <c r="G19" s="561"/>
    </row>
    <row r="20" spans="1:7" ht="15.75" x14ac:dyDescent="0.25">
      <c r="A20" s="408" t="s">
        <v>111</v>
      </c>
      <c r="B20" s="408" t="s">
        <v>101</v>
      </c>
      <c r="C20" s="408" t="s">
        <v>112</v>
      </c>
      <c r="E20" s="557">
        <v>0</v>
      </c>
      <c r="F20" s="557">
        <v>0</v>
      </c>
      <c r="G20" s="561"/>
    </row>
    <row r="21" spans="1:7" ht="15.75" x14ac:dyDescent="0.25">
      <c r="A21" s="408" t="s">
        <v>113</v>
      </c>
      <c r="B21" s="408" t="s">
        <v>101</v>
      </c>
      <c r="C21" s="408" t="s">
        <v>114</v>
      </c>
      <c r="E21" s="557">
        <v>0</v>
      </c>
      <c r="F21" s="557">
        <v>0</v>
      </c>
      <c r="G21" s="561"/>
    </row>
    <row r="22" spans="1:7" ht="15.75" x14ac:dyDescent="0.25">
      <c r="A22" s="408" t="s">
        <v>115</v>
      </c>
      <c r="B22" s="408" t="s">
        <v>116</v>
      </c>
      <c r="C22" s="408" t="s">
        <v>116</v>
      </c>
      <c r="E22" s="557">
        <v>0</v>
      </c>
      <c r="F22" s="557">
        <v>0</v>
      </c>
      <c r="G22" s="561"/>
    </row>
    <row r="23" spans="1:7" ht="15.75" x14ac:dyDescent="0.25">
      <c r="A23" s="408" t="s">
        <v>117</v>
      </c>
      <c r="B23" s="408" t="s">
        <v>118</v>
      </c>
      <c r="C23" s="408" t="s">
        <v>119</v>
      </c>
      <c r="E23" s="557">
        <v>0</v>
      </c>
      <c r="F23" s="557">
        <v>0</v>
      </c>
      <c r="G23" s="561"/>
    </row>
    <row r="24" spans="1:7" ht="15.75" x14ac:dyDescent="0.25">
      <c r="A24" s="408" t="s">
        <v>120</v>
      </c>
      <c r="B24" s="408" t="s">
        <v>118</v>
      </c>
      <c r="C24" s="408" t="s">
        <v>121</v>
      </c>
      <c r="E24" s="557">
        <v>0</v>
      </c>
      <c r="F24" s="557">
        <v>0</v>
      </c>
      <c r="G24" s="561"/>
    </row>
    <row r="25" spans="1:7" ht="15.75" x14ac:dyDescent="0.25">
      <c r="A25" s="408" t="s">
        <v>122</v>
      </c>
      <c r="B25" s="408" t="s">
        <v>118</v>
      </c>
      <c r="C25" s="408" t="s">
        <v>123</v>
      </c>
      <c r="E25" s="557">
        <v>0</v>
      </c>
      <c r="F25" s="557">
        <v>0</v>
      </c>
      <c r="G25" s="561"/>
    </row>
    <row r="26" spans="1:7" ht="15.75" x14ac:dyDescent="0.25">
      <c r="A26" s="408" t="s">
        <v>124</v>
      </c>
      <c r="B26" s="408" t="s">
        <v>118</v>
      </c>
      <c r="C26" s="408" t="s">
        <v>125</v>
      </c>
      <c r="E26" s="557">
        <v>0</v>
      </c>
      <c r="F26" s="557">
        <v>0</v>
      </c>
      <c r="G26" s="561"/>
    </row>
    <row r="27" spans="1:7" ht="15.75" x14ac:dyDescent="0.25">
      <c r="A27" s="408" t="s">
        <v>126</v>
      </c>
      <c r="B27" s="408" t="s">
        <v>118</v>
      </c>
      <c r="C27" s="408" t="s">
        <v>127</v>
      </c>
      <c r="E27" s="557">
        <v>4645.62</v>
      </c>
      <c r="F27" s="557">
        <v>0</v>
      </c>
      <c r="G27" s="561"/>
    </row>
    <row r="28" spans="1:7" ht="15.75" x14ac:dyDescent="0.25">
      <c r="A28" s="408" t="s">
        <v>128</v>
      </c>
      <c r="B28" s="408" t="s">
        <v>129</v>
      </c>
      <c r="C28" s="408" t="s">
        <v>130</v>
      </c>
      <c r="E28" s="557">
        <v>0</v>
      </c>
      <c r="F28" s="557">
        <v>0</v>
      </c>
      <c r="G28" s="561"/>
    </row>
    <row r="29" spans="1:7" ht="15.75" x14ac:dyDescent="0.25">
      <c r="A29" s="408" t="s">
        <v>131</v>
      </c>
      <c r="B29" s="408" t="s">
        <v>129</v>
      </c>
      <c r="C29" s="408" t="s">
        <v>132</v>
      </c>
      <c r="E29" s="557">
        <v>125782.95</v>
      </c>
      <c r="F29" s="557">
        <v>0</v>
      </c>
      <c r="G29" s="561"/>
    </row>
    <row r="30" spans="1:7" ht="15.75" x14ac:dyDescent="0.25">
      <c r="A30" s="408" t="s">
        <v>133</v>
      </c>
      <c r="B30" s="408" t="s">
        <v>134</v>
      </c>
      <c r="C30" s="408" t="s">
        <v>135</v>
      </c>
      <c r="E30" s="557">
        <v>0</v>
      </c>
      <c r="F30" s="557">
        <v>0</v>
      </c>
      <c r="G30" s="561"/>
    </row>
    <row r="31" spans="1:7" ht="15.75" x14ac:dyDescent="0.25">
      <c r="A31" s="408" t="s">
        <v>136</v>
      </c>
      <c r="B31" s="408" t="s">
        <v>134</v>
      </c>
      <c r="C31" s="408" t="s">
        <v>134</v>
      </c>
      <c r="E31" s="557">
        <v>0</v>
      </c>
      <c r="F31" s="557">
        <v>0</v>
      </c>
      <c r="G31" s="561"/>
    </row>
    <row r="32" spans="1:7" ht="15.75" x14ac:dyDescent="0.25">
      <c r="A32" s="408" t="s">
        <v>137</v>
      </c>
      <c r="B32" s="408" t="s">
        <v>138</v>
      </c>
      <c r="C32" s="408" t="s">
        <v>139</v>
      </c>
      <c r="E32" s="557">
        <v>0</v>
      </c>
      <c r="F32" s="557">
        <v>0</v>
      </c>
      <c r="G32" s="561"/>
    </row>
    <row r="33" spans="1:7" ht="15.75" x14ac:dyDescent="0.25">
      <c r="A33" s="408" t="s">
        <v>140</v>
      </c>
      <c r="B33" s="408" t="s">
        <v>138</v>
      </c>
      <c r="C33" s="408" t="s">
        <v>141</v>
      </c>
      <c r="E33" s="557">
        <v>0</v>
      </c>
      <c r="F33" s="557">
        <v>0</v>
      </c>
      <c r="G33" s="561"/>
    </row>
    <row r="34" spans="1:7" ht="15.75" x14ac:dyDescent="0.25">
      <c r="A34" s="408" t="s">
        <v>142</v>
      </c>
      <c r="B34" s="408" t="s">
        <v>143</v>
      </c>
      <c r="C34" s="408" t="s">
        <v>144</v>
      </c>
      <c r="E34" s="557">
        <v>73409.77</v>
      </c>
      <c r="F34" s="557">
        <v>0</v>
      </c>
      <c r="G34" s="561"/>
    </row>
    <row r="35" spans="1:7" ht="15.75" x14ac:dyDescent="0.25">
      <c r="A35" s="408" t="s">
        <v>145</v>
      </c>
      <c r="B35" s="408" t="s">
        <v>143</v>
      </c>
      <c r="C35" s="408" t="s">
        <v>143</v>
      </c>
      <c r="E35" s="557">
        <v>0</v>
      </c>
      <c r="F35" s="557">
        <v>0</v>
      </c>
      <c r="G35" s="561"/>
    </row>
    <row r="36" spans="1:7" ht="15.75" x14ac:dyDescent="0.25">
      <c r="A36" s="408" t="s">
        <v>146</v>
      </c>
      <c r="B36" s="408" t="s">
        <v>147</v>
      </c>
      <c r="C36" s="408" t="s">
        <v>147</v>
      </c>
      <c r="E36" s="557">
        <v>0</v>
      </c>
      <c r="F36" s="557">
        <v>0</v>
      </c>
      <c r="G36" s="561"/>
    </row>
    <row r="37" spans="1:7" ht="15.75" x14ac:dyDescent="0.25">
      <c r="A37" s="408" t="s">
        <v>148</v>
      </c>
      <c r="B37" s="408" t="s">
        <v>149</v>
      </c>
      <c r="C37" s="408" t="s">
        <v>150</v>
      </c>
      <c r="E37" s="557">
        <v>189856.48</v>
      </c>
      <c r="F37" s="557">
        <v>0</v>
      </c>
      <c r="G37" s="561"/>
    </row>
    <row r="38" spans="1:7" ht="15.75" x14ac:dyDescent="0.25">
      <c r="A38" s="408" t="s">
        <v>151</v>
      </c>
      <c r="B38" s="408" t="s">
        <v>149</v>
      </c>
      <c r="C38" s="408" t="s">
        <v>152</v>
      </c>
      <c r="E38" s="557">
        <v>0</v>
      </c>
      <c r="F38" s="557">
        <v>0</v>
      </c>
      <c r="G38" s="561"/>
    </row>
    <row r="39" spans="1:7" ht="15.75" x14ac:dyDescent="0.25">
      <c r="A39" s="408" t="s">
        <v>153</v>
      </c>
      <c r="B39" s="408" t="s">
        <v>149</v>
      </c>
      <c r="C39" s="408" t="s">
        <v>154</v>
      </c>
      <c r="E39" s="557">
        <v>0</v>
      </c>
      <c r="F39" s="557">
        <v>0</v>
      </c>
      <c r="G39" s="561"/>
    </row>
    <row r="40" spans="1:7" ht="15.75" x14ac:dyDescent="0.25">
      <c r="A40" s="408" t="s">
        <v>155</v>
      </c>
      <c r="B40" s="408" t="s">
        <v>156</v>
      </c>
      <c r="C40" s="408" t="s">
        <v>157</v>
      </c>
      <c r="E40" s="557">
        <v>0</v>
      </c>
      <c r="F40" s="557">
        <v>0</v>
      </c>
      <c r="G40" s="561"/>
    </row>
    <row r="41" spans="1:7" ht="15.75" x14ac:dyDescent="0.25">
      <c r="A41" s="408" t="s">
        <v>158</v>
      </c>
      <c r="B41" s="408" t="s">
        <v>156</v>
      </c>
      <c r="C41" s="408" t="s">
        <v>159</v>
      </c>
      <c r="E41" s="557">
        <v>0</v>
      </c>
      <c r="F41" s="557">
        <v>0</v>
      </c>
      <c r="G41" s="561"/>
    </row>
    <row r="42" spans="1:7" ht="15.75" x14ac:dyDescent="0.25">
      <c r="A42" s="408" t="s">
        <v>160</v>
      </c>
      <c r="B42" s="408" t="s">
        <v>161</v>
      </c>
      <c r="C42" s="408" t="s">
        <v>161</v>
      </c>
      <c r="E42" s="557">
        <v>0</v>
      </c>
      <c r="F42" s="557">
        <v>0</v>
      </c>
      <c r="G42" s="561"/>
    </row>
    <row r="43" spans="1:7" ht="15.75" x14ac:dyDescent="0.25">
      <c r="A43" s="408" t="s">
        <v>162</v>
      </c>
      <c r="B43" s="408" t="s">
        <v>163</v>
      </c>
      <c r="C43" s="408" t="s">
        <v>164</v>
      </c>
      <c r="E43" s="557">
        <v>0</v>
      </c>
      <c r="F43" s="557">
        <v>0</v>
      </c>
      <c r="G43" s="561"/>
    </row>
    <row r="44" spans="1:7" ht="15.75" x14ac:dyDescent="0.25">
      <c r="A44" s="408" t="s">
        <v>165</v>
      </c>
      <c r="B44" s="408" t="s">
        <v>166</v>
      </c>
      <c r="C44" s="408" t="s">
        <v>166</v>
      </c>
      <c r="E44" s="557">
        <v>0</v>
      </c>
      <c r="F44" s="557">
        <v>0</v>
      </c>
      <c r="G44" s="561"/>
    </row>
    <row r="45" spans="1:7" ht="15.75" x14ac:dyDescent="0.25">
      <c r="A45" s="408" t="s">
        <v>167</v>
      </c>
      <c r="B45" s="408" t="s">
        <v>168</v>
      </c>
      <c r="C45" s="408" t="s">
        <v>168</v>
      </c>
      <c r="E45" s="557">
        <v>0</v>
      </c>
      <c r="F45" s="557">
        <v>0</v>
      </c>
      <c r="G45" s="561"/>
    </row>
    <row r="46" spans="1:7" ht="15.75" x14ac:dyDescent="0.25">
      <c r="A46" s="408" t="s">
        <v>169</v>
      </c>
      <c r="B46" s="408" t="s">
        <v>170</v>
      </c>
      <c r="C46" s="408" t="s">
        <v>170</v>
      </c>
      <c r="E46" s="557">
        <v>0</v>
      </c>
      <c r="F46" s="557">
        <v>0</v>
      </c>
      <c r="G46" s="561"/>
    </row>
    <row r="47" spans="1:7" ht="15.75" x14ac:dyDescent="0.25">
      <c r="A47" s="408" t="s">
        <v>171</v>
      </c>
      <c r="B47" s="408" t="s">
        <v>172</v>
      </c>
      <c r="C47" s="408" t="s">
        <v>172</v>
      </c>
      <c r="E47" s="557">
        <v>0</v>
      </c>
      <c r="F47" s="557">
        <v>0</v>
      </c>
      <c r="G47" s="561"/>
    </row>
    <row r="48" spans="1:7" ht="15.75" x14ac:dyDescent="0.25">
      <c r="A48" s="408" t="s">
        <v>173</v>
      </c>
      <c r="B48" s="408" t="s">
        <v>174</v>
      </c>
      <c r="C48" s="408" t="s">
        <v>174</v>
      </c>
      <c r="E48" s="557">
        <v>2116980.9</v>
      </c>
      <c r="F48" s="557">
        <v>0</v>
      </c>
      <c r="G48" s="561"/>
    </row>
    <row r="49" spans="1:7" ht="15.75" x14ac:dyDescent="0.25">
      <c r="A49" s="408" t="s">
        <v>175</v>
      </c>
      <c r="B49" s="408" t="s">
        <v>176</v>
      </c>
      <c r="C49" s="408" t="s">
        <v>177</v>
      </c>
      <c r="E49" s="557">
        <v>0</v>
      </c>
      <c r="F49" s="557">
        <v>0</v>
      </c>
      <c r="G49" s="561"/>
    </row>
    <row r="50" spans="1:7" ht="15.75" x14ac:dyDescent="0.25">
      <c r="A50" s="408" t="s">
        <v>178</v>
      </c>
      <c r="B50" s="408" t="s">
        <v>176</v>
      </c>
      <c r="C50" s="408" t="s">
        <v>179</v>
      </c>
      <c r="E50" s="557">
        <v>0</v>
      </c>
      <c r="F50" s="557">
        <v>0</v>
      </c>
      <c r="G50" s="561"/>
    </row>
    <row r="51" spans="1:7" ht="15.75" x14ac:dyDescent="0.25">
      <c r="A51" s="408" t="s">
        <v>180</v>
      </c>
      <c r="B51" s="408" t="s">
        <v>176</v>
      </c>
      <c r="C51" s="408" t="s">
        <v>181</v>
      </c>
      <c r="E51" s="557">
        <v>0</v>
      </c>
      <c r="F51" s="557">
        <v>0</v>
      </c>
      <c r="G51" s="561"/>
    </row>
    <row r="52" spans="1:7" ht="15.75" x14ac:dyDescent="0.25">
      <c r="A52" s="408" t="s">
        <v>182</v>
      </c>
      <c r="B52" s="408" t="s">
        <v>176</v>
      </c>
      <c r="C52" s="408" t="s">
        <v>176</v>
      </c>
      <c r="E52" s="557">
        <v>0</v>
      </c>
      <c r="F52" s="557">
        <v>0</v>
      </c>
      <c r="G52" s="561"/>
    </row>
    <row r="53" spans="1:7" ht="15.75" x14ac:dyDescent="0.25">
      <c r="A53" s="408" t="s">
        <v>183</v>
      </c>
      <c r="B53" s="408" t="s">
        <v>176</v>
      </c>
      <c r="C53" s="408" t="s">
        <v>184</v>
      </c>
      <c r="E53" s="557">
        <v>0</v>
      </c>
      <c r="F53" s="557">
        <v>0</v>
      </c>
      <c r="G53" s="561"/>
    </row>
    <row r="54" spans="1:7" ht="15.75" x14ac:dyDescent="0.25">
      <c r="A54" s="408" t="s">
        <v>185</v>
      </c>
      <c r="B54" s="408" t="s">
        <v>186</v>
      </c>
      <c r="C54" s="408" t="s">
        <v>187</v>
      </c>
      <c r="E54" s="557">
        <v>0</v>
      </c>
      <c r="F54" s="557">
        <v>0</v>
      </c>
      <c r="G54" s="561"/>
    </row>
    <row r="55" spans="1:7" ht="15.75" x14ac:dyDescent="0.25">
      <c r="A55" s="408" t="s">
        <v>188</v>
      </c>
      <c r="B55" s="408" t="s">
        <v>186</v>
      </c>
      <c r="C55" s="408" t="s">
        <v>189</v>
      </c>
      <c r="E55" s="557">
        <v>0</v>
      </c>
      <c r="F55" s="557">
        <v>0</v>
      </c>
      <c r="G55" s="561"/>
    </row>
    <row r="56" spans="1:7" ht="15.75" x14ac:dyDescent="0.25">
      <c r="A56" s="408" t="s">
        <v>190</v>
      </c>
      <c r="B56" s="408" t="s">
        <v>186</v>
      </c>
      <c r="C56" s="408" t="s">
        <v>191</v>
      </c>
      <c r="E56" s="557">
        <v>0</v>
      </c>
      <c r="F56" s="557">
        <v>0</v>
      </c>
      <c r="G56" s="561"/>
    </row>
    <row r="57" spans="1:7" ht="15.75" x14ac:dyDescent="0.25">
      <c r="A57" s="408" t="s">
        <v>192</v>
      </c>
      <c r="B57" s="408" t="s">
        <v>186</v>
      </c>
      <c r="C57" s="408" t="s">
        <v>193</v>
      </c>
      <c r="E57" s="557">
        <v>0</v>
      </c>
      <c r="F57" s="557">
        <v>0</v>
      </c>
      <c r="G57" s="561"/>
    </row>
    <row r="58" spans="1:7" ht="15.75" x14ac:dyDescent="0.25">
      <c r="A58" s="408" t="s">
        <v>194</v>
      </c>
      <c r="B58" s="408" t="s">
        <v>186</v>
      </c>
      <c r="C58" s="408" t="s">
        <v>195</v>
      </c>
      <c r="E58" s="557">
        <v>0</v>
      </c>
      <c r="F58" s="557">
        <v>0</v>
      </c>
      <c r="G58" s="561"/>
    </row>
    <row r="59" spans="1:7" ht="15.75" x14ac:dyDescent="0.25">
      <c r="A59" s="408" t="s">
        <v>196</v>
      </c>
      <c r="B59" s="408" t="s">
        <v>186</v>
      </c>
      <c r="C59" s="408" t="s">
        <v>197</v>
      </c>
      <c r="E59" s="557">
        <v>0</v>
      </c>
      <c r="F59" s="557">
        <v>0</v>
      </c>
      <c r="G59" s="561"/>
    </row>
    <row r="60" spans="1:7" ht="15.75" x14ac:dyDescent="0.25">
      <c r="A60" s="408" t="s">
        <v>198</v>
      </c>
      <c r="B60" s="408" t="s">
        <v>186</v>
      </c>
      <c r="C60" s="408" t="s">
        <v>199</v>
      </c>
      <c r="E60" s="557">
        <v>0</v>
      </c>
      <c r="F60" s="557">
        <v>0</v>
      </c>
      <c r="G60" s="561"/>
    </row>
    <row r="61" spans="1:7" ht="15.75" x14ac:dyDescent="0.25">
      <c r="A61" s="408" t="s">
        <v>200</v>
      </c>
      <c r="B61" s="408" t="s">
        <v>186</v>
      </c>
      <c r="C61" s="408" t="s">
        <v>201</v>
      </c>
      <c r="E61" s="557">
        <v>0</v>
      </c>
      <c r="F61" s="557">
        <v>0</v>
      </c>
      <c r="G61" s="561"/>
    </row>
    <row r="62" spans="1:7" ht="15.75" x14ac:dyDescent="0.25">
      <c r="A62" s="408" t="s">
        <v>202</v>
      </c>
      <c r="B62" s="408" t="s">
        <v>186</v>
      </c>
      <c r="C62" s="408" t="s">
        <v>203</v>
      </c>
      <c r="E62" s="557">
        <v>0</v>
      </c>
      <c r="F62" s="557">
        <v>0</v>
      </c>
      <c r="G62" s="561"/>
    </row>
    <row r="63" spans="1:7" ht="15.75" x14ac:dyDescent="0.25">
      <c r="A63" s="408" t="s">
        <v>204</v>
      </c>
      <c r="B63" s="408" t="s">
        <v>186</v>
      </c>
      <c r="C63" s="408" t="s">
        <v>205</v>
      </c>
      <c r="E63" s="557">
        <v>0</v>
      </c>
      <c r="F63" s="557">
        <v>0</v>
      </c>
      <c r="G63" s="561"/>
    </row>
    <row r="64" spans="1:7" ht="15.75" x14ac:dyDescent="0.25">
      <c r="A64" s="408" t="s">
        <v>206</v>
      </c>
      <c r="B64" s="408" t="s">
        <v>186</v>
      </c>
      <c r="C64" s="408" t="s">
        <v>207</v>
      </c>
      <c r="E64" s="557">
        <v>0</v>
      </c>
      <c r="F64" s="557">
        <v>0</v>
      </c>
      <c r="G64" s="561"/>
    </row>
    <row r="65" spans="1:7" ht="15.75" x14ac:dyDescent="0.25">
      <c r="A65" s="408" t="s">
        <v>208</v>
      </c>
      <c r="B65" s="408" t="s">
        <v>186</v>
      </c>
      <c r="C65" s="408" t="s">
        <v>209</v>
      </c>
      <c r="E65" s="557">
        <v>0</v>
      </c>
      <c r="F65" s="557">
        <v>0</v>
      </c>
      <c r="G65" s="561"/>
    </row>
    <row r="66" spans="1:7" ht="15.75" x14ac:dyDescent="0.25">
      <c r="A66" s="408" t="s">
        <v>210</v>
      </c>
      <c r="B66" s="408" t="s">
        <v>186</v>
      </c>
      <c r="C66" s="408" t="s">
        <v>211</v>
      </c>
      <c r="E66" s="557">
        <v>0</v>
      </c>
      <c r="F66" s="557">
        <v>0</v>
      </c>
      <c r="G66" s="561"/>
    </row>
    <row r="67" spans="1:7" ht="15.75" x14ac:dyDescent="0.25">
      <c r="A67" s="408" t="s">
        <v>212</v>
      </c>
      <c r="B67" s="408" t="s">
        <v>186</v>
      </c>
      <c r="C67" s="408" t="s">
        <v>213</v>
      </c>
      <c r="E67" s="557">
        <v>0</v>
      </c>
      <c r="F67" s="557">
        <v>0</v>
      </c>
      <c r="G67" s="561"/>
    </row>
    <row r="68" spans="1:7" ht="15.75" x14ac:dyDescent="0.25">
      <c r="A68" s="408" t="s">
        <v>214</v>
      </c>
      <c r="B68" s="408" t="s">
        <v>186</v>
      </c>
      <c r="C68" s="408" t="s">
        <v>215</v>
      </c>
      <c r="E68" s="557">
        <v>40575.480000000003</v>
      </c>
      <c r="F68" s="557">
        <v>0</v>
      </c>
      <c r="G68" s="561"/>
    </row>
    <row r="69" spans="1:7" ht="15.75" x14ac:dyDescent="0.25">
      <c r="A69" s="408" t="s">
        <v>216</v>
      </c>
      <c r="B69" s="408" t="s">
        <v>217</v>
      </c>
      <c r="C69" s="408" t="s">
        <v>218</v>
      </c>
      <c r="E69" s="557">
        <v>0</v>
      </c>
      <c r="F69" s="557">
        <v>0</v>
      </c>
      <c r="G69" s="561"/>
    </row>
    <row r="70" spans="1:7" ht="15.75" x14ac:dyDescent="0.25">
      <c r="A70" s="408" t="s">
        <v>219</v>
      </c>
      <c r="B70" s="408" t="s">
        <v>217</v>
      </c>
      <c r="C70" s="408" t="s">
        <v>220</v>
      </c>
      <c r="E70" s="557">
        <v>0</v>
      </c>
      <c r="F70" s="557">
        <v>0</v>
      </c>
      <c r="G70" s="561"/>
    </row>
    <row r="71" spans="1:7" ht="15.75" x14ac:dyDescent="0.25">
      <c r="A71" s="408" t="s">
        <v>221</v>
      </c>
      <c r="B71" s="408" t="s">
        <v>217</v>
      </c>
      <c r="C71" s="408" t="s">
        <v>222</v>
      </c>
      <c r="E71" s="557">
        <v>0</v>
      </c>
      <c r="F71" s="557">
        <v>0</v>
      </c>
      <c r="G71" s="561"/>
    </row>
    <row r="72" spans="1:7" ht="15.75" x14ac:dyDescent="0.25">
      <c r="A72" s="408" t="s">
        <v>223</v>
      </c>
      <c r="B72" s="408" t="s">
        <v>224</v>
      </c>
      <c r="C72" s="408" t="s">
        <v>225</v>
      </c>
      <c r="E72" s="557">
        <v>0</v>
      </c>
      <c r="F72" s="557">
        <v>0</v>
      </c>
      <c r="G72" s="561"/>
    </row>
    <row r="73" spans="1:7" ht="15.75" x14ac:dyDescent="0.25">
      <c r="A73" s="408" t="s">
        <v>226</v>
      </c>
      <c r="B73" s="408" t="s">
        <v>224</v>
      </c>
      <c r="C73" s="408" t="s">
        <v>227</v>
      </c>
      <c r="E73" s="557">
        <v>0</v>
      </c>
      <c r="F73" s="557">
        <v>0</v>
      </c>
      <c r="G73" s="561"/>
    </row>
    <row r="74" spans="1:7" ht="15.75" x14ac:dyDescent="0.25">
      <c r="A74" s="408" t="s">
        <v>228</v>
      </c>
      <c r="B74" s="408" t="s">
        <v>224</v>
      </c>
      <c r="C74" s="408" t="s">
        <v>229</v>
      </c>
      <c r="E74" s="557">
        <v>0</v>
      </c>
      <c r="F74" s="557">
        <v>0</v>
      </c>
      <c r="G74" s="561"/>
    </row>
    <row r="75" spans="1:7" ht="15.75" x14ac:dyDescent="0.25">
      <c r="A75" s="408" t="s">
        <v>230</v>
      </c>
      <c r="B75" s="408" t="s">
        <v>231</v>
      </c>
      <c r="C75" s="408" t="s">
        <v>231</v>
      </c>
      <c r="E75" s="557">
        <v>0</v>
      </c>
      <c r="F75" s="557">
        <v>0</v>
      </c>
      <c r="G75" s="561"/>
    </row>
    <row r="76" spans="1:7" ht="15.75" x14ac:dyDescent="0.25">
      <c r="A76" s="408" t="s">
        <v>232</v>
      </c>
      <c r="B76" s="408" t="s">
        <v>233</v>
      </c>
      <c r="C76" s="408" t="s">
        <v>234</v>
      </c>
      <c r="E76" s="557">
        <v>0</v>
      </c>
      <c r="F76" s="557">
        <v>0</v>
      </c>
      <c r="G76" s="561"/>
    </row>
    <row r="77" spans="1:7" ht="15.75" x14ac:dyDescent="0.25">
      <c r="A77" s="408" t="s">
        <v>235</v>
      </c>
      <c r="B77" s="408" t="s">
        <v>233</v>
      </c>
      <c r="C77" s="408" t="s">
        <v>236</v>
      </c>
      <c r="E77" s="557">
        <v>784125.51</v>
      </c>
      <c r="F77" s="557">
        <v>0</v>
      </c>
      <c r="G77" s="561"/>
    </row>
    <row r="78" spans="1:7" ht="15.75" x14ac:dyDescent="0.25">
      <c r="A78" s="408" t="s">
        <v>237</v>
      </c>
      <c r="B78" s="408" t="s">
        <v>238</v>
      </c>
      <c r="C78" s="408" t="s">
        <v>238</v>
      </c>
      <c r="E78" s="557">
        <v>0</v>
      </c>
      <c r="F78" s="557">
        <v>0</v>
      </c>
      <c r="G78" s="561"/>
    </row>
    <row r="79" spans="1:7" ht="15.75" x14ac:dyDescent="0.25">
      <c r="A79" s="408" t="s">
        <v>239</v>
      </c>
      <c r="B79" s="408" t="s">
        <v>240</v>
      </c>
      <c r="C79" s="408" t="s">
        <v>240</v>
      </c>
      <c r="E79" s="557">
        <v>0</v>
      </c>
      <c r="F79" s="557">
        <v>0</v>
      </c>
      <c r="G79" s="561"/>
    </row>
    <row r="80" spans="1:7" ht="15.75" x14ac:dyDescent="0.25">
      <c r="A80" s="408" t="s">
        <v>241</v>
      </c>
      <c r="B80" s="408" t="s">
        <v>242</v>
      </c>
      <c r="C80" s="408" t="s">
        <v>242</v>
      </c>
      <c r="E80" s="557">
        <v>0</v>
      </c>
      <c r="F80" s="557">
        <v>0</v>
      </c>
      <c r="G80" s="561"/>
    </row>
    <row r="81" spans="1:7" ht="15.75" x14ac:dyDescent="0.25">
      <c r="A81" s="408" t="s">
        <v>243</v>
      </c>
      <c r="B81" s="408" t="s">
        <v>242</v>
      </c>
      <c r="C81" s="408" t="s">
        <v>244</v>
      </c>
      <c r="E81" s="557">
        <v>0</v>
      </c>
      <c r="F81" s="557">
        <v>0</v>
      </c>
      <c r="G81" s="561"/>
    </row>
    <row r="82" spans="1:7" ht="15.75" x14ac:dyDescent="0.25">
      <c r="A82" s="408" t="s">
        <v>245</v>
      </c>
      <c r="B82" s="408" t="s">
        <v>246</v>
      </c>
      <c r="C82" s="408" t="s">
        <v>247</v>
      </c>
      <c r="E82" s="557">
        <v>0</v>
      </c>
      <c r="F82" s="557">
        <v>0</v>
      </c>
      <c r="G82" s="561"/>
    </row>
    <row r="83" spans="1:7" ht="15.75" x14ac:dyDescent="0.25">
      <c r="A83" s="408" t="s">
        <v>248</v>
      </c>
      <c r="B83" s="408" t="s">
        <v>249</v>
      </c>
      <c r="C83" s="408" t="s">
        <v>249</v>
      </c>
      <c r="E83" s="557">
        <v>0</v>
      </c>
      <c r="F83" s="557">
        <v>0</v>
      </c>
      <c r="G83" s="561"/>
    </row>
    <row r="84" spans="1:7" ht="15.75" x14ac:dyDescent="0.25">
      <c r="A84" s="408" t="s">
        <v>250</v>
      </c>
      <c r="B84" s="408" t="s">
        <v>179</v>
      </c>
      <c r="C84" s="408" t="s">
        <v>251</v>
      </c>
      <c r="E84" s="557">
        <v>0</v>
      </c>
      <c r="F84" s="557">
        <v>0</v>
      </c>
      <c r="G84" s="561"/>
    </row>
    <row r="85" spans="1:7" ht="15.75" x14ac:dyDescent="0.25">
      <c r="A85" s="408" t="s">
        <v>252</v>
      </c>
      <c r="B85" s="408" t="s">
        <v>179</v>
      </c>
      <c r="C85" s="408" t="s">
        <v>253</v>
      </c>
      <c r="E85" s="557">
        <v>64538.16</v>
      </c>
      <c r="F85" s="557">
        <v>0</v>
      </c>
      <c r="G85" s="561"/>
    </row>
    <row r="86" spans="1:7" ht="15.75" x14ac:dyDescent="0.25">
      <c r="A86" s="408" t="s">
        <v>254</v>
      </c>
      <c r="B86" s="408" t="s">
        <v>144</v>
      </c>
      <c r="C86" s="408" t="s">
        <v>255</v>
      </c>
      <c r="E86" s="557">
        <v>0</v>
      </c>
      <c r="F86" s="557">
        <v>0</v>
      </c>
      <c r="G86" s="561"/>
    </row>
    <row r="87" spans="1:7" ht="15.75" x14ac:dyDescent="0.25">
      <c r="A87" s="408" t="s">
        <v>256</v>
      </c>
      <c r="B87" s="408" t="s">
        <v>144</v>
      </c>
      <c r="C87" s="408" t="s">
        <v>257</v>
      </c>
      <c r="E87" s="557">
        <v>139360.24</v>
      </c>
      <c r="F87" s="557">
        <v>0</v>
      </c>
      <c r="G87" s="561"/>
    </row>
    <row r="88" spans="1:7" ht="15.75" x14ac:dyDescent="0.25">
      <c r="A88" s="408" t="s">
        <v>258</v>
      </c>
      <c r="B88" s="408" t="s">
        <v>144</v>
      </c>
      <c r="C88" s="408" t="s">
        <v>259</v>
      </c>
      <c r="E88" s="557">
        <v>0</v>
      </c>
      <c r="F88" s="557">
        <v>0</v>
      </c>
      <c r="G88" s="561"/>
    </row>
    <row r="89" spans="1:7" ht="15.75" x14ac:dyDescent="0.25">
      <c r="A89" s="408" t="s">
        <v>260</v>
      </c>
      <c r="B89" s="408" t="s">
        <v>144</v>
      </c>
      <c r="C89" s="408" t="s">
        <v>261</v>
      </c>
      <c r="E89" s="557">
        <v>0</v>
      </c>
      <c r="F89" s="557">
        <v>0</v>
      </c>
      <c r="G89" s="561"/>
    </row>
    <row r="90" spans="1:7" ht="15.75" x14ac:dyDescent="0.25">
      <c r="A90" s="408" t="s">
        <v>262</v>
      </c>
      <c r="B90" s="408" t="s">
        <v>144</v>
      </c>
      <c r="C90" s="408" t="s">
        <v>263</v>
      </c>
      <c r="E90" s="557">
        <v>0</v>
      </c>
      <c r="F90" s="557">
        <v>0</v>
      </c>
      <c r="G90" s="561"/>
    </row>
    <row r="91" spans="1:7" ht="15.75" x14ac:dyDescent="0.25">
      <c r="A91" s="408" t="s">
        <v>264</v>
      </c>
      <c r="B91" s="408" t="s">
        <v>265</v>
      </c>
      <c r="C91" s="408" t="s">
        <v>265</v>
      </c>
      <c r="E91" s="557">
        <v>0</v>
      </c>
      <c r="F91" s="557">
        <v>0</v>
      </c>
      <c r="G91" s="561"/>
    </row>
    <row r="92" spans="1:7" ht="15.75" x14ac:dyDescent="0.25">
      <c r="A92" s="408" t="s">
        <v>266</v>
      </c>
      <c r="B92" s="408" t="s">
        <v>267</v>
      </c>
      <c r="C92" s="408" t="s">
        <v>268</v>
      </c>
      <c r="E92" s="557">
        <v>2621262.39</v>
      </c>
      <c r="F92" s="557">
        <v>0</v>
      </c>
      <c r="G92" s="561"/>
    </row>
    <row r="93" spans="1:7" ht="15.75" x14ac:dyDescent="0.25">
      <c r="A93" s="408" t="s">
        <v>269</v>
      </c>
      <c r="B93" s="408" t="s">
        <v>267</v>
      </c>
      <c r="C93" s="408" t="s">
        <v>270</v>
      </c>
      <c r="E93" s="557">
        <v>34407.54</v>
      </c>
      <c r="F93" s="557">
        <v>0</v>
      </c>
      <c r="G93" s="561"/>
    </row>
    <row r="94" spans="1:7" ht="15.75" x14ac:dyDescent="0.25">
      <c r="A94" s="408" t="s">
        <v>271</v>
      </c>
      <c r="B94" s="408" t="s">
        <v>267</v>
      </c>
      <c r="C94" s="408" t="s">
        <v>272</v>
      </c>
      <c r="E94" s="557">
        <v>0</v>
      </c>
      <c r="F94" s="557">
        <v>0</v>
      </c>
      <c r="G94" s="561"/>
    </row>
    <row r="95" spans="1:7" ht="15.75" x14ac:dyDescent="0.25">
      <c r="A95" s="408" t="s">
        <v>273</v>
      </c>
      <c r="B95" s="408" t="s">
        <v>274</v>
      </c>
      <c r="C95" s="408" t="s">
        <v>275</v>
      </c>
      <c r="E95" s="557">
        <v>0</v>
      </c>
      <c r="F95" s="557">
        <v>0</v>
      </c>
      <c r="G95" s="561"/>
    </row>
    <row r="96" spans="1:7" ht="15.75" x14ac:dyDescent="0.25">
      <c r="A96" s="408" t="s">
        <v>276</v>
      </c>
      <c r="B96" s="408" t="s">
        <v>274</v>
      </c>
      <c r="C96" s="408" t="s">
        <v>277</v>
      </c>
      <c r="E96" s="557">
        <v>0</v>
      </c>
      <c r="F96" s="557">
        <v>0</v>
      </c>
      <c r="G96" s="561"/>
    </row>
    <row r="97" spans="1:7" ht="15.75" x14ac:dyDescent="0.25">
      <c r="A97" s="408" t="s">
        <v>278</v>
      </c>
      <c r="B97" s="408" t="s">
        <v>274</v>
      </c>
      <c r="C97" s="408" t="s">
        <v>279</v>
      </c>
      <c r="E97" s="557">
        <v>0</v>
      </c>
      <c r="F97" s="557">
        <v>0</v>
      </c>
      <c r="G97" s="561"/>
    </row>
    <row r="98" spans="1:7" ht="15.75" x14ac:dyDescent="0.25">
      <c r="A98" s="408" t="s">
        <v>280</v>
      </c>
      <c r="B98" s="408" t="s">
        <v>130</v>
      </c>
      <c r="C98" s="408" t="s">
        <v>281</v>
      </c>
      <c r="E98" s="557">
        <v>0</v>
      </c>
      <c r="F98" s="557">
        <v>0</v>
      </c>
      <c r="G98" s="561"/>
    </row>
    <row r="99" spans="1:7" ht="15.75" x14ac:dyDescent="0.25">
      <c r="A99" s="408" t="s">
        <v>282</v>
      </c>
      <c r="B99" s="408" t="s">
        <v>130</v>
      </c>
      <c r="C99" s="408" t="s">
        <v>283</v>
      </c>
      <c r="E99" s="557">
        <v>78694.86</v>
      </c>
      <c r="F99" s="557">
        <v>0</v>
      </c>
      <c r="G99" s="561"/>
    </row>
    <row r="100" spans="1:7" ht="15.75" x14ac:dyDescent="0.25">
      <c r="A100" s="408" t="s">
        <v>284</v>
      </c>
      <c r="B100" s="408" t="s">
        <v>130</v>
      </c>
      <c r="C100" s="408" t="s">
        <v>285</v>
      </c>
      <c r="E100" s="557">
        <v>0</v>
      </c>
      <c r="F100" s="557">
        <v>0</v>
      </c>
      <c r="G100" s="561"/>
    </row>
    <row r="101" spans="1:7" ht="15.75" x14ac:dyDescent="0.25">
      <c r="A101" s="408" t="s">
        <v>286</v>
      </c>
      <c r="B101" s="408" t="s">
        <v>130</v>
      </c>
      <c r="C101" s="408" t="s">
        <v>287</v>
      </c>
      <c r="E101" s="557">
        <v>29636.04</v>
      </c>
      <c r="F101" s="557">
        <v>0</v>
      </c>
      <c r="G101" s="561"/>
    </row>
    <row r="102" spans="1:7" ht="15.75" x14ac:dyDescent="0.25">
      <c r="A102" s="408" t="s">
        <v>288</v>
      </c>
      <c r="B102" s="408" t="s">
        <v>130</v>
      </c>
      <c r="C102" s="408" t="s">
        <v>289</v>
      </c>
      <c r="E102" s="557">
        <v>0</v>
      </c>
      <c r="F102" s="557">
        <v>0</v>
      </c>
      <c r="G102" s="561"/>
    </row>
    <row r="103" spans="1:7" ht="15.75" x14ac:dyDescent="0.25">
      <c r="A103" s="408" t="s">
        <v>290</v>
      </c>
      <c r="B103" s="408" t="s">
        <v>130</v>
      </c>
      <c r="C103" s="408" t="s">
        <v>291</v>
      </c>
      <c r="E103" s="557">
        <v>28341.66</v>
      </c>
      <c r="F103" s="557">
        <v>0</v>
      </c>
      <c r="G103" s="561"/>
    </row>
    <row r="104" spans="1:7" ht="15.75" x14ac:dyDescent="0.25">
      <c r="A104" s="408" t="s">
        <v>292</v>
      </c>
      <c r="B104" s="408" t="s">
        <v>293</v>
      </c>
      <c r="C104" s="408" t="s">
        <v>294</v>
      </c>
      <c r="E104" s="557">
        <v>0</v>
      </c>
      <c r="F104" s="557">
        <v>0</v>
      </c>
      <c r="G104" s="561"/>
    </row>
    <row r="105" spans="1:7" ht="15.75" x14ac:dyDescent="0.25">
      <c r="A105" s="408" t="s">
        <v>295</v>
      </c>
      <c r="B105" s="408" t="s">
        <v>293</v>
      </c>
      <c r="C105" s="408" t="s">
        <v>296</v>
      </c>
      <c r="E105" s="557">
        <v>0</v>
      </c>
      <c r="F105" s="557">
        <v>0</v>
      </c>
      <c r="G105" s="561"/>
    </row>
    <row r="106" spans="1:7" ht="15.75" x14ac:dyDescent="0.25">
      <c r="A106" s="408" t="s">
        <v>297</v>
      </c>
      <c r="B106" s="408" t="s">
        <v>293</v>
      </c>
      <c r="C106" s="408" t="s">
        <v>298</v>
      </c>
      <c r="E106" s="557">
        <v>0</v>
      </c>
      <c r="F106" s="557">
        <v>0</v>
      </c>
      <c r="G106" s="561"/>
    </row>
    <row r="107" spans="1:7" ht="15.75" x14ac:dyDescent="0.25">
      <c r="A107" s="408" t="s">
        <v>299</v>
      </c>
      <c r="B107" s="408" t="s">
        <v>300</v>
      </c>
      <c r="C107" s="408" t="s">
        <v>301</v>
      </c>
      <c r="E107" s="557">
        <v>0</v>
      </c>
      <c r="F107" s="557">
        <v>0</v>
      </c>
      <c r="G107" s="561"/>
    </row>
    <row r="108" spans="1:7" ht="15.75" x14ac:dyDescent="0.25">
      <c r="A108" s="408" t="s">
        <v>302</v>
      </c>
      <c r="B108" s="408" t="s">
        <v>300</v>
      </c>
      <c r="C108" s="408" t="s">
        <v>303</v>
      </c>
      <c r="E108" s="557">
        <v>18622.72</v>
      </c>
      <c r="F108" s="557">
        <v>0</v>
      </c>
      <c r="G108" s="561"/>
    </row>
    <row r="109" spans="1:7" ht="15.75" x14ac:dyDescent="0.25">
      <c r="A109" s="408" t="s">
        <v>304</v>
      </c>
      <c r="B109" s="408" t="s">
        <v>300</v>
      </c>
      <c r="C109" s="408" t="s">
        <v>305</v>
      </c>
      <c r="E109" s="557">
        <v>0</v>
      </c>
      <c r="F109" s="557">
        <v>0</v>
      </c>
      <c r="G109" s="561"/>
    </row>
    <row r="110" spans="1:7" ht="15.75" x14ac:dyDescent="0.25">
      <c r="A110" s="408" t="s">
        <v>306</v>
      </c>
      <c r="B110" s="408" t="s">
        <v>300</v>
      </c>
      <c r="C110" s="408" t="s">
        <v>307</v>
      </c>
      <c r="E110" s="557">
        <v>36496.36</v>
      </c>
      <c r="F110" s="557">
        <v>0</v>
      </c>
      <c r="G110" s="561"/>
    </row>
    <row r="111" spans="1:7" ht="15.75" x14ac:dyDescent="0.25">
      <c r="A111" s="408" t="s">
        <v>308</v>
      </c>
      <c r="B111" s="408" t="s">
        <v>309</v>
      </c>
      <c r="C111" s="408" t="s">
        <v>310</v>
      </c>
      <c r="E111" s="557">
        <v>5221.7700000000004</v>
      </c>
      <c r="F111" s="557">
        <v>0</v>
      </c>
      <c r="G111" s="561"/>
    </row>
    <row r="112" spans="1:7" ht="15.75" x14ac:dyDescent="0.25">
      <c r="A112" s="408" t="s">
        <v>311</v>
      </c>
      <c r="B112" s="408" t="s">
        <v>309</v>
      </c>
      <c r="C112" s="408" t="s">
        <v>312</v>
      </c>
      <c r="E112" s="557">
        <v>0</v>
      </c>
      <c r="F112" s="557">
        <v>0</v>
      </c>
      <c r="G112" s="561"/>
    </row>
    <row r="113" spans="1:7" ht="15.75" x14ac:dyDescent="0.25">
      <c r="A113" s="408" t="s">
        <v>313</v>
      </c>
      <c r="B113" s="408" t="s">
        <v>309</v>
      </c>
      <c r="C113" s="408" t="s">
        <v>314</v>
      </c>
      <c r="E113" s="557">
        <v>0</v>
      </c>
      <c r="F113" s="557">
        <v>0</v>
      </c>
      <c r="G113" s="561"/>
    </row>
    <row r="114" spans="1:7" ht="15.75" x14ac:dyDescent="0.25">
      <c r="A114" s="408" t="s">
        <v>315</v>
      </c>
      <c r="B114" s="408" t="s">
        <v>316</v>
      </c>
      <c r="C114" s="408" t="s">
        <v>317</v>
      </c>
      <c r="E114" s="557">
        <v>0</v>
      </c>
      <c r="F114" s="557">
        <v>0</v>
      </c>
      <c r="G114" s="561"/>
    </row>
    <row r="115" spans="1:7" ht="15.75" x14ac:dyDescent="0.25">
      <c r="A115" s="408" t="s">
        <v>318</v>
      </c>
      <c r="B115" s="408" t="s">
        <v>319</v>
      </c>
      <c r="C115" s="408" t="s">
        <v>319</v>
      </c>
      <c r="E115" s="557">
        <v>277847.37</v>
      </c>
      <c r="F115" s="557">
        <v>0</v>
      </c>
      <c r="G115" s="561"/>
    </row>
    <row r="116" spans="1:7" ht="15.75" x14ac:dyDescent="0.25">
      <c r="A116" s="408" t="s">
        <v>320</v>
      </c>
      <c r="B116" s="408" t="s">
        <v>321</v>
      </c>
      <c r="C116" s="408" t="s">
        <v>321</v>
      </c>
      <c r="E116" s="557">
        <v>0</v>
      </c>
      <c r="F116" s="557">
        <v>0</v>
      </c>
      <c r="G116" s="561"/>
    </row>
    <row r="117" spans="1:7" ht="15.75" x14ac:dyDescent="0.25">
      <c r="A117" s="408" t="s">
        <v>322</v>
      </c>
      <c r="B117" s="408" t="s">
        <v>321</v>
      </c>
      <c r="C117" s="408" t="s">
        <v>170</v>
      </c>
      <c r="E117" s="557">
        <v>0</v>
      </c>
      <c r="F117" s="557">
        <v>0</v>
      </c>
      <c r="G117" s="561"/>
    </row>
    <row r="118" spans="1:7" ht="15.75" x14ac:dyDescent="0.25">
      <c r="A118" s="408" t="s">
        <v>323</v>
      </c>
      <c r="B118" s="408" t="s">
        <v>321</v>
      </c>
      <c r="C118" s="408" t="s">
        <v>324</v>
      </c>
      <c r="E118" s="557">
        <v>0</v>
      </c>
      <c r="F118" s="557">
        <v>0</v>
      </c>
      <c r="G118" s="561"/>
    </row>
    <row r="119" spans="1:7" ht="15.75" x14ac:dyDescent="0.25">
      <c r="A119" s="408" t="s">
        <v>325</v>
      </c>
      <c r="B119" s="408" t="s">
        <v>326</v>
      </c>
      <c r="C119" s="408" t="s">
        <v>326</v>
      </c>
      <c r="E119" s="557">
        <v>0</v>
      </c>
      <c r="F119" s="557">
        <v>0</v>
      </c>
      <c r="G119" s="561"/>
    </row>
    <row r="120" spans="1:7" ht="15.75" x14ac:dyDescent="0.25">
      <c r="A120" s="408" t="s">
        <v>327</v>
      </c>
      <c r="B120" s="408" t="s">
        <v>326</v>
      </c>
      <c r="C120" s="408" t="s">
        <v>328</v>
      </c>
      <c r="E120" s="557">
        <v>0</v>
      </c>
      <c r="F120" s="557">
        <v>0</v>
      </c>
      <c r="G120" s="561"/>
    </row>
    <row r="121" spans="1:7" ht="15.75" x14ac:dyDescent="0.25">
      <c r="A121" s="408" t="s">
        <v>329</v>
      </c>
      <c r="B121" s="408" t="s">
        <v>330</v>
      </c>
      <c r="C121" s="408" t="s">
        <v>331</v>
      </c>
      <c r="E121" s="557">
        <v>0</v>
      </c>
      <c r="F121" s="557">
        <v>0</v>
      </c>
      <c r="G121" s="561"/>
    </row>
    <row r="122" spans="1:7" ht="15.75" x14ac:dyDescent="0.25">
      <c r="A122" s="408" t="s">
        <v>332</v>
      </c>
      <c r="B122" s="408" t="s">
        <v>330</v>
      </c>
      <c r="C122" s="408" t="s">
        <v>333</v>
      </c>
      <c r="E122" s="557">
        <v>0</v>
      </c>
      <c r="F122" s="557">
        <v>0</v>
      </c>
      <c r="G122" s="561"/>
    </row>
    <row r="123" spans="1:7" ht="15.75" x14ac:dyDescent="0.25">
      <c r="A123" s="408" t="s">
        <v>334</v>
      </c>
      <c r="B123" s="408" t="s">
        <v>330</v>
      </c>
      <c r="C123" s="408" t="s">
        <v>335</v>
      </c>
      <c r="E123" s="557">
        <v>9617.9</v>
      </c>
      <c r="F123" s="557">
        <v>0</v>
      </c>
      <c r="G123" s="561"/>
    </row>
    <row r="124" spans="1:7" ht="15.75" x14ac:dyDescent="0.25">
      <c r="A124" s="408" t="s">
        <v>336</v>
      </c>
      <c r="B124" s="408" t="s">
        <v>330</v>
      </c>
      <c r="C124" s="408" t="s">
        <v>337</v>
      </c>
      <c r="E124" s="557">
        <v>0</v>
      </c>
      <c r="F124" s="557">
        <v>0</v>
      </c>
      <c r="G124" s="561"/>
    </row>
    <row r="125" spans="1:7" ht="15.75" x14ac:dyDescent="0.25">
      <c r="A125" s="408" t="s">
        <v>338</v>
      </c>
      <c r="B125" s="408" t="s">
        <v>339</v>
      </c>
      <c r="C125" s="408" t="s">
        <v>340</v>
      </c>
      <c r="E125" s="557">
        <v>0</v>
      </c>
      <c r="F125" s="557">
        <v>0</v>
      </c>
      <c r="G125" s="561"/>
    </row>
    <row r="126" spans="1:7" ht="15.75" x14ac:dyDescent="0.25">
      <c r="A126" s="408" t="s">
        <v>341</v>
      </c>
      <c r="B126" s="408" t="s">
        <v>339</v>
      </c>
      <c r="C126" s="408" t="s">
        <v>342</v>
      </c>
      <c r="E126" s="557">
        <v>0</v>
      </c>
      <c r="F126" s="557">
        <v>0</v>
      </c>
      <c r="G126" s="561"/>
    </row>
    <row r="127" spans="1:7" ht="15.75" x14ac:dyDescent="0.25">
      <c r="A127" s="408" t="s">
        <v>343</v>
      </c>
      <c r="B127" s="408" t="s">
        <v>339</v>
      </c>
      <c r="C127" s="408" t="s">
        <v>344</v>
      </c>
      <c r="E127" s="557">
        <v>0</v>
      </c>
      <c r="F127" s="557">
        <v>0</v>
      </c>
      <c r="G127" s="561"/>
    </row>
    <row r="128" spans="1:7" ht="15.75" x14ac:dyDescent="0.25">
      <c r="A128" s="408" t="s">
        <v>345</v>
      </c>
      <c r="B128" s="408" t="s">
        <v>339</v>
      </c>
      <c r="C128" s="408" t="s">
        <v>346</v>
      </c>
      <c r="E128" s="557">
        <v>0</v>
      </c>
      <c r="F128" s="557">
        <v>0</v>
      </c>
      <c r="G128" s="561"/>
    </row>
    <row r="129" spans="1:7" ht="15.75" x14ac:dyDescent="0.25">
      <c r="A129" s="408" t="s">
        <v>347</v>
      </c>
      <c r="B129" s="408" t="s">
        <v>339</v>
      </c>
      <c r="C129" s="408" t="s">
        <v>348</v>
      </c>
      <c r="E129" s="557">
        <v>0</v>
      </c>
      <c r="F129" s="557">
        <v>0</v>
      </c>
      <c r="G129" s="561"/>
    </row>
    <row r="130" spans="1:7" ht="15.75" x14ac:dyDescent="0.25">
      <c r="A130" s="408" t="s">
        <v>349</v>
      </c>
      <c r="B130" s="408" t="s">
        <v>339</v>
      </c>
      <c r="C130" s="408" t="s">
        <v>350</v>
      </c>
      <c r="E130" s="557">
        <v>0</v>
      </c>
      <c r="F130" s="557">
        <v>0</v>
      </c>
      <c r="G130" s="561"/>
    </row>
    <row r="131" spans="1:7" ht="15.75" x14ac:dyDescent="0.25">
      <c r="A131" s="408" t="s">
        <v>351</v>
      </c>
      <c r="B131" s="408" t="s">
        <v>352</v>
      </c>
      <c r="C131" s="408" t="s">
        <v>352</v>
      </c>
      <c r="E131" s="557">
        <v>0</v>
      </c>
      <c r="F131" s="557">
        <v>0</v>
      </c>
      <c r="G131" s="561"/>
    </row>
    <row r="132" spans="1:7" ht="15.75" x14ac:dyDescent="0.25">
      <c r="A132" s="408" t="s">
        <v>353</v>
      </c>
      <c r="B132" s="408" t="s">
        <v>352</v>
      </c>
      <c r="C132" s="408" t="s">
        <v>354</v>
      </c>
      <c r="E132" s="557">
        <v>0</v>
      </c>
      <c r="F132" s="557">
        <v>0</v>
      </c>
      <c r="G132" s="561"/>
    </row>
    <row r="133" spans="1:7" ht="15.75" x14ac:dyDescent="0.25">
      <c r="A133" s="408" t="s">
        <v>355</v>
      </c>
      <c r="B133" s="408" t="s">
        <v>356</v>
      </c>
      <c r="C133" s="408" t="s">
        <v>357</v>
      </c>
      <c r="E133" s="557">
        <v>0</v>
      </c>
      <c r="F133" s="557">
        <v>0</v>
      </c>
      <c r="G133" s="561"/>
    </row>
    <row r="134" spans="1:7" ht="15.75" x14ac:dyDescent="0.25">
      <c r="A134" s="408" t="s">
        <v>358</v>
      </c>
      <c r="B134" s="408" t="s">
        <v>356</v>
      </c>
      <c r="C134" s="408" t="s">
        <v>356</v>
      </c>
      <c r="E134" s="557">
        <v>550952.78</v>
      </c>
      <c r="F134" s="557">
        <v>0</v>
      </c>
      <c r="G134" s="561"/>
    </row>
    <row r="135" spans="1:7" ht="15.75" x14ac:dyDescent="0.25">
      <c r="A135" s="408" t="s">
        <v>359</v>
      </c>
      <c r="B135" s="408" t="s">
        <v>360</v>
      </c>
      <c r="C135" s="408" t="s">
        <v>361</v>
      </c>
      <c r="E135" s="557">
        <v>0</v>
      </c>
      <c r="F135" s="557">
        <v>0</v>
      </c>
      <c r="G135" s="561"/>
    </row>
    <row r="136" spans="1:7" ht="15.75" x14ac:dyDescent="0.25">
      <c r="A136" s="408" t="s">
        <v>362</v>
      </c>
      <c r="B136" s="408" t="s">
        <v>360</v>
      </c>
      <c r="C136" s="408" t="s">
        <v>363</v>
      </c>
      <c r="E136" s="557">
        <v>0</v>
      </c>
      <c r="F136" s="557">
        <v>0</v>
      </c>
      <c r="G136" s="561"/>
    </row>
    <row r="137" spans="1:7" ht="15.75" x14ac:dyDescent="0.25">
      <c r="A137" s="408" t="s">
        <v>364</v>
      </c>
      <c r="B137" s="408" t="s">
        <v>365</v>
      </c>
      <c r="C137" s="408" t="s">
        <v>366</v>
      </c>
      <c r="E137" s="557">
        <v>710551.13</v>
      </c>
      <c r="F137" s="557">
        <v>0</v>
      </c>
      <c r="G137" s="561"/>
    </row>
    <row r="138" spans="1:7" ht="15.75" x14ac:dyDescent="0.25">
      <c r="A138" s="408" t="s">
        <v>367</v>
      </c>
      <c r="B138" s="408" t="s">
        <v>368</v>
      </c>
      <c r="C138" s="408" t="s">
        <v>369</v>
      </c>
      <c r="E138" s="557">
        <v>0</v>
      </c>
      <c r="F138" s="557">
        <v>0</v>
      </c>
      <c r="G138" s="561"/>
    </row>
    <row r="139" spans="1:7" ht="15.75" x14ac:dyDescent="0.25">
      <c r="A139" s="408" t="s">
        <v>370</v>
      </c>
      <c r="B139" s="408" t="s">
        <v>368</v>
      </c>
      <c r="C139" s="408" t="s">
        <v>371</v>
      </c>
      <c r="E139" s="557">
        <v>0</v>
      </c>
      <c r="F139" s="557">
        <v>0</v>
      </c>
      <c r="G139" s="561"/>
    </row>
    <row r="140" spans="1:7" ht="15.75" x14ac:dyDescent="0.25">
      <c r="A140" s="408" t="s">
        <v>372</v>
      </c>
      <c r="B140" s="408" t="s">
        <v>368</v>
      </c>
      <c r="C140" s="408" t="s">
        <v>373</v>
      </c>
      <c r="E140" s="557">
        <v>0</v>
      </c>
      <c r="F140" s="557">
        <v>0</v>
      </c>
      <c r="G140" s="561"/>
    </row>
    <row r="141" spans="1:7" ht="15.75" x14ac:dyDescent="0.25">
      <c r="A141" s="408" t="s">
        <v>374</v>
      </c>
      <c r="B141" s="408" t="s">
        <v>368</v>
      </c>
      <c r="C141" s="408" t="s">
        <v>375</v>
      </c>
      <c r="E141" s="557">
        <v>0</v>
      </c>
      <c r="F141" s="557">
        <v>0</v>
      </c>
      <c r="G141" s="561"/>
    </row>
    <row r="142" spans="1:7" ht="15.75" x14ac:dyDescent="0.25">
      <c r="A142" s="408" t="s">
        <v>376</v>
      </c>
      <c r="B142" s="408" t="s">
        <v>377</v>
      </c>
      <c r="C142" s="408" t="s">
        <v>378</v>
      </c>
      <c r="E142" s="557">
        <v>0</v>
      </c>
      <c r="F142" s="557">
        <v>0</v>
      </c>
      <c r="G142" s="561"/>
    </row>
    <row r="143" spans="1:7" ht="15.75" x14ac:dyDescent="0.25">
      <c r="A143" s="408" t="s">
        <v>379</v>
      </c>
      <c r="B143" s="408" t="s">
        <v>377</v>
      </c>
      <c r="C143" s="408" t="s">
        <v>380</v>
      </c>
      <c r="E143" s="557">
        <v>0</v>
      </c>
      <c r="F143" s="557">
        <v>0</v>
      </c>
      <c r="G143" s="561"/>
    </row>
    <row r="144" spans="1:7" ht="15.75" x14ac:dyDescent="0.25">
      <c r="A144" s="408" t="s">
        <v>381</v>
      </c>
      <c r="B144" s="408" t="s">
        <v>382</v>
      </c>
      <c r="C144" s="408" t="s">
        <v>383</v>
      </c>
      <c r="E144" s="557">
        <v>0</v>
      </c>
      <c r="F144" s="557">
        <v>0</v>
      </c>
      <c r="G144" s="561"/>
    </row>
    <row r="145" spans="1:7" ht="15.75" x14ac:dyDescent="0.25">
      <c r="A145" s="408" t="s">
        <v>384</v>
      </c>
      <c r="B145" s="408" t="s">
        <v>382</v>
      </c>
      <c r="C145" s="408" t="s">
        <v>385</v>
      </c>
      <c r="E145" s="557">
        <v>671262.95</v>
      </c>
      <c r="F145" s="557">
        <v>0</v>
      </c>
      <c r="G145" s="561"/>
    </row>
    <row r="146" spans="1:7" ht="15.75" x14ac:dyDescent="0.25">
      <c r="A146" s="408" t="s">
        <v>386</v>
      </c>
      <c r="B146" s="408" t="s">
        <v>387</v>
      </c>
      <c r="C146" s="408" t="s">
        <v>388</v>
      </c>
      <c r="E146" s="557">
        <v>0</v>
      </c>
      <c r="F146" s="557">
        <v>0</v>
      </c>
      <c r="G146" s="561"/>
    </row>
    <row r="147" spans="1:7" ht="15.75" x14ac:dyDescent="0.25">
      <c r="A147" s="408" t="s">
        <v>389</v>
      </c>
      <c r="B147" s="408" t="s">
        <v>387</v>
      </c>
      <c r="C147" s="408" t="s">
        <v>390</v>
      </c>
      <c r="E147" s="557">
        <v>0</v>
      </c>
      <c r="F147" s="557">
        <v>0</v>
      </c>
      <c r="G147" s="561"/>
    </row>
    <row r="148" spans="1:7" ht="15.75" x14ac:dyDescent="0.25">
      <c r="A148" s="408" t="s">
        <v>391</v>
      </c>
      <c r="B148" s="408" t="s">
        <v>387</v>
      </c>
      <c r="C148" s="408" t="s">
        <v>392</v>
      </c>
      <c r="E148" s="557">
        <v>0</v>
      </c>
      <c r="F148" s="557">
        <v>0</v>
      </c>
      <c r="G148" s="561"/>
    </row>
    <row r="149" spans="1:7" ht="15.75" x14ac:dyDescent="0.25">
      <c r="A149" s="408" t="s">
        <v>393</v>
      </c>
      <c r="B149" s="408" t="s">
        <v>394</v>
      </c>
      <c r="C149" s="408" t="s">
        <v>395</v>
      </c>
      <c r="E149" s="557">
        <v>0</v>
      </c>
      <c r="F149" s="557">
        <v>0</v>
      </c>
      <c r="G149" s="561"/>
    </row>
    <row r="150" spans="1:7" ht="15.75" x14ac:dyDescent="0.25">
      <c r="A150" s="408" t="s">
        <v>396</v>
      </c>
      <c r="B150" s="408" t="s">
        <v>394</v>
      </c>
      <c r="C150" s="408" t="s">
        <v>397</v>
      </c>
      <c r="E150" s="557">
        <v>1064161.06</v>
      </c>
      <c r="F150" s="557">
        <v>0</v>
      </c>
      <c r="G150" s="561"/>
    </row>
    <row r="151" spans="1:7" ht="15.75" x14ac:dyDescent="0.25">
      <c r="A151" s="408" t="s">
        <v>398</v>
      </c>
      <c r="B151" s="408" t="s">
        <v>394</v>
      </c>
      <c r="C151" s="408" t="s">
        <v>399</v>
      </c>
      <c r="E151" s="557">
        <v>0</v>
      </c>
      <c r="F151" s="557">
        <v>0</v>
      </c>
      <c r="G151" s="561"/>
    </row>
    <row r="152" spans="1:7" ht="15.75" x14ac:dyDescent="0.25">
      <c r="A152" s="408" t="s">
        <v>400</v>
      </c>
      <c r="B152" s="408" t="s">
        <v>401</v>
      </c>
      <c r="C152" s="408" t="s">
        <v>402</v>
      </c>
      <c r="E152" s="557">
        <v>0</v>
      </c>
      <c r="F152" s="557">
        <v>0</v>
      </c>
      <c r="G152" s="561"/>
    </row>
    <row r="153" spans="1:7" ht="15.75" x14ac:dyDescent="0.25">
      <c r="A153" s="408" t="s">
        <v>403</v>
      </c>
      <c r="B153" s="408" t="s">
        <v>401</v>
      </c>
      <c r="C153" s="408" t="s">
        <v>319</v>
      </c>
      <c r="E153" s="557">
        <v>0</v>
      </c>
      <c r="F153" s="557">
        <v>0</v>
      </c>
      <c r="G153" s="561"/>
    </row>
    <row r="154" spans="1:7" ht="15.75" x14ac:dyDescent="0.25">
      <c r="A154" s="408" t="s">
        <v>404</v>
      </c>
      <c r="B154" s="408" t="s">
        <v>401</v>
      </c>
      <c r="C154" s="408" t="s">
        <v>405</v>
      </c>
      <c r="E154" s="557">
        <v>0</v>
      </c>
      <c r="F154" s="557">
        <v>0</v>
      </c>
      <c r="G154" s="561"/>
    </row>
    <row r="155" spans="1:7" ht="15.75" x14ac:dyDescent="0.25">
      <c r="A155" s="408" t="s">
        <v>406</v>
      </c>
      <c r="B155" s="408" t="s">
        <v>407</v>
      </c>
      <c r="C155" s="408" t="s">
        <v>408</v>
      </c>
      <c r="E155" s="557">
        <v>19817.919999999998</v>
      </c>
      <c r="F155" s="557">
        <v>0</v>
      </c>
      <c r="G155" s="561"/>
    </row>
    <row r="156" spans="1:7" ht="15.75" x14ac:dyDescent="0.25">
      <c r="A156" s="408" t="s">
        <v>409</v>
      </c>
      <c r="B156" s="408" t="s">
        <v>410</v>
      </c>
      <c r="C156" s="408" t="s">
        <v>411</v>
      </c>
      <c r="E156" s="557">
        <v>0</v>
      </c>
      <c r="F156" s="557">
        <v>0</v>
      </c>
      <c r="G156" s="561"/>
    </row>
    <row r="157" spans="1:7" ht="15.75" x14ac:dyDescent="0.25">
      <c r="A157" s="408" t="s">
        <v>412</v>
      </c>
      <c r="B157" s="408" t="s">
        <v>410</v>
      </c>
      <c r="C157" s="408" t="s">
        <v>413</v>
      </c>
      <c r="E157" s="557">
        <v>0</v>
      </c>
      <c r="F157" s="557">
        <v>0</v>
      </c>
      <c r="G157" s="561"/>
    </row>
    <row r="158" spans="1:7" ht="15.75" x14ac:dyDescent="0.25">
      <c r="A158" s="408" t="s">
        <v>414</v>
      </c>
      <c r="B158" s="408" t="s">
        <v>415</v>
      </c>
      <c r="C158" s="408" t="s">
        <v>416</v>
      </c>
      <c r="E158" s="557">
        <v>0</v>
      </c>
      <c r="F158" s="557">
        <v>0</v>
      </c>
      <c r="G158" s="561"/>
    </row>
    <row r="159" spans="1:7" ht="15.75" x14ac:dyDescent="0.25">
      <c r="A159" s="408" t="s">
        <v>417</v>
      </c>
      <c r="B159" s="408" t="s">
        <v>415</v>
      </c>
      <c r="C159" s="408" t="s">
        <v>418</v>
      </c>
      <c r="E159" s="557">
        <v>74228.81</v>
      </c>
      <c r="F159" s="557">
        <v>0</v>
      </c>
      <c r="G159" s="561"/>
    </row>
    <row r="160" spans="1:7" ht="15.75" x14ac:dyDescent="0.25">
      <c r="A160" s="408" t="s">
        <v>419</v>
      </c>
      <c r="B160" s="408" t="s">
        <v>420</v>
      </c>
      <c r="C160" s="408" t="s">
        <v>420</v>
      </c>
      <c r="E160" s="557">
        <v>1475032.01</v>
      </c>
      <c r="F160" s="557">
        <v>0</v>
      </c>
      <c r="G160" s="561"/>
    </row>
    <row r="161" spans="1:7" ht="15.75" x14ac:dyDescent="0.25">
      <c r="A161" s="408" t="s">
        <v>421</v>
      </c>
      <c r="B161" s="408" t="s">
        <v>422</v>
      </c>
      <c r="C161" s="408" t="s">
        <v>423</v>
      </c>
      <c r="E161" s="557">
        <v>0</v>
      </c>
      <c r="F161" s="557">
        <v>0</v>
      </c>
      <c r="G161" s="561"/>
    </row>
    <row r="162" spans="1:7" ht="15.75" x14ac:dyDescent="0.25">
      <c r="A162" s="408" t="s">
        <v>424</v>
      </c>
      <c r="B162" s="408" t="s">
        <v>422</v>
      </c>
      <c r="C162" s="408" t="s">
        <v>425</v>
      </c>
      <c r="E162" s="557">
        <v>0</v>
      </c>
      <c r="F162" s="557">
        <v>0</v>
      </c>
      <c r="G162" s="561"/>
    </row>
    <row r="163" spans="1:7" ht="15.75" x14ac:dyDescent="0.25">
      <c r="A163" s="408" t="s">
        <v>426</v>
      </c>
      <c r="B163" s="408" t="s">
        <v>427</v>
      </c>
      <c r="C163" s="408" t="s">
        <v>428</v>
      </c>
      <c r="E163" s="557">
        <v>0</v>
      </c>
      <c r="F163" s="557">
        <v>0</v>
      </c>
      <c r="G163" s="561"/>
    </row>
    <row r="164" spans="1:7" ht="15.75" x14ac:dyDescent="0.25">
      <c r="A164" s="408" t="s">
        <v>429</v>
      </c>
      <c r="B164" s="408" t="s">
        <v>427</v>
      </c>
      <c r="C164" s="408" t="s">
        <v>430</v>
      </c>
      <c r="E164" s="557">
        <v>7823.44</v>
      </c>
      <c r="F164" s="557">
        <v>0</v>
      </c>
      <c r="G164" s="561"/>
    </row>
    <row r="165" spans="1:7" ht="15.75" x14ac:dyDescent="0.25">
      <c r="A165" s="408" t="s">
        <v>431</v>
      </c>
      <c r="B165" s="408" t="s">
        <v>427</v>
      </c>
      <c r="C165" s="408" t="s">
        <v>432</v>
      </c>
      <c r="E165" s="557">
        <v>0</v>
      </c>
      <c r="F165" s="557">
        <v>0</v>
      </c>
      <c r="G165" s="561"/>
    </row>
    <row r="166" spans="1:7" ht="15.75" x14ac:dyDescent="0.25">
      <c r="A166" s="408" t="s">
        <v>433</v>
      </c>
      <c r="B166" s="408" t="s">
        <v>427</v>
      </c>
      <c r="C166" s="408" t="s">
        <v>434</v>
      </c>
      <c r="E166" s="557">
        <v>0</v>
      </c>
      <c r="F166" s="557">
        <v>0</v>
      </c>
      <c r="G166" s="561"/>
    </row>
    <row r="167" spans="1:7" ht="15.75" x14ac:dyDescent="0.25">
      <c r="A167" s="408" t="s">
        <v>435</v>
      </c>
      <c r="B167" s="408" t="s">
        <v>427</v>
      </c>
      <c r="C167" s="408" t="s">
        <v>436</v>
      </c>
      <c r="E167" s="557">
        <v>76952.78</v>
      </c>
      <c r="F167" s="557">
        <v>0</v>
      </c>
      <c r="G167" s="561"/>
    </row>
    <row r="168" spans="1:7" ht="15.75" x14ac:dyDescent="0.25">
      <c r="A168" s="408" t="s">
        <v>437</v>
      </c>
      <c r="B168" s="408" t="s">
        <v>438</v>
      </c>
      <c r="C168" s="408" t="s">
        <v>439</v>
      </c>
      <c r="E168" s="557">
        <v>0</v>
      </c>
      <c r="F168" s="557">
        <v>0</v>
      </c>
      <c r="G168" s="561"/>
    </row>
    <row r="169" spans="1:7" ht="15.75" x14ac:dyDescent="0.25">
      <c r="A169" s="408" t="s">
        <v>440</v>
      </c>
      <c r="B169" s="408" t="s">
        <v>438</v>
      </c>
      <c r="C169" s="408" t="s">
        <v>441</v>
      </c>
      <c r="E169" s="557">
        <v>0</v>
      </c>
      <c r="F169" s="557">
        <v>0</v>
      </c>
      <c r="G169" s="561"/>
    </row>
    <row r="170" spans="1:7" ht="15.75" x14ac:dyDescent="0.25">
      <c r="A170" s="408" t="s">
        <v>442</v>
      </c>
      <c r="B170" s="408" t="s">
        <v>438</v>
      </c>
      <c r="C170" s="408" t="s">
        <v>443</v>
      </c>
      <c r="E170" s="557">
        <v>46526.37</v>
      </c>
      <c r="F170" s="557">
        <v>0</v>
      </c>
      <c r="G170" s="561"/>
    </row>
    <row r="171" spans="1:7" ht="15.75" x14ac:dyDescent="0.25">
      <c r="A171" s="408" t="s">
        <v>444</v>
      </c>
      <c r="B171" s="408" t="s">
        <v>438</v>
      </c>
      <c r="C171" s="408" t="s">
        <v>445</v>
      </c>
      <c r="E171" s="557">
        <v>0</v>
      </c>
      <c r="F171" s="557">
        <v>0</v>
      </c>
      <c r="G171" s="561"/>
    </row>
    <row r="172" spans="1:7" ht="15.75" x14ac:dyDescent="0.25">
      <c r="A172" s="408" t="s">
        <v>446</v>
      </c>
      <c r="B172" s="408" t="s">
        <v>438</v>
      </c>
      <c r="C172" s="408" t="s">
        <v>447</v>
      </c>
      <c r="E172" s="557">
        <v>0</v>
      </c>
      <c r="F172" s="557">
        <v>0</v>
      </c>
      <c r="G172" s="561"/>
    </row>
    <row r="173" spans="1:7" ht="15.75" x14ac:dyDescent="0.25">
      <c r="A173" s="408" t="s">
        <v>448</v>
      </c>
      <c r="B173" s="408" t="s">
        <v>438</v>
      </c>
      <c r="C173" s="408" t="s">
        <v>449</v>
      </c>
      <c r="E173" s="557">
        <v>0</v>
      </c>
      <c r="F173" s="557">
        <v>0</v>
      </c>
      <c r="G173" s="561"/>
    </row>
    <row r="174" spans="1:7" ht="15.75" x14ac:dyDescent="0.25">
      <c r="A174" s="408" t="s">
        <v>450</v>
      </c>
      <c r="B174" s="408" t="s">
        <v>438</v>
      </c>
      <c r="C174" s="408" t="s">
        <v>451</v>
      </c>
      <c r="E174" s="557">
        <v>0</v>
      </c>
      <c r="F174" s="557">
        <v>0</v>
      </c>
      <c r="G174" s="561"/>
    </row>
    <row r="175" spans="1:7" ht="15.75" x14ac:dyDescent="0.25">
      <c r="A175" s="408" t="s">
        <v>452</v>
      </c>
      <c r="B175" s="408" t="s">
        <v>438</v>
      </c>
      <c r="C175" s="408" t="s">
        <v>453</v>
      </c>
      <c r="E175" s="557">
        <v>0</v>
      </c>
      <c r="F175" s="557">
        <v>0</v>
      </c>
      <c r="G175" s="561"/>
    </row>
    <row r="176" spans="1:7" ht="15.75" x14ac:dyDescent="0.25">
      <c r="A176" s="408" t="s">
        <v>454</v>
      </c>
      <c r="B176" s="408" t="s">
        <v>438</v>
      </c>
      <c r="C176" s="408" t="s">
        <v>455</v>
      </c>
      <c r="E176" s="557">
        <v>0</v>
      </c>
      <c r="F176" s="557">
        <v>0</v>
      </c>
      <c r="G176" s="561"/>
    </row>
    <row r="177" spans="1:7" ht="15.75" x14ac:dyDescent="0.25">
      <c r="A177" s="408" t="s">
        <v>456</v>
      </c>
      <c r="B177" s="408" t="s">
        <v>438</v>
      </c>
      <c r="C177" s="408" t="s">
        <v>457</v>
      </c>
      <c r="E177" s="557">
        <v>0</v>
      </c>
      <c r="F177" s="557">
        <v>0</v>
      </c>
      <c r="G177" s="561"/>
    </row>
    <row r="178" spans="1:7" ht="15.75" x14ac:dyDescent="0.25">
      <c r="A178" s="408" t="s">
        <v>458</v>
      </c>
      <c r="B178" s="408" t="s">
        <v>438</v>
      </c>
      <c r="C178" s="408" t="s">
        <v>459</v>
      </c>
      <c r="E178" s="557">
        <v>0</v>
      </c>
      <c r="F178" s="557">
        <v>0</v>
      </c>
      <c r="G178" s="561"/>
    </row>
    <row r="179" spans="1:7" ht="15.75" x14ac:dyDescent="0.25">
      <c r="A179" s="408" t="s">
        <v>460</v>
      </c>
      <c r="B179" s="408" t="s">
        <v>438</v>
      </c>
      <c r="C179" s="408" t="s">
        <v>461</v>
      </c>
      <c r="E179" s="557">
        <v>0</v>
      </c>
      <c r="F179" s="557">
        <v>0</v>
      </c>
      <c r="G179" s="561"/>
    </row>
    <row r="180" spans="1:7" ht="15.75" x14ac:dyDescent="0.25">
      <c r="A180" s="408" t="s">
        <v>462</v>
      </c>
      <c r="B180" s="408" t="s">
        <v>463</v>
      </c>
      <c r="C180" s="408" t="s">
        <v>464</v>
      </c>
      <c r="E180" s="557">
        <v>0</v>
      </c>
      <c r="F180" s="557">
        <v>0</v>
      </c>
      <c r="G180" s="561"/>
    </row>
    <row r="181" spans="1:7" ht="15.75" x14ac:dyDescent="0.25">
      <c r="A181" s="408" t="s">
        <v>465</v>
      </c>
      <c r="B181" s="408" t="s">
        <v>463</v>
      </c>
      <c r="C181" s="408" t="s">
        <v>466</v>
      </c>
      <c r="E181" s="557">
        <v>0</v>
      </c>
      <c r="F181" s="557">
        <v>0</v>
      </c>
      <c r="G181" s="561"/>
    </row>
    <row r="182" spans="1:7" ht="15.75" x14ac:dyDescent="0.25">
      <c r="A182" s="408" t="s">
        <v>467</v>
      </c>
      <c r="B182" s="408" t="s">
        <v>463</v>
      </c>
      <c r="C182" s="408" t="s">
        <v>468</v>
      </c>
      <c r="E182" s="557">
        <v>0</v>
      </c>
      <c r="F182" s="557">
        <v>0</v>
      </c>
      <c r="G182" s="561"/>
    </row>
    <row r="183" spans="1:7" ht="15.75" x14ac:dyDescent="0.25">
      <c r="A183" s="408" t="s">
        <v>469</v>
      </c>
      <c r="B183" s="408" t="s">
        <v>463</v>
      </c>
      <c r="C183" s="408" t="s">
        <v>470</v>
      </c>
      <c r="E183" s="557">
        <v>0</v>
      </c>
      <c r="F183" s="557">
        <v>0</v>
      </c>
      <c r="G183" s="5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Instruction</vt:lpstr>
      <vt:lpstr>Cover</vt:lpstr>
      <vt:lpstr>BOE Resolution</vt:lpstr>
      <vt:lpstr>Calculation Worksheet</vt:lpstr>
      <vt:lpstr>CDE Mill Levy Certify Form</vt:lpstr>
      <vt:lpstr>Data FY24-25 Final</vt:lpstr>
      <vt:lpstr>Data Aug 2025 AV</vt:lpstr>
      <vt:lpstr>Hold Harmless</vt:lpstr>
      <vt:lpstr>'Data FY24-25 Final'!_FilterDatabase</vt:lpstr>
      <vt:lpstr>'BOE Resolution'!Print_Area</vt:lpstr>
      <vt:lpstr>'Calculation Worksheet'!Print_Area</vt:lpstr>
      <vt:lpstr>'CDE Mill Levy Certify Form'!Print_Area</vt:lpstr>
      <vt:lpstr>Cover!Print_Area</vt:lpstr>
      <vt:lpstr>'Calculation Worksheet'!Print_Area_MI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Office</dc:creator>
  <cp:lastModifiedBy>Tyree, Tabitha</cp:lastModifiedBy>
  <cp:lastPrinted>2025-11-03T22:20:02Z</cp:lastPrinted>
  <dcterms:created xsi:type="dcterms:W3CDTF">2004-11-29T15:58:53Z</dcterms:created>
  <dcterms:modified xsi:type="dcterms:W3CDTF">2025-12-12T19:11:51Z</dcterms:modified>
</cp:coreProperties>
</file>