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pgazzerro\Downloads\"/>
    </mc:Choice>
  </mc:AlternateContent>
  <bookViews>
    <workbookView xWindow="0" yWindow="0" windowWidth="19200" windowHeight="6030" tabRatio="1000"/>
  </bookViews>
  <sheets>
    <sheet name="Progress Planning Tool" sheetId="21" r:id="rId1"/>
    <sheet name="Progress Ranges" sheetId="44" r:id="rId2"/>
    <sheet name="Data validation" sheetId="37" state="hidden" r:id="rId3"/>
    <sheet name="tabs lookup" sheetId="56" state="hidden" r:id="rId4"/>
    <sheet name="2021_K" sheetId="50" state="hidden" r:id="rId5"/>
    <sheet name="2021_1" sheetId="51" state="hidden" r:id="rId6"/>
    <sheet name="2021_2" sheetId="59" state="hidden" r:id="rId7"/>
    <sheet name="2021_3" sheetId="60" state="hidden" r:id="rId8"/>
    <sheet name="2021_4" sheetId="61" state="hidden" r:id="rId9"/>
    <sheet name="2021_5" sheetId="62" state="hidden" r:id="rId10"/>
    <sheet name="2021_K1" sheetId="47" state="hidden" r:id="rId11"/>
    <sheet name="2021_K2" sheetId="48" state="hidden" r:id="rId12"/>
    <sheet name="2021_K3" sheetId="49" state="hidden" r:id="rId13"/>
    <sheet name="2021_13" sheetId="46" state="hidden" r:id="rId14"/>
    <sheet name="2122_K" sheetId="33" state="hidden" r:id="rId15"/>
    <sheet name="2122_1" sheetId="34" state="hidden" r:id="rId16"/>
    <sheet name="2122_2" sheetId="35" state="hidden" r:id="rId17"/>
    <sheet name="2122_3" sheetId="36" state="hidden" r:id="rId18"/>
    <sheet name="2122_4" sheetId="42" state="hidden" r:id="rId19"/>
    <sheet name="2122_5" sheetId="43" state="hidden" r:id="rId20"/>
    <sheet name="2122_K1" sheetId="39" state="hidden" r:id="rId21"/>
    <sheet name="2122_K2" sheetId="38" state="hidden" r:id="rId22"/>
    <sheet name="2122_K3" sheetId="22" state="hidden" r:id="rId23"/>
    <sheet name="2122_13" sheetId="40" state="hidden" r:id="rId24"/>
  </sheets>
  <definedNames>
    <definedName name="BOY_1" localSheetId="1">'Progress Ranges'!$E$18</definedName>
    <definedName name="BOY_1">'Progress Planning Tool'!$D$22</definedName>
    <definedName name="BOY_2" localSheetId="1">'Progress Ranges'!$E$19</definedName>
    <definedName name="BOY_2">'Progress Planning Tool'!$D$23</definedName>
    <definedName name="BOY_3" localSheetId="1">'Progress Ranges'!$E$20</definedName>
    <definedName name="BOY_3">'Progress Planning Tool'!$D$24</definedName>
    <definedName name="BOY_4" localSheetId="1">'Progress Ranges'!$E$21</definedName>
    <definedName name="BOY_4">'Progress Planning Tool'!$D$25</definedName>
    <definedName name="BOY_5" localSheetId="1">'Progress Ranges'!$E$22</definedName>
    <definedName name="BOY_5">'Progress Planning Tool'!$D$26</definedName>
    <definedName name="BOY_6" localSheetId="6">'Progress Planning Tool'!#REF!</definedName>
    <definedName name="BOY_6" localSheetId="7">'Progress Planning Tool'!#REF!</definedName>
    <definedName name="BOY_6" localSheetId="8">'Progress Planning Tool'!#REF!</definedName>
    <definedName name="BOY_6" localSheetId="9">'Progress Planning Tool'!#REF!</definedName>
    <definedName name="BOY_6" localSheetId="1">'Progress Ranges'!#REF!</definedName>
    <definedName name="BOY_6">'Progress Planning Tool'!#REF!</definedName>
    <definedName name="BOY_agg" localSheetId="1">'Progress Ranges'!$E$16</definedName>
    <definedName name="BOY_agg">'Progress Planning Tool'!$D$17</definedName>
    <definedName name="BOY_K" localSheetId="1">'Progress Ranges'!$E$17</definedName>
    <definedName name="BOY_K">'Progress Planning Tool'!$D$21</definedName>
    <definedName name="EOY_1" localSheetId="1">'Progress Ranges'!$J$18</definedName>
    <definedName name="EOY_1">'Progress Planning Tool'!$E$22</definedName>
    <definedName name="EOY_2" localSheetId="1">'Progress Ranges'!$J$19</definedName>
    <definedName name="EOY_2">'Progress Planning Tool'!$E$23</definedName>
    <definedName name="EOY_3" localSheetId="1">'Progress Ranges'!$J$20</definedName>
    <definedName name="EOY_3">'Progress Planning Tool'!$E$24</definedName>
    <definedName name="EOY_4" localSheetId="1">'Progress Ranges'!$J$21</definedName>
    <definedName name="EOY_4">'Progress Planning Tool'!$E$25</definedName>
    <definedName name="EOY_5" localSheetId="1">'Progress Ranges'!$J$22</definedName>
    <definedName name="EOY_5">'Progress Planning Tool'!$E$26</definedName>
    <definedName name="EOY_6" localSheetId="6">'Progress Planning Tool'!#REF!</definedName>
    <definedName name="EOY_6" localSheetId="7">'Progress Planning Tool'!#REF!</definedName>
    <definedName name="EOY_6" localSheetId="8">'Progress Planning Tool'!#REF!</definedName>
    <definedName name="EOY_6" localSheetId="9">'Progress Planning Tool'!#REF!</definedName>
    <definedName name="EOY_6" localSheetId="1">'Progress Ranges'!#REF!</definedName>
    <definedName name="EOY_6">'Progress Planning Tool'!#REF!</definedName>
    <definedName name="EOY_agg" localSheetId="1">'Progress Ranges'!$J$16</definedName>
    <definedName name="EOY_agg">'Progress Planning Tool'!$E$17</definedName>
    <definedName name="EOY_K" localSheetId="1">'Progress Ranges'!$J$17</definedName>
    <definedName name="EOY_K">'Progress Planning Tool'!$E$21</definedName>
    <definedName name="goal_1" localSheetId="1">'Progress Ranges'!#REF!</definedName>
    <definedName name="goal_1">'Progress Planning Tool'!$D$38</definedName>
    <definedName name="goal_2" localSheetId="1">'Progress Ranges'!#REF!</definedName>
    <definedName name="goal_2">'Progress Planning Tool'!$D$39</definedName>
    <definedName name="goal_3" localSheetId="1">'Progress Ranges'!#REF!</definedName>
    <definedName name="goal_3">'Progress Planning Tool'!$D$40</definedName>
    <definedName name="goal_4" localSheetId="1">'Progress Ranges'!#REF!</definedName>
    <definedName name="goal_4">'Progress Planning Tool'!$D$41</definedName>
    <definedName name="goal_5" localSheetId="1">'Progress Ranges'!#REF!</definedName>
    <definedName name="goal_5">'Progress Planning Tool'!$D$42</definedName>
    <definedName name="goal_6" localSheetId="6">'Progress Planning Tool'!#REF!</definedName>
    <definedName name="goal_6" localSheetId="7">'Progress Planning Tool'!#REF!</definedName>
    <definedName name="goal_6" localSheetId="8">'Progress Planning Tool'!#REF!</definedName>
    <definedName name="goal_6" localSheetId="9">'Progress Planning Tool'!#REF!</definedName>
    <definedName name="goal_6" localSheetId="1">'Progress Ranges'!#REF!</definedName>
    <definedName name="goal_6">'Progress Planning Tool'!#REF!</definedName>
    <definedName name="goal_agg" localSheetId="1">'Progress Ranges'!#REF!</definedName>
    <definedName name="goal_agg">'Progress Planning Tool'!$D$33</definedName>
    <definedName name="goal_BOY_1" localSheetId="1">'Progress Ranges'!#REF!</definedName>
    <definedName name="goal_BOY_1">'Progress Planning Tool'!$E$38</definedName>
    <definedName name="goal_BOY_2" localSheetId="1">'Progress Ranges'!#REF!</definedName>
    <definedName name="goal_BOY_2">'Progress Planning Tool'!$E$39</definedName>
    <definedName name="goal_BOY_3" localSheetId="1">'Progress Ranges'!#REF!</definedName>
    <definedName name="goal_BOY_3">'Progress Planning Tool'!$E$40</definedName>
    <definedName name="goal_BOY_4" localSheetId="1">'Progress Ranges'!#REF!</definedName>
    <definedName name="goal_BOY_4">'Progress Planning Tool'!$E$41</definedName>
    <definedName name="goal_BOY_5" localSheetId="1">'Progress Ranges'!#REF!</definedName>
    <definedName name="goal_BOY_5">'Progress Planning Tool'!$E$42</definedName>
    <definedName name="goal_BOY_6" localSheetId="6">'Progress Planning Tool'!#REF!</definedName>
    <definedName name="goal_BOY_6" localSheetId="7">'Progress Planning Tool'!#REF!</definedName>
    <definedName name="goal_BOY_6" localSheetId="8">'Progress Planning Tool'!#REF!</definedName>
    <definedName name="goal_BOY_6" localSheetId="9">'Progress Planning Tool'!#REF!</definedName>
    <definedName name="goal_BOY_6" localSheetId="1">'Progress Ranges'!#REF!</definedName>
    <definedName name="goal_BOY_6">'Progress Planning Tool'!#REF!</definedName>
    <definedName name="goal_BOY_agg" localSheetId="1">'Progress Ranges'!#REF!</definedName>
    <definedName name="goal_BOY_agg">'Progress Planning Tool'!$E$33</definedName>
    <definedName name="goal_BOY_K" localSheetId="1">'Progress Ranges'!#REF!</definedName>
    <definedName name="goal_BOY_K">'Progress Planning Tool'!$E$37</definedName>
    <definedName name="goal_K" localSheetId="1">'Progress Ranges'!#REF!</definedName>
    <definedName name="goal_K">'Progress Planning Tool'!$D$37</definedName>
    <definedName name="_xlnm.Print_Area" localSheetId="0">'Progress Planning Tool'!$B$1:$H$45</definedName>
    <definedName name="_xlnm.Print_Area" localSheetId="1">'Progress Ranges'!$B$1:$N$36</definedName>
    <definedName name="ranges_tab">VLOOKUP(CONCATENATE('Progress Ranges'!$G$12,'Progress Ranges'!$D$12),'tabs lookup'!$A$1:$B$20,2,FALSE)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35" l="1"/>
  <c r="G23" i="35"/>
  <c r="F23" i="35"/>
  <c r="E23" i="35"/>
  <c r="D23" i="35"/>
  <c r="C23" i="35"/>
  <c r="H23" i="36"/>
  <c r="G23" i="36"/>
  <c r="F23" i="36"/>
  <c r="E23" i="36"/>
  <c r="D23" i="36"/>
  <c r="C23" i="36"/>
  <c r="B18" i="62" l="1"/>
  <c r="C18" i="62" s="1"/>
  <c r="B25" i="62" s="1"/>
  <c r="B17" i="62"/>
  <c r="C17" i="62" s="1"/>
  <c r="B16" i="62"/>
  <c r="C16" i="62" s="1"/>
  <c r="B21" i="62" s="1"/>
  <c r="B17" i="61"/>
  <c r="C17" i="61" s="1"/>
  <c r="B24" i="61" s="1"/>
  <c r="B16" i="61"/>
  <c r="C16" i="61" s="1"/>
  <c r="B15" i="61"/>
  <c r="C15" i="61" s="1"/>
  <c r="B20" i="61" s="1"/>
  <c r="B20" i="60"/>
  <c r="C20" i="60" s="1"/>
  <c r="B27" i="60" s="1"/>
  <c r="B19" i="60"/>
  <c r="C19" i="60" s="1"/>
  <c r="B18" i="60"/>
  <c r="C18" i="60" s="1"/>
  <c r="B23" i="60" s="1"/>
  <c r="B20" i="59"/>
  <c r="C20" i="59" s="1"/>
  <c r="B27" i="59" s="1"/>
  <c r="B19" i="59"/>
  <c r="C19" i="59" s="1"/>
  <c r="B18" i="59"/>
  <c r="C18" i="59" s="1"/>
  <c r="B23" i="59" s="1"/>
  <c r="F28" i="60" l="1"/>
  <c r="D27" i="60"/>
  <c r="C27" i="60"/>
  <c r="C28" i="60"/>
  <c r="G27" i="60"/>
  <c r="F27" i="60"/>
  <c r="E28" i="60"/>
  <c r="H28" i="60"/>
  <c r="G28" i="60"/>
  <c r="D28" i="60"/>
  <c r="H27" i="60"/>
  <c r="E27" i="60"/>
  <c r="G28" i="59"/>
  <c r="E27" i="59"/>
  <c r="E28" i="59"/>
  <c r="D28" i="59"/>
  <c r="H28" i="59"/>
  <c r="F28" i="59"/>
  <c r="D27" i="59"/>
  <c r="C27" i="59"/>
  <c r="C28" i="59"/>
  <c r="H27" i="59"/>
  <c r="G27" i="59"/>
  <c r="F27" i="59"/>
  <c r="G23" i="59"/>
  <c r="F23" i="59"/>
  <c r="E23" i="59"/>
  <c r="D23" i="59"/>
  <c r="H23" i="59"/>
  <c r="C23" i="59"/>
  <c r="H23" i="60"/>
  <c r="G23" i="60"/>
  <c r="E23" i="60"/>
  <c r="D23" i="60"/>
  <c r="F23" i="60"/>
  <c r="C23" i="60"/>
  <c r="F20" i="61"/>
  <c r="E20" i="61"/>
  <c r="D20" i="61"/>
  <c r="G20" i="61"/>
  <c r="D21" i="62"/>
  <c r="F21" i="62"/>
  <c r="E21" i="62"/>
  <c r="G21" i="62"/>
  <c r="F26" i="62"/>
  <c r="H25" i="62"/>
  <c r="D25" i="62"/>
  <c r="H26" i="62"/>
  <c r="D26" i="62"/>
  <c r="F25" i="62"/>
  <c r="C27" i="62" s="1"/>
  <c r="G26" i="62"/>
  <c r="C26" i="62"/>
  <c r="E25" i="62"/>
  <c r="E26" i="62"/>
  <c r="G25" i="62"/>
  <c r="C25" i="62"/>
  <c r="H21" i="62"/>
  <c r="C21" i="62"/>
  <c r="F25" i="61"/>
  <c r="H24" i="61"/>
  <c r="D24" i="61"/>
  <c r="H25" i="61"/>
  <c r="F24" i="61"/>
  <c r="E25" i="61"/>
  <c r="G24" i="61"/>
  <c r="C24" i="61"/>
  <c r="D25" i="61"/>
  <c r="G25" i="61"/>
  <c r="C25" i="61"/>
  <c r="E24" i="61"/>
  <c r="H20" i="61"/>
  <c r="C20" i="61"/>
  <c r="B21" i="61" s="1"/>
  <c r="F25" i="21" s="1"/>
  <c r="B30" i="60"/>
  <c r="C29" i="59"/>
  <c r="B27" i="61" l="1"/>
  <c r="C26" i="61"/>
  <c r="B26" i="61"/>
  <c r="C27" i="61"/>
  <c r="B28" i="62"/>
  <c r="B27" i="62"/>
  <c r="D27" i="62" s="1"/>
  <c r="C28" i="62"/>
  <c r="B22" i="62"/>
  <c r="F26" i="21" s="1"/>
  <c r="C29" i="60"/>
  <c r="B29" i="60"/>
  <c r="C30" i="60"/>
  <c r="D30" i="60" s="1"/>
  <c r="B24" i="60"/>
  <c r="F24" i="21" s="1"/>
  <c r="B24" i="59"/>
  <c r="F23" i="21" s="1"/>
  <c r="C30" i="59"/>
  <c r="B29" i="59"/>
  <c r="D29" i="59" s="1"/>
  <c r="B30" i="59"/>
  <c r="D27" i="61" l="1"/>
  <c r="D26" i="61"/>
  <c r="D28" i="62"/>
  <c r="D29" i="60"/>
  <c r="D30" i="59"/>
  <c r="B19" i="46"/>
  <c r="C19" i="46" s="1"/>
  <c r="B26" i="46" s="1"/>
  <c r="B15" i="50"/>
  <c r="C15" i="50" s="1"/>
  <c r="B20" i="50" s="1"/>
  <c r="D20" i="50" l="1"/>
  <c r="G20" i="50"/>
  <c r="F20" i="50"/>
  <c r="E20" i="50"/>
  <c r="H20" i="50"/>
  <c r="C20" i="50"/>
  <c r="B16" i="51"/>
  <c r="B17" i="51"/>
  <c r="C17" i="51" s="1"/>
  <c r="B18" i="51"/>
  <c r="B16" i="50"/>
  <c r="C16" i="50" s="1"/>
  <c r="B17" i="50"/>
  <c r="C17" i="50" s="1"/>
  <c r="B24" i="50" s="1"/>
  <c r="B17" i="49"/>
  <c r="C17" i="49" s="1"/>
  <c r="B22" i="49" s="1"/>
  <c r="B18" i="49"/>
  <c r="C18" i="49" s="1"/>
  <c r="B19" i="49"/>
  <c r="C19" i="49" s="1"/>
  <c r="B26" i="49" s="1"/>
  <c r="B17" i="48"/>
  <c r="C17" i="48" s="1"/>
  <c r="B22" i="48" s="1"/>
  <c r="B18" i="48"/>
  <c r="C18" i="48" s="1"/>
  <c r="B19" i="48"/>
  <c r="C19" i="48" s="1"/>
  <c r="B26" i="48" s="1"/>
  <c r="B17" i="47"/>
  <c r="B18" i="47"/>
  <c r="C18" i="47" s="1"/>
  <c r="B19" i="47"/>
  <c r="B17" i="46"/>
  <c r="C17" i="46" s="1"/>
  <c r="B22" i="46" s="1"/>
  <c r="B18" i="46"/>
  <c r="C18" i="46" s="1"/>
  <c r="I17" i="44"/>
  <c r="E21" i="44"/>
  <c r="H19" i="44"/>
  <c r="D19" i="44"/>
  <c r="C23" i="44"/>
  <c r="G26" i="44"/>
  <c r="K26" i="44"/>
  <c r="M20" i="44"/>
  <c r="I20" i="44"/>
  <c r="G25" i="44"/>
  <c r="L22" i="44"/>
  <c r="M19" i="44"/>
  <c r="C19" i="44"/>
  <c r="L19" i="44"/>
  <c r="G20" i="44"/>
  <c r="F26" i="44"/>
  <c r="M26" i="44"/>
  <c r="H22" i="44"/>
  <c r="M18" i="44"/>
  <c r="H26" i="44"/>
  <c r="D17" i="44"/>
  <c r="L21" i="44"/>
  <c r="D20" i="44"/>
  <c r="C21" i="44"/>
  <c r="I23" i="44"/>
  <c r="F16" i="44"/>
  <c r="J20" i="44"/>
  <c r="L17" i="44"/>
  <c r="L25" i="44"/>
  <c r="D22" i="44"/>
  <c r="I19" i="44"/>
  <c r="C25" i="44"/>
  <c r="G16" i="44"/>
  <c r="L16" i="44"/>
  <c r="E23" i="44"/>
  <c r="J25" i="44"/>
  <c r="C22" i="44"/>
  <c r="E22" i="44"/>
  <c r="H25" i="44"/>
  <c r="E20" i="44"/>
  <c r="C24" i="44"/>
  <c r="K16" i="44"/>
  <c r="L26" i="44"/>
  <c r="L18" i="44"/>
  <c r="F21" i="44"/>
  <c r="L23" i="44"/>
  <c r="D24" i="44"/>
  <c r="D21" i="44"/>
  <c r="F24" i="44"/>
  <c r="G24" i="44"/>
  <c r="J17" i="44"/>
  <c r="J18" i="44"/>
  <c r="I21" i="44"/>
  <c r="G19" i="44"/>
  <c r="E24" i="44"/>
  <c r="I18" i="44"/>
  <c r="F18" i="44"/>
  <c r="I16" i="44"/>
  <c r="L20" i="44"/>
  <c r="E26" i="44"/>
  <c r="H16" i="44"/>
  <c r="J21" i="44"/>
  <c r="F23" i="44"/>
  <c r="H21" i="44"/>
  <c r="K20" i="44"/>
  <c r="M22" i="44"/>
  <c r="I22" i="44"/>
  <c r="C17" i="44"/>
  <c r="G18" i="44"/>
  <c r="J24" i="44"/>
  <c r="I25" i="44"/>
  <c r="L24" i="44"/>
  <c r="K19" i="44"/>
  <c r="F19" i="44"/>
  <c r="G21" i="44"/>
  <c r="G22" i="44"/>
  <c r="J23" i="44"/>
  <c r="E19" i="44"/>
  <c r="D16" i="44"/>
  <c r="D23" i="44"/>
  <c r="H20" i="44"/>
  <c r="H18" i="44"/>
  <c r="C16" i="44"/>
  <c r="J19" i="44"/>
  <c r="D26" i="44"/>
  <c r="D18" i="44"/>
  <c r="H24" i="44"/>
  <c r="D25" i="44"/>
  <c r="C26" i="44"/>
  <c r="F22" i="44"/>
  <c r="I26" i="44"/>
  <c r="K17" i="44"/>
  <c r="E25" i="44"/>
  <c r="K18" i="44"/>
  <c r="J16" i="44"/>
  <c r="M21" i="44"/>
  <c r="K24" i="44"/>
  <c r="E17" i="44"/>
  <c r="M23" i="44"/>
  <c r="M16" i="44"/>
  <c r="C20" i="44"/>
  <c r="K21" i="44"/>
  <c r="K25" i="44"/>
  <c r="G17" i="44"/>
  <c r="I24" i="44"/>
  <c r="G23" i="44"/>
  <c r="H23" i="44"/>
  <c r="M17" i="44"/>
  <c r="K23" i="44"/>
  <c r="H17" i="44"/>
  <c r="E16" i="44"/>
  <c r="F25" i="44"/>
  <c r="F17" i="44"/>
  <c r="C18" i="44"/>
  <c r="J26" i="44"/>
  <c r="J22" i="44"/>
  <c r="M24" i="44"/>
  <c r="E18" i="44"/>
  <c r="M25" i="44"/>
  <c r="K22" i="44"/>
  <c r="F20" i="44"/>
  <c r="H27" i="48" l="1"/>
  <c r="F26" i="48"/>
  <c r="G27" i="48"/>
  <c r="E26" i="48"/>
  <c r="F27" i="48"/>
  <c r="D26" i="48"/>
  <c r="H26" i="48"/>
  <c r="G26" i="48"/>
  <c r="E27" i="48"/>
  <c r="C26" i="48"/>
  <c r="D27" i="48"/>
  <c r="C27" i="48"/>
  <c r="D27" i="49"/>
  <c r="C27" i="49"/>
  <c r="H26" i="49"/>
  <c r="E26" i="49"/>
  <c r="C26" i="49"/>
  <c r="G26" i="49"/>
  <c r="H27" i="49"/>
  <c r="F26" i="49"/>
  <c r="G27" i="49"/>
  <c r="D26" i="49"/>
  <c r="F27" i="49"/>
  <c r="E27" i="49"/>
  <c r="D22" i="48"/>
  <c r="H22" i="48"/>
  <c r="E22" i="48"/>
  <c r="C22" i="48"/>
  <c r="G22" i="48"/>
  <c r="F22" i="48"/>
  <c r="E22" i="49"/>
  <c r="H22" i="49"/>
  <c r="F22" i="49"/>
  <c r="G22" i="49"/>
  <c r="D22" i="49"/>
  <c r="C22" i="49"/>
  <c r="C16" i="51"/>
  <c r="B21" i="51" s="1"/>
  <c r="C21" i="51" s="1"/>
  <c r="D22" i="46"/>
  <c r="G22" i="46"/>
  <c r="F22" i="46"/>
  <c r="E22" i="46"/>
  <c r="C19" i="47"/>
  <c r="B26" i="47" s="1"/>
  <c r="C17" i="47"/>
  <c r="B22" i="47" s="1"/>
  <c r="C18" i="51"/>
  <c r="B25" i="51" s="1"/>
  <c r="F26" i="51" s="1"/>
  <c r="F25" i="50"/>
  <c r="G25" i="50"/>
  <c r="F24" i="50"/>
  <c r="B26" i="50" s="1"/>
  <c r="E25" i="50"/>
  <c r="H25" i="50"/>
  <c r="E24" i="50"/>
  <c r="D25" i="50"/>
  <c r="H24" i="50"/>
  <c r="D24" i="50"/>
  <c r="C25" i="50"/>
  <c r="G24" i="50"/>
  <c r="C24" i="50"/>
  <c r="F26" i="46"/>
  <c r="E27" i="46"/>
  <c r="D27" i="46"/>
  <c r="C26" i="46"/>
  <c r="H27" i="46"/>
  <c r="C22" i="46"/>
  <c r="D26" i="46"/>
  <c r="H26" i="46"/>
  <c r="F27" i="46"/>
  <c r="E26" i="46"/>
  <c r="C27" i="46"/>
  <c r="G27" i="46"/>
  <c r="G26" i="46"/>
  <c r="H22" i="46"/>
  <c r="D27" i="47" l="1"/>
  <c r="C27" i="47"/>
  <c r="H26" i="47"/>
  <c r="D26" i="47"/>
  <c r="C26" i="47"/>
  <c r="G26" i="47"/>
  <c r="H27" i="47"/>
  <c r="F26" i="47"/>
  <c r="G27" i="47"/>
  <c r="E26" i="47"/>
  <c r="F27" i="47"/>
  <c r="C29" i="47" s="1"/>
  <c r="E27" i="47"/>
  <c r="F22" i="47"/>
  <c r="H22" i="47"/>
  <c r="E22" i="47"/>
  <c r="D22" i="47"/>
  <c r="G22" i="47"/>
  <c r="C22" i="47"/>
  <c r="B28" i="47"/>
  <c r="C28" i="47"/>
  <c r="C25" i="51"/>
  <c r="H26" i="51"/>
  <c r="G25" i="51"/>
  <c r="C27" i="51" s="1"/>
  <c r="D26" i="51"/>
  <c r="F25" i="51"/>
  <c r="G21" i="51"/>
  <c r="F21" i="51"/>
  <c r="D21" i="51"/>
  <c r="E21" i="51"/>
  <c r="H21" i="51"/>
  <c r="G26" i="51"/>
  <c r="H25" i="51"/>
  <c r="C26" i="51"/>
  <c r="D25" i="51"/>
  <c r="E26" i="51"/>
  <c r="B28" i="51" s="1"/>
  <c r="E25" i="51"/>
  <c r="C28" i="51"/>
  <c r="B21" i="50"/>
  <c r="F21" i="21" s="1"/>
  <c r="B27" i="51"/>
  <c r="C26" i="50"/>
  <c r="D26" i="50" s="1"/>
  <c r="B27" i="50"/>
  <c r="B29" i="48"/>
  <c r="C29" i="46"/>
  <c r="C29" i="49"/>
  <c r="C27" i="50"/>
  <c r="C28" i="49"/>
  <c r="B28" i="48"/>
  <c r="B28" i="46"/>
  <c r="B29" i="46"/>
  <c r="C29" i="48"/>
  <c r="B29" i="49"/>
  <c r="C28" i="46"/>
  <c r="C28" i="48"/>
  <c r="B29" i="47"/>
  <c r="B28" i="49"/>
  <c r="B23" i="46"/>
  <c r="B23" i="49"/>
  <c r="B23" i="48"/>
  <c r="B22" i="51" l="1"/>
  <c r="F22" i="21" s="1"/>
  <c r="B23" i="47"/>
  <c r="D27" i="51"/>
  <c r="D28" i="51"/>
  <c r="D28" i="49"/>
  <c r="D29" i="47"/>
  <c r="D27" i="50"/>
  <c r="D29" i="48"/>
  <c r="D28" i="47"/>
  <c r="D29" i="46"/>
  <c r="D29" i="49"/>
  <c r="D28" i="48"/>
  <c r="D28" i="46"/>
  <c r="B18" i="43"/>
  <c r="C18" i="43" s="1"/>
  <c r="B25" i="43" s="1"/>
  <c r="B17" i="43"/>
  <c r="C17" i="43" s="1"/>
  <c r="B16" i="43"/>
  <c r="C16" i="43" s="1"/>
  <c r="B21" i="43" s="1"/>
  <c r="B17" i="42"/>
  <c r="C17" i="42" s="1"/>
  <c r="B24" i="42" s="1"/>
  <c r="B16" i="42"/>
  <c r="C16" i="42" s="1"/>
  <c r="B15" i="42"/>
  <c r="C15" i="42" s="1"/>
  <c r="B20" i="42" s="1"/>
  <c r="B19" i="40"/>
  <c r="C19" i="40" s="1"/>
  <c r="B26" i="40" s="1"/>
  <c r="B18" i="40"/>
  <c r="C18" i="40" s="1"/>
  <c r="B17" i="40"/>
  <c r="C17" i="40" s="1"/>
  <c r="B22" i="40" s="1"/>
  <c r="B19" i="39"/>
  <c r="C19" i="39" s="1"/>
  <c r="B26" i="39" s="1"/>
  <c r="B18" i="39"/>
  <c r="C18" i="39" s="1"/>
  <c r="B17" i="39"/>
  <c r="C17" i="39" s="1"/>
  <c r="B22" i="39" s="1"/>
  <c r="B19" i="38"/>
  <c r="C19" i="38" s="1"/>
  <c r="B26" i="38" s="1"/>
  <c r="B18" i="38"/>
  <c r="C18" i="38" s="1"/>
  <c r="B17" i="38"/>
  <c r="C17" i="38" s="1"/>
  <c r="B22" i="38" s="1"/>
  <c r="E22" i="38" l="1"/>
  <c r="H22" i="38"/>
  <c r="G22" i="38"/>
  <c r="F22" i="38"/>
  <c r="D22" i="38"/>
  <c r="C22" i="38"/>
  <c r="F26" i="38"/>
  <c r="H26" i="38"/>
  <c r="H27" i="38"/>
  <c r="G26" i="38"/>
  <c r="G27" i="38"/>
  <c r="E26" i="38"/>
  <c r="F27" i="38"/>
  <c r="D26" i="38"/>
  <c r="E27" i="38"/>
  <c r="C26" i="38"/>
  <c r="D27" i="38"/>
  <c r="C27" i="38"/>
  <c r="F20" i="42"/>
  <c r="G20" i="42"/>
  <c r="E20" i="42"/>
  <c r="D20" i="42"/>
  <c r="E22" i="39"/>
  <c r="D22" i="39"/>
  <c r="G22" i="39"/>
  <c r="F22" i="39"/>
  <c r="E21" i="43"/>
  <c r="D21" i="43"/>
  <c r="F21" i="43"/>
  <c r="G21" i="43"/>
  <c r="H22" i="40"/>
  <c r="G22" i="40"/>
  <c r="F22" i="40"/>
  <c r="E22" i="40"/>
  <c r="D22" i="40"/>
  <c r="C22" i="40"/>
  <c r="C27" i="40"/>
  <c r="G27" i="40"/>
  <c r="F26" i="40"/>
  <c r="D27" i="40"/>
  <c r="H27" i="40"/>
  <c r="E26" i="40"/>
  <c r="E27" i="40"/>
  <c r="H26" i="40"/>
  <c r="D26" i="40"/>
  <c r="F27" i="40"/>
  <c r="G26" i="40"/>
  <c r="C26" i="40"/>
  <c r="C22" i="39"/>
  <c r="H22" i="39"/>
  <c r="C27" i="39"/>
  <c r="G27" i="39"/>
  <c r="G26" i="39"/>
  <c r="D27" i="39"/>
  <c r="H27" i="39"/>
  <c r="F26" i="39"/>
  <c r="E27" i="39"/>
  <c r="C26" i="39"/>
  <c r="E26" i="39"/>
  <c r="F27" i="39"/>
  <c r="H26" i="39"/>
  <c r="D26" i="39"/>
  <c r="H21" i="43"/>
  <c r="C21" i="43"/>
  <c r="F26" i="43"/>
  <c r="H25" i="43"/>
  <c r="D25" i="43"/>
  <c r="E26" i="43"/>
  <c r="G25" i="43"/>
  <c r="C25" i="43"/>
  <c r="H26" i="43"/>
  <c r="D26" i="43"/>
  <c r="F25" i="43"/>
  <c r="G26" i="43"/>
  <c r="C26" i="43"/>
  <c r="E25" i="43"/>
  <c r="H25" i="42"/>
  <c r="D25" i="42"/>
  <c r="F24" i="42"/>
  <c r="G25" i="42"/>
  <c r="C25" i="42"/>
  <c r="E24" i="42"/>
  <c r="F25" i="42"/>
  <c r="H24" i="42"/>
  <c r="D24" i="42"/>
  <c r="E25" i="42"/>
  <c r="G24" i="42"/>
  <c r="C24" i="42"/>
  <c r="H20" i="42"/>
  <c r="C20" i="42"/>
  <c r="C28" i="43" l="1"/>
  <c r="C27" i="43"/>
  <c r="C27" i="42"/>
  <c r="C26" i="42"/>
  <c r="B28" i="43"/>
  <c r="B27" i="43"/>
  <c r="B27" i="42"/>
  <c r="B26" i="42"/>
  <c r="B28" i="38"/>
  <c r="B29" i="39"/>
  <c r="C29" i="38"/>
  <c r="B28" i="39"/>
  <c r="C28" i="39"/>
  <c r="B28" i="40"/>
  <c r="B29" i="40"/>
  <c r="B29" i="38"/>
  <c r="C28" i="38"/>
  <c r="C29" i="39"/>
  <c r="C29" i="40"/>
  <c r="C28" i="40"/>
  <c r="B22" i="43"/>
  <c r="B21" i="42"/>
  <c r="B23" i="38"/>
  <c r="B23" i="40"/>
  <c r="B23" i="39"/>
  <c r="F17" i="21"/>
  <c r="D29" i="39" l="1"/>
  <c r="D27" i="42"/>
  <c r="F41" i="21" s="1"/>
  <c r="D26" i="42"/>
  <c r="G41" i="21" s="1"/>
  <c r="D28" i="43"/>
  <c r="F42" i="21" s="1"/>
  <c r="D27" i="43"/>
  <c r="G42" i="21" s="1"/>
  <c r="D28" i="38"/>
  <c r="D29" i="38"/>
  <c r="D29" i="40"/>
  <c r="D28" i="39"/>
  <c r="D28" i="40"/>
  <c r="B18" i="34"/>
  <c r="C18" i="34" s="1"/>
  <c r="B25" i="34" s="1"/>
  <c r="B17" i="34"/>
  <c r="C17" i="34" s="1"/>
  <c r="B16" i="34"/>
  <c r="C16" i="34" s="1"/>
  <c r="B21" i="34" s="1"/>
  <c r="B20" i="35"/>
  <c r="C20" i="35" s="1"/>
  <c r="B27" i="35" s="1"/>
  <c r="B19" i="35"/>
  <c r="C19" i="35" s="1"/>
  <c r="B18" i="35"/>
  <c r="C18" i="35" s="1"/>
  <c r="B23" i="35" s="1"/>
  <c r="B20" i="36"/>
  <c r="C20" i="36" s="1"/>
  <c r="B27" i="36" s="1"/>
  <c r="B19" i="36"/>
  <c r="C19" i="36" s="1"/>
  <c r="B18" i="36"/>
  <c r="C18" i="36" s="1"/>
  <c r="B23" i="36" s="1"/>
  <c r="B17" i="33"/>
  <c r="C17" i="33" s="1"/>
  <c r="B24" i="33" s="1"/>
  <c r="B16" i="33"/>
  <c r="C16" i="33" s="1"/>
  <c r="B15" i="33"/>
  <c r="B19" i="22"/>
  <c r="C19" i="22" s="1"/>
  <c r="B26" i="22" s="1"/>
  <c r="B18" i="22"/>
  <c r="C18" i="22" s="1"/>
  <c r="B17" i="22"/>
  <c r="C17" i="22" s="1"/>
  <c r="B22" i="22" s="1"/>
  <c r="F28" i="35" l="1"/>
  <c r="C28" i="35"/>
  <c r="E27" i="35"/>
  <c r="D27" i="35"/>
  <c r="C27" i="35"/>
  <c r="H27" i="35"/>
  <c r="G27" i="35"/>
  <c r="H28" i="35"/>
  <c r="F27" i="35"/>
  <c r="G28" i="35"/>
  <c r="E28" i="35"/>
  <c r="D28" i="35"/>
  <c r="E28" i="36"/>
  <c r="C27" i="36"/>
  <c r="C28" i="36"/>
  <c r="H27" i="36"/>
  <c r="H28" i="36"/>
  <c r="E27" i="36"/>
  <c r="F28" i="36"/>
  <c r="D28" i="36"/>
  <c r="G27" i="36"/>
  <c r="F27" i="36"/>
  <c r="G28" i="36"/>
  <c r="D27" i="36"/>
  <c r="F22" i="22"/>
  <c r="C22" i="22"/>
  <c r="H22" i="22"/>
  <c r="E22" i="22"/>
  <c r="D22" i="22"/>
  <c r="G22" i="22"/>
  <c r="H27" i="22"/>
  <c r="F26" i="22"/>
  <c r="E26" i="22"/>
  <c r="D26" i="22"/>
  <c r="C26" i="22"/>
  <c r="G27" i="22"/>
  <c r="F27" i="22"/>
  <c r="E27" i="22"/>
  <c r="D27" i="22"/>
  <c r="C27" i="22"/>
  <c r="H26" i="22"/>
  <c r="G26" i="22"/>
  <c r="G21" i="34"/>
  <c r="F21" i="34"/>
  <c r="E21" i="34"/>
  <c r="D21" i="34"/>
  <c r="C15" i="33"/>
  <c r="B20" i="33" s="1"/>
  <c r="C21" i="34"/>
  <c r="H21" i="34"/>
  <c r="G25" i="33"/>
  <c r="H24" i="33"/>
  <c r="C24" i="33"/>
  <c r="F24" i="33"/>
  <c r="F25" i="33"/>
  <c r="G24" i="33"/>
  <c r="H25" i="33"/>
  <c r="C25" i="33"/>
  <c r="D24" i="33"/>
  <c r="D25" i="33"/>
  <c r="E24" i="33"/>
  <c r="E25" i="33"/>
  <c r="G26" i="34"/>
  <c r="H25" i="34"/>
  <c r="C25" i="34"/>
  <c r="F25" i="34"/>
  <c r="F26" i="34"/>
  <c r="G25" i="34"/>
  <c r="H26" i="34"/>
  <c r="C26" i="34"/>
  <c r="D25" i="34"/>
  <c r="D26" i="34"/>
  <c r="E25" i="34"/>
  <c r="E26" i="34"/>
  <c r="G20" i="33" l="1"/>
  <c r="F20" i="33"/>
  <c r="E20" i="33"/>
  <c r="D20" i="33"/>
  <c r="C20" i="33"/>
  <c r="H20" i="33"/>
  <c r="C30" i="35"/>
  <c r="B29" i="35"/>
  <c r="C28" i="34"/>
  <c r="C29" i="35"/>
  <c r="B30" i="35"/>
  <c r="B29" i="36"/>
  <c r="C29" i="36"/>
  <c r="B27" i="34"/>
  <c r="C30" i="36"/>
  <c r="B30" i="36"/>
  <c r="C27" i="34"/>
  <c r="B28" i="34"/>
  <c r="C27" i="33"/>
  <c r="B26" i="33"/>
  <c r="C26" i="33"/>
  <c r="B27" i="33"/>
  <c r="B28" i="22"/>
  <c r="B29" i="22"/>
  <c r="C28" i="22"/>
  <c r="C29" i="22"/>
  <c r="B23" i="22"/>
  <c r="B24" i="35"/>
  <c r="B22" i="34"/>
  <c r="B24" i="36"/>
  <c r="B21" i="33" l="1"/>
  <c r="D30" i="35"/>
  <c r="F39" i="21" s="1"/>
  <c r="D29" i="35"/>
  <c r="G39" i="21" s="1"/>
  <c r="D28" i="34"/>
  <c r="F38" i="21" s="1"/>
  <c r="D29" i="36"/>
  <c r="G40" i="21" s="1"/>
  <c r="D27" i="34"/>
  <c r="G38" i="21" s="1"/>
  <c r="D30" i="36"/>
  <c r="F40" i="21" s="1"/>
  <c r="D27" i="33"/>
  <c r="F37" i="21" s="1"/>
  <c r="D26" i="33"/>
  <c r="G37" i="21" s="1"/>
  <c r="D28" i="22"/>
  <c r="D29" i="22"/>
  <c r="G33" i="21"/>
  <c r="F33" i="21"/>
</calcChain>
</file>

<file path=xl/sharedStrings.xml><?xml version="1.0" encoding="utf-8"?>
<sst xmlns="http://schemas.openxmlformats.org/spreadsheetml/2006/main" count="639" uniqueCount="107">
  <si>
    <t>Average Progress</t>
  </si>
  <si>
    <t>Level of Progress</t>
  </si>
  <si>
    <t>Overview of Tool:</t>
  </si>
  <si>
    <t>Benefit of Tool:</t>
  </si>
  <si>
    <t>Desired Level of Progress</t>
  </si>
  <si>
    <t>Decile</t>
  </si>
  <si>
    <t>EOY goal range:</t>
  </si>
  <si>
    <t>Deciles EOY:</t>
  </si>
  <si>
    <t>Category EOY:</t>
  </si>
  <si>
    <t>MOY goal range:</t>
  </si>
  <si>
    <t>Deciles MOY:</t>
  </si>
  <si>
    <t>EOY ranges</t>
  </si>
  <si>
    <t>MOY ranges</t>
  </si>
  <si>
    <t>Step 1</t>
  </si>
  <si>
    <t>Step 2</t>
  </si>
  <si>
    <t>Cleaned BOY</t>
  </si>
  <si>
    <t>Cleaned EOY</t>
  </si>
  <si>
    <t>Cleaned Step 2 BOY</t>
  </si>
  <si>
    <t>Well-below Average Progress</t>
  </si>
  <si>
    <t>Below Average Progress</t>
  </si>
  <si>
    <t>Above Average Progress</t>
  </si>
  <si>
    <t>Grade</t>
  </si>
  <si>
    <t>Grades K-3</t>
  </si>
  <si>
    <t>Kindergarten</t>
  </si>
  <si>
    <t>1st Grade</t>
  </si>
  <si>
    <t>2nd Grade</t>
  </si>
  <si>
    <t>3rd Grade</t>
  </si>
  <si>
    <t>4th Grade</t>
  </si>
  <si>
    <t>5th Grade</t>
  </si>
  <si>
    <t>Grades K-2</t>
  </si>
  <si>
    <t>Grades K-1</t>
  </si>
  <si>
    <t>Grades 1-3</t>
  </si>
  <si>
    <t>Select Grade Range</t>
  </si>
  <si>
    <t>Well Below Average Progress</t>
  </si>
  <si>
    <t>Well Above Average Progress</t>
  </si>
  <si>
    <t>This tool is designed to serve two purposes for schools and their districts:</t>
  </si>
  <si>
    <t>BOY % of students reading       At/Above Benchmark</t>
  </si>
  <si>
    <t>Click to Select</t>
  </si>
  <si>
    <t>Beginning of Year</t>
  </si>
  <si>
    <t>Middle of Year % At/Above Benchmark</t>
  </si>
  <si>
    <t>End of Year % At/Above Benchmark</t>
  </si>
  <si>
    <t>Select School Year</t>
  </si>
  <si>
    <t>If you have any questions please call Amplify Pedagogical Support at 1 800 823-1969.</t>
  </si>
  <si>
    <t>2020-21</t>
  </si>
  <si>
    <t>2020-21Grades K-1</t>
  </si>
  <si>
    <t>2020-21Grades K-2</t>
  </si>
  <si>
    <t>2020-21Grades K-3</t>
  </si>
  <si>
    <t>2020-21Grades 1-3</t>
  </si>
  <si>
    <t>2020-211st Grade</t>
  </si>
  <si>
    <t>2020-212nd Grade</t>
  </si>
  <si>
    <t>2020-213rd Grade</t>
  </si>
  <si>
    <t>2020-215th Grade</t>
  </si>
  <si>
    <t>2020-214th Grade</t>
  </si>
  <si>
    <t>2020-21Kindergarten</t>
  </si>
  <si>
    <t>Increasing the percentage of students reading At/Above Benchmark levels</t>
  </si>
  <si>
    <t xml:space="preserve">Amplify Progress Planning Tool for mCLASS®:Acadience™ Reading </t>
  </si>
  <si>
    <r>
      <t xml:space="preserve">Welcome to the Amplify Progress Planning Tool for mCLASS®:Acadience™ Reading.  This tool utilizes data from mCLASS users across the nation to provide schools and districts with a meaningful comparative perspective for their progress during the school year.  Schools that begin the year with a similar percentage of students reading </t>
    </r>
    <r>
      <rPr>
        <u/>
        <sz val="12"/>
        <color rgb="FF00B050"/>
        <rFont val="Calibri (Body)"/>
      </rPr>
      <t>At/Above Benchmark</t>
    </r>
    <r>
      <rPr>
        <sz val="12"/>
        <color rgb="FF000000"/>
        <rFont val="Calibri (Body)_x0000_"/>
      </rPr>
      <t xml:space="preserve"> </t>
    </r>
    <r>
      <rPr>
        <sz val="12"/>
        <color rgb="FF000000"/>
        <rFont val="Calibri"/>
        <family val="2"/>
        <scheme val="minor"/>
      </rPr>
      <t>levels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</si>
  <si>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t>EOY % At/Above Benchmark</t>
  </si>
  <si>
    <t>BOY % At/Above Benchmark</t>
  </si>
  <si>
    <t>MOY % At/Above Benchmark
Goal Range</t>
  </si>
  <si>
    <t>EOY % At/Above Benchmark
Goal Range</t>
  </si>
  <si>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levels at BOY, and then identify where they rank within that cohort based on their students' performance at the end of the year.</t>
    </r>
  </si>
  <si>
    <t>Step 1: Evaluate your school's progress for 2020-21</t>
  </si>
  <si>
    <t>2020-21 BOY to EOY Progress - All Grades</t>
  </si>
  <si>
    <r>
      <t xml:space="preserve">2.  To facilitate realistic goal setting for the 2021-22 School Year.  For example, if your school desires to perform better than your peers during this upcoming school year, what percentage of students will need to be scoring </t>
    </r>
    <r>
      <rPr>
        <u/>
        <sz val="12"/>
        <color rgb="FF00B050"/>
        <rFont val="Calibri (Body)"/>
      </rPr>
      <t>At/Above Benchmark</t>
    </r>
    <r>
      <rPr>
        <sz val="12"/>
        <color rgb="FF000000"/>
        <rFont val="Calibri"/>
        <family val="2"/>
        <scheme val="minor"/>
      </rPr>
      <t xml:space="preserve"> levels at the Middle of Year and End of Year administrations?</t>
    </r>
  </si>
  <si>
    <t>1.  To provide context for your school's performance during the 2020-21 School Year (e.g., was the progress that your school made typical/average - or was it below/above average?).</t>
  </si>
  <si>
    <r>
      <t xml:space="preserve">Enter the percentage of students that scored </t>
    </r>
    <r>
      <rPr>
        <u/>
        <sz val="12"/>
        <color rgb="FF00B050"/>
        <rFont val="Calibri (Body)"/>
      </rPr>
      <t>At/Above Benchmark</t>
    </r>
    <r>
      <rPr>
        <sz val="12"/>
        <color rgb="FF000000"/>
        <rFont val="Calibri"/>
        <family val="2"/>
        <scheme val="minor"/>
      </rPr>
      <t xml:space="preserve"> levels for the Beginning of Year (BOY) and End of Year (EOY) administrations during the 2020-21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 Refer to the "Progress Ranges" sheet to understand how the progress ranges are constructed.</t>
    </r>
  </si>
  <si>
    <t>2020-21 BOY to EOY Progress - Individual Grades</t>
  </si>
  <si>
    <t>Step 2: Set progress goals for 2021-22</t>
  </si>
  <si>
    <r>
      <t xml:space="preserve">Select the level of progress that your school would like to make in the 2021-22 School Year (Average, Above Average, or Well Above Average).  Then, enter the percentage of students that scored </t>
    </r>
    <r>
      <rPr>
        <u/>
        <sz val="12"/>
        <color rgb="FF00B050"/>
        <rFont val="Calibri (Body)_x0000_"/>
      </rPr>
      <t>At/Above Benchmark</t>
    </r>
    <r>
      <rPr>
        <sz val="12"/>
        <color rgb="FF000000"/>
        <rFont val="Calibri"/>
        <family val="2"/>
        <scheme val="minor"/>
      </rPr>
      <t xml:space="preserve"> during your BOY administration (the grey highlighted cells).  If you have not yet administered BOY for this year, you can enter the data from last year for now, and update your goal once you have the data for the current year. Refer to the "Progress Ranges" sheet to understand how the goal ranges are constructed.</t>
    </r>
  </si>
  <si>
    <t>To evaluate 2020-21 school progress:</t>
  </si>
  <si>
    <r>
      <t xml:space="preserve">1. Select the desired range of grades from the first drop down menu, and "2020-21" from the second drop down menu (click the grey cells below)
2. Find the row in the first column that corresponds to the percent of students scoring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at BOY 2020-21*
3. Find the column within this row corresponding to the percent of students scoring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at EOY 2020-21**
4. This column indicates your category of progress in 2020-21. To evaluate what it would have taken to be in other categories of progress, look at the ranges for other columns within your row.</t>
    </r>
  </si>
  <si>
    <t>To set progress goals for 2021-22:</t>
  </si>
  <si>
    <r>
      <t xml:space="preserve">1. Select the desired range of grades from the first drop down menu, and "2021-22" from the second drop down menu (click the grey cells below)
2. Find the row in the first column that corresponds to the percent of students scoring </t>
    </r>
    <r>
      <rPr>
        <u/>
        <sz val="12"/>
        <color rgb="FF00B050"/>
        <rFont val="Calibri (Body)"/>
      </rPr>
      <t xml:space="preserve">At/Above </t>
    </r>
    <r>
      <rPr>
        <u/>
        <sz val="12"/>
        <color rgb="FF00B050"/>
        <rFont val="Calibri"/>
        <family val="2"/>
        <scheme val="minor"/>
      </rPr>
      <t>Benchmark</t>
    </r>
    <r>
      <rPr>
        <sz val="12"/>
        <color rgb="FF000000"/>
        <rFont val="Calibri"/>
        <family val="2"/>
        <scheme val="minor"/>
      </rPr>
      <t xml:space="preserve"> at BOY 2021-22; this row identifies your cohort of similarly scoring schools for 2021-22*
3. Choose the column that corresponds to your desired category of progress to set goals for MOY and EOY**</t>
    </r>
  </si>
  <si>
    <t>2021-22 Goal Setting - All Grades</t>
  </si>
  <si>
    <t>2021-22 Goal Setting - Individual Grades</t>
  </si>
  <si>
    <t>2021-22</t>
  </si>
  <si>
    <t>2021_K</t>
  </si>
  <si>
    <t>2021-22Kindergarten</t>
  </si>
  <si>
    <t>2122_K</t>
  </si>
  <si>
    <t>2122_1</t>
  </si>
  <si>
    <t>2021-221st Grade</t>
  </si>
  <si>
    <t>2021_1</t>
  </si>
  <si>
    <t>2021_2</t>
  </si>
  <si>
    <t>2122_2</t>
  </si>
  <si>
    <t>2021-222nd Grade</t>
  </si>
  <si>
    <t>2021-223rd Grade</t>
  </si>
  <si>
    <t>2122_3</t>
  </si>
  <si>
    <t>2021_3</t>
  </si>
  <si>
    <t>2122_4</t>
  </si>
  <si>
    <t>2021-224th Grade</t>
  </si>
  <si>
    <t>2021_4</t>
  </si>
  <si>
    <t>2021_5</t>
  </si>
  <si>
    <t>2122_5</t>
  </si>
  <si>
    <t>2021-225th Grade</t>
  </si>
  <si>
    <t>2122_K1</t>
  </si>
  <si>
    <t>2021-22Grades K-1</t>
  </si>
  <si>
    <t>2021_K1</t>
  </si>
  <si>
    <t>2122_K2</t>
  </si>
  <si>
    <t>2021-22Grades K-2</t>
  </si>
  <si>
    <t>2021_K2</t>
  </si>
  <si>
    <t>2021_K3</t>
  </si>
  <si>
    <t>2122_K3</t>
  </si>
  <si>
    <t>2021-22Grades K-3</t>
  </si>
  <si>
    <t>2021_13</t>
  </si>
  <si>
    <t>2122_13</t>
  </si>
  <si>
    <t>2021-22Grades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</si>
</sst>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rgb="FF008000"/>
      <name val="Calibri"/>
      <family val="2"/>
      <scheme val="minor"/>
    </font>
    <font>
      <sz val="8"/>
      <name val="Calibri"/>
      <family val="2"/>
      <scheme val="minor"/>
    </font>
    <font>
      <u/>
      <sz val="12"/>
      <color rgb="FF00B050"/>
      <name val="Calibri"/>
      <family val="2"/>
      <scheme val="minor"/>
    </font>
    <font>
      <b/>
      <sz val="12"/>
      <color theme="1"/>
      <name val="Calibri"/>
      <family val="2"/>
      <scheme val="minor"/>
    </font>
    <font>
      <i/>
      <sz val="11"/>
      <color rgb="FF000000"/>
      <name val="Calibri"/>
      <family val="2"/>
      <scheme val="minor"/>
    </font>
    <font>
      <sz val="12"/>
      <color theme="1"/>
      <name val="Calibri"/>
      <family val="2"/>
      <scheme val="minor"/>
    </font>
    <font>
      <sz val="11"/>
      <color rgb="FF000000"/>
      <name val="Calibri"/>
      <family val="2"/>
      <scheme val="minor"/>
    </font>
    <font>
      <u/>
      <sz val="12"/>
      <color rgb="FF00B050"/>
      <name val="Calibri (Body)"/>
    </font>
    <font>
      <sz val="12"/>
      <color rgb="FF000000"/>
      <name val="Calibri (Body)_x0000_"/>
    </font>
    <font>
      <u/>
      <sz val="12"/>
      <color rgb="FF00B050"/>
      <name val="Calibri (Body)_x0000_"/>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008000"/>
        <bgColor rgb="FF000000"/>
      </patternFill>
    </fill>
    <fill>
      <patternFill patternType="solid">
        <fgColor rgb="FF008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1">
    <xf numFmtId="0" fontId="0" fillId="0" borderId="0" xfId="0"/>
    <xf numFmtId="0" fontId="8" fillId="0" borderId="0" xfId="0" applyFont="1"/>
    <xf numFmtId="0" fontId="7" fillId="0" borderId="0" xfId="0" applyFont="1"/>
    <xf numFmtId="0" fontId="8" fillId="0" borderId="1" xfId="0" applyFont="1" applyBorder="1"/>
    <xf numFmtId="0" fontId="0" fillId="0" borderId="1" xfId="0" applyBorder="1"/>
    <xf numFmtId="0" fontId="9" fillId="0" borderId="0" xfId="0" applyFont="1"/>
    <xf numFmtId="0" fontId="0" fillId="0" borderId="0" xfId="0" applyBorder="1"/>
    <xf numFmtId="0" fontId="8" fillId="0" borderId="0" xfId="0" applyFont="1" applyBorder="1"/>
    <xf numFmtId="0" fontId="0" fillId="5" borderId="0" xfId="0" applyFill="1"/>
    <xf numFmtId="0" fontId="5" fillId="4" borderId="0" xfId="0" applyFont="1" applyFill="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0" xfId="0" applyFont="1" applyFill="1" applyAlignment="1">
      <alignment vertical="center"/>
    </xf>
    <xf numFmtId="0" fontId="5" fillId="6"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3" borderId="1" xfId="0" applyFont="1" applyFill="1" applyBorder="1" applyAlignment="1" applyProtection="1">
      <alignment horizontal="center" vertical="center"/>
      <protection locked="0"/>
    </xf>
    <xf numFmtId="9" fontId="14" fillId="0" borderId="1" xfId="1" applyFont="1" applyBorder="1" applyAlignment="1">
      <alignment horizontal="center" vertical="center" wrapText="1"/>
    </xf>
    <xf numFmtId="0" fontId="5" fillId="2" borderId="0" xfId="0" applyFont="1" applyFill="1"/>
    <xf numFmtId="0" fontId="0" fillId="0" borderId="0" xfId="0" applyAlignment="1">
      <alignment horizontal="center"/>
    </xf>
    <xf numFmtId="0" fontId="0" fillId="5" borderId="0" xfId="0" applyFill="1" applyProtection="1"/>
    <xf numFmtId="0" fontId="11"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vertical="center"/>
    </xf>
    <xf numFmtId="9" fontId="7" fillId="3" borderId="0" xfId="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5" fillId="2" borderId="0" xfId="0" applyFont="1" applyFill="1" applyProtection="1"/>
    <xf numFmtId="0" fontId="5" fillId="4" borderId="0" xfId="0" applyFont="1" applyFill="1" applyProtection="1"/>
    <xf numFmtId="0" fontId="6" fillId="2"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49" fontId="0" fillId="0" borderId="0" xfId="0" applyNumberFormat="1"/>
    <xf numFmtId="0" fontId="0" fillId="0" borderId="0" xfId="0" applyNumberFormat="1"/>
    <xf numFmtId="0" fontId="8" fillId="0" borderId="1" xfId="0" pivotButton="1" applyFont="1" applyBorder="1"/>
    <xf numFmtId="0" fontId="8" fillId="0" borderId="0" xfId="0" pivotButton="1" applyFont="1"/>
    <xf numFmtId="0" fontId="0" fillId="0" borderId="0" xfId="0" pivotButton="1"/>
    <xf numFmtId="0" fontId="0" fillId="0" borderId="1" xfId="0" pivotButton="1" applyBorder="1"/>
    <xf numFmtId="0" fontId="0" fillId="0" borderId="1" xfId="0" applyNumberFormat="1" applyBorder="1"/>
    <xf numFmtId="0" fontId="0" fillId="0" borderId="1" xfId="0" applyFill="1" applyBorder="1"/>
    <xf numFmtId="9" fontId="0" fillId="6" borderId="1" xfId="1" applyNumberFormat="1" applyFont="1" applyFill="1" applyBorder="1" applyAlignment="1" applyProtection="1">
      <alignment horizontal="center" vertical="center"/>
      <protection locked="0"/>
    </xf>
    <xf numFmtId="9" fontId="5" fillId="7" borderId="1" xfId="1" applyNumberFormat="1" applyFont="1" applyFill="1" applyBorder="1" applyAlignment="1" applyProtection="1">
      <alignment horizontal="center" vertical="center"/>
      <protection locked="0"/>
    </xf>
    <xf numFmtId="0" fontId="0" fillId="0" borderId="4" xfId="0" applyBorder="1"/>
    <xf numFmtId="0" fontId="1" fillId="3" borderId="0" xfId="0" applyFont="1" applyFill="1" applyBorder="1" applyAlignment="1" applyProtection="1">
      <alignment horizontal="left" vertical="center"/>
    </xf>
    <xf numFmtId="0" fontId="5" fillId="2" borderId="0" xfId="0" applyFont="1" applyFill="1" applyAlignment="1">
      <alignment horizontal="left" vertical="center" wrapText="1"/>
    </xf>
    <xf numFmtId="0" fontId="6" fillId="2" borderId="1" xfId="0" applyFont="1" applyFill="1" applyBorder="1" applyAlignment="1">
      <alignment horizontal="center" vertical="center"/>
    </xf>
    <xf numFmtId="0" fontId="11" fillId="2" borderId="0" xfId="0" applyFont="1" applyFill="1" applyAlignment="1">
      <alignment horizontal="center" vertical="center"/>
    </xf>
    <xf numFmtId="0" fontId="6" fillId="3" borderId="1" xfId="0" applyFont="1" applyFill="1" applyBorder="1" applyAlignment="1" applyProtection="1">
      <alignment horizontal="center" vertical="center" wrapText="1"/>
    </xf>
    <xf numFmtId="9" fontId="14" fillId="3" borderId="1" xfId="1" applyFont="1" applyFill="1" applyBorder="1" applyAlignment="1">
      <alignment horizontal="center" vertical="center"/>
    </xf>
    <xf numFmtId="10" fontId="14" fillId="3" borderId="1" xfId="1" applyNumberFormat="1" applyFont="1" applyFill="1" applyBorder="1" applyAlignment="1">
      <alignment horizontal="center" vertical="center"/>
    </xf>
    <xf numFmtId="9" fontId="14" fillId="3" borderId="1" xfId="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5" fillId="2" borderId="0" xfId="0" applyFont="1" applyFill="1" applyAlignment="1">
      <alignment horizontal="left"/>
    </xf>
    <xf numFmtId="0" fontId="5" fillId="2" borderId="0" xfId="0" applyFont="1" applyFill="1" applyAlignment="1">
      <alignment horizontal="left" vertical="center" wrapText="1"/>
    </xf>
    <xf numFmtId="10" fontId="0" fillId="3" borderId="2" xfId="0" applyNumberFormat="1" applyFill="1" applyBorder="1" applyAlignment="1">
      <alignment horizontal="center" vertical="center"/>
    </xf>
    <xf numFmtId="10" fontId="0" fillId="3" borderId="3" xfId="0" applyNumberFormat="1" applyFill="1" applyBorder="1" applyAlignment="1">
      <alignment horizontal="center" vertical="center"/>
    </xf>
    <xf numFmtId="0" fontId="14"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Alignment="1">
      <alignment horizontal="left"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10" fontId="0" fillId="3" borderId="1" xfId="0" applyNumberFormat="1" applyFill="1" applyBorder="1" applyAlignment="1">
      <alignment horizontal="center" vertical="center"/>
    </xf>
    <xf numFmtId="0" fontId="15" fillId="2" borderId="0" xfId="0" applyFont="1" applyFill="1" applyAlignment="1" applyProtection="1">
      <alignment horizontal="left"/>
    </xf>
    <xf numFmtId="0" fontId="5"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5" fillId="8" borderId="0" xfId="0" applyFont="1" applyFill="1" applyAlignment="1">
      <alignment horizontal="left" vertical="center" wrapText="1"/>
    </xf>
    <xf numFmtId="0" fontId="7" fillId="3" borderId="0"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11" fillId="2" borderId="0" xfId="0" applyFont="1" applyFill="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2">
    <dxf>
      <fill>
        <patternFill>
          <bgColor rgb="FFD7AAF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F3B49B"/>
        </patternFill>
      </fill>
      <border>
        <left style="thin">
          <color auto="1"/>
        </left>
        <right style="thin">
          <color auto="1"/>
        </right>
        <top style="thin">
          <color auto="1"/>
        </top>
        <bottom style="thin">
          <color auto="1"/>
        </bottom>
        <vertical/>
        <horizontal/>
      </border>
    </dxf>
    <dxf>
      <fill>
        <patternFill>
          <bgColor rgb="FFBDDE78"/>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FF2A3"/>
      <color rgb="FFD7AAF8"/>
      <color rgb="FFDA97FF"/>
      <color rgb="FF99CCFF"/>
      <color rgb="FFBDDE78"/>
      <color rgb="FFF3B49B"/>
      <color rgb="FFD19FF7"/>
      <color rgb="FFCC94F6"/>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457200</xdr:colOff>
      <xdr:row>28</xdr:row>
      <xdr:rowOff>139700</xdr:rowOff>
    </xdr:from>
    <xdr:to>
      <xdr:col>13</xdr:col>
      <xdr:colOff>292100</xdr:colOff>
      <xdr:row>31</xdr:row>
      <xdr:rowOff>190500</xdr:rowOff>
    </xdr:to>
    <xdr:sp macro="" textlink="">
      <xdr:nvSpPr>
        <xdr:cNvPr id="2" name="TextBox 1">
          <a:extLst>
            <a:ext uri="{FF2B5EF4-FFF2-40B4-BE49-F238E27FC236}">
              <a16:creationId xmlns:a16="http://schemas.microsoft.com/office/drawing/2014/main" id="{0748BD9E-DC7C-6D4F-A4C7-6B2E7F367E87}"/>
            </a:ext>
          </a:extLst>
        </xdr:cNvPr>
        <xdr:cNvSpPr txBox="1"/>
      </xdr:nvSpPr>
      <xdr:spPr>
        <a:xfrm>
          <a:off x="952500" y="8267700"/>
          <a:ext cx="10668000"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range of students scoring At/Above Benchmark at BOY includes the percentage at the bottom end of the range and excludes the percentage at the high end of the range</a:t>
          </a:r>
        </a:p>
        <a:p>
          <a:r>
            <a:rPr lang="en-US" sz="1100"/>
            <a:t>**The range of students scoring At/Above Benchmark at MOY and EOY for each progress category includes the percentage at the bottom of the range and excludes the percentage at the high end of the range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7"/>
  <sheetViews>
    <sheetView tabSelected="1" workbookViewId="0"/>
  </sheetViews>
  <sheetFormatPr defaultColWidth="10.81640625" defaultRowHeight="14.75"/>
  <cols>
    <col min="1" max="2" width="6.5" style="8" customWidth="1"/>
    <col min="3" max="3" width="20.1796875" style="8" bestFit="1" customWidth="1"/>
    <col min="4" max="5" width="29.31640625" style="8" customWidth="1"/>
    <col min="6" max="7" width="18.5" style="8" customWidth="1"/>
    <col min="8" max="8" width="6.5" style="8" customWidth="1"/>
    <col min="9" max="16384" width="10.81640625" style="8"/>
  </cols>
  <sheetData>
    <row r="1" spans="2:8" ht="22.5" customHeight="1">
      <c r="B1" s="59" t="s">
        <v>55</v>
      </c>
      <c r="C1" s="59"/>
      <c r="D1" s="59"/>
      <c r="E1" s="59"/>
      <c r="F1" s="59"/>
      <c r="G1" s="59"/>
      <c r="H1" s="59"/>
    </row>
    <row r="2" spans="2:8" ht="22.25">
      <c r="B2" s="60" t="s">
        <v>54</v>
      </c>
      <c r="C2" s="60"/>
      <c r="D2" s="60"/>
      <c r="E2" s="60"/>
      <c r="F2" s="60"/>
      <c r="G2" s="60"/>
      <c r="H2" s="60"/>
    </row>
    <row r="3" spans="2:8" ht="15" customHeight="1">
      <c r="B3" s="46"/>
      <c r="C3" s="46"/>
      <c r="D3" s="46"/>
      <c r="E3" s="46"/>
      <c r="F3" s="46"/>
      <c r="G3" s="46"/>
      <c r="H3" s="46"/>
    </row>
    <row r="4" spans="2:8" ht="15" customHeight="1">
      <c r="B4" s="58" t="s">
        <v>2</v>
      </c>
      <c r="C4" s="58"/>
      <c r="D4" s="58"/>
      <c r="E4" s="58"/>
      <c r="F4" s="58"/>
      <c r="G4" s="58"/>
      <c r="H4" s="58"/>
    </row>
    <row r="5" spans="2:8" ht="78.75" customHeight="1">
      <c r="B5" s="53" t="s">
        <v>56</v>
      </c>
      <c r="C5" s="53"/>
      <c r="D5" s="53"/>
      <c r="E5" s="53"/>
      <c r="F5" s="53"/>
      <c r="G5" s="53"/>
      <c r="H5" s="53"/>
    </row>
    <row r="6" spans="2:8" ht="15" customHeight="1">
      <c r="B6" s="44"/>
      <c r="C6" s="44"/>
      <c r="D6" s="44"/>
      <c r="E6" s="44"/>
      <c r="F6" s="44"/>
      <c r="G6" s="44"/>
      <c r="H6" s="44"/>
    </row>
    <row r="7" spans="2:8" ht="15" customHeight="1">
      <c r="B7" s="58" t="s">
        <v>3</v>
      </c>
      <c r="C7" s="58"/>
      <c r="D7" s="58"/>
      <c r="E7" s="58"/>
      <c r="F7" s="58"/>
      <c r="G7" s="58"/>
      <c r="H7" s="58"/>
    </row>
    <row r="8" spans="2:8" ht="18" customHeight="1">
      <c r="B8" s="53" t="s">
        <v>35</v>
      </c>
      <c r="C8" s="53"/>
      <c r="D8" s="53"/>
      <c r="E8" s="53"/>
      <c r="F8" s="53"/>
      <c r="G8" s="53"/>
      <c r="H8" s="53"/>
    </row>
    <row r="9" spans="2:8" ht="34.5" customHeight="1">
      <c r="B9" s="53" t="s">
        <v>65</v>
      </c>
      <c r="C9" s="53"/>
      <c r="D9" s="53"/>
      <c r="E9" s="53"/>
      <c r="F9" s="53"/>
      <c r="G9" s="53"/>
      <c r="H9" s="53"/>
    </row>
    <row r="10" spans="2:8" ht="48" customHeight="1">
      <c r="B10" s="53" t="s">
        <v>64</v>
      </c>
      <c r="C10" s="53"/>
      <c r="D10" s="53"/>
      <c r="E10" s="53"/>
      <c r="F10" s="53"/>
      <c r="G10" s="53"/>
      <c r="H10" s="53"/>
    </row>
    <row r="11" spans="2:8" ht="9.75" customHeight="1">
      <c r="B11" s="12"/>
      <c r="C11" s="12"/>
      <c r="D11" s="12"/>
      <c r="E11" s="12"/>
      <c r="F11" s="12"/>
      <c r="G11" s="12"/>
      <c r="H11" s="12"/>
    </row>
    <row r="12" spans="2:8" ht="15" customHeight="1">
      <c r="B12" s="58" t="s">
        <v>62</v>
      </c>
      <c r="C12" s="58"/>
      <c r="D12" s="58"/>
      <c r="E12" s="58"/>
      <c r="F12" s="58"/>
      <c r="G12" s="58"/>
      <c r="H12" s="58"/>
    </row>
    <row r="13" spans="2:8" ht="80" customHeight="1">
      <c r="B13" s="53" t="s">
        <v>66</v>
      </c>
      <c r="C13" s="53"/>
      <c r="D13" s="53"/>
      <c r="E13" s="53"/>
      <c r="F13" s="53"/>
      <c r="G13" s="53"/>
      <c r="H13" s="53"/>
    </row>
    <row r="14" spans="2:8" ht="16">
      <c r="B14" s="12"/>
      <c r="C14" s="12"/>
      <c r="D14" s="12"/>
      <c r="E14" s="12"/>
      <c r="F14" s="12"/>
      <c r="G14" s="12"/>
      <c r="H14" s="12"/>
    </row>
    <row r="15" spans="2:8" ht="16">
      <c r="B15" s="12"/>
      <c r="C15" s="57" t="s">
        <v>63</v>
      </c>
      <c r="D15" s="57"/>
      <c r="E15" s="57"/>
      <c r="F15" s="57"/>
      <c r="G15" s="57"/>
      <c r="H15" s="12"/>
    </row>
    <row r="16" spans="2:8" ht="16">
      <c r="B16" s="12"/>
      <c r="C16" s="45" t="s">
        <v>32</v>
      </c>
      <c r="D16" s="49" t="s">
        <v>58</v>
      </c>
      <c r="E16" s="48" t="s">
        <v>57</v>
      </c>
      <c r="F16" s="56" t="s">
        <v>1</v>
      </c>
      <c r="G16" s="56"/>
      <c r="H16" s="12"/>
    </row>
    <row r="17" spans="2:8" ht="16">
      <c r="B17" s="12"/>
      <c r="C17" s="13" t="s">
        <v>37</v>
      </c>
      <c r="D17" s="40"/>
      <c r="E17" s="40"/>
      <c r="F17" s="61" t="str">
        <f ca="1">IFERROR(INDIRECT("'"&amp;VLOOKUP(CONCATENATE("2020-21",$C$17),'tabs lookup'!$A$1:$B$20,2,FALSE)&amp;"'!B23"),"")</f>
        <v/>
      </c>
      <c r="G17" s="61"/>
      <c r="H17" s="12"/>
    </row>
    <row r="18" spans="2:8" ht="16">
      <c r="B18" s="12"/>
      <c r="C18" s="12"/>
      <c r="D18" s="12"/>
      <c r="E18" s="12"/>
      <c r="F18" s="12"/>
      <c r="G18" s="12"/>
      <c r="H18" s="12"/>
    </row>
    <row r="19" spans="2:8" ht="16">
      <c r="B19" s="12"/>
      <c r="C19" s="57" t="s">
        <v>67</v>
      </c>
      <c r="D19" s="57"/>
      <c r="E19" s="57"/>
      <c r="F19" s="57"/>
      <c r="G19" s="57"/>
      <c r="H19" s="12"/>
    </row>
    <row r="20" spans="2:8" ht="16">
      <c r="B20" s="12"/>
      <c r="C20" s="45" t="s">
        <v>21</v>
      </c>
      <c r="D20" s="48" t="s">
        <v>58</v>
      </c>
      <c r="E20" s="48" t="s">
        <v>57</v>
      </c>
      <c r="F20" s="56" t="s">
        <v>1</v>
      </c>
      <c r="G20" s="56"/>
      <c r="H20" s="12"/>
    </row>
    <row r="21" spans="2:8" ht="16">
      <c r="B21" s="12"/>
      <c r="C21" s="14" t="s">
        <v>23</v>
      </c>
      <c r="D21" s="40"/>
      <c r="E21" s="40"/>
      <c r="F21" s="54" t="str">
        <f ca="1">IFERROR('2021_K'!$B$21,"")</f>
        <v/>
      </c>
      <c r="G21" s="55"/>
      <c r="H21" s="12"/>
    </row>
    <row r="22" spans="2:8" ht="16">
      <c r="B22" s="12"/>
      <c r="C22" s="14" t="s">
        <v>24</v>
      </c>
      <c r="D22" s="40"/>
      <c r="E22" s="40"/>
      <c r="F22" s="54" t="str">
        <f ca="1">IFERROR('2021_1'!$B$22,"")</f>
        <v/>
      </c>
      <c r="G22" s="55"/>
      <c r="H22" s="12"/>
    </row>
    <row r="23" spans="2:8" ht="16">
      <c r="B23" s="12"/>
      <c r="C23" s="14" t="s">
        <v>25</v>
      </c>
      <c r="D23" s="40"/>
      <c r="E23" s="40"/>
      <c r="F23" s="54" t="str">
        <f ca="1">IFERROR('2021_2'!$B$24,"")</f>
        <v/>
      </c>
      <c r="G23" s="55"/>
      <c r="H23" s="12"/>
    </row>
    <row r="24" spans="2:8" ht="16">
      <c r="B24" s="12"/>
      <c r="C24" s="14" t="s">
        <v>26</v>
      </c>
      <c r="D24" s="40"/>
      <c r="E24" s="40"/>
      <c r="F24" s="54" t="str">
        <f ca="1">IFERROR('2021_3'!$B$24,"")</f>
        <v/>
      </c>
      <c r="G24" s="55"/>
      <c r="H24" s="12"/>
    </row>
    <row r="25" spans="2:8" ht="16">
      <c r="B25" s="12"/>
      <c r="C25" s="14" t="s">
        <v>27</v>
      </c>
      <c r="D25" s="40"/>
      <c r="E25" s="40"/>
      <c r="F25" s="54" t="str">
        <f ca="1">IFERROR('2021_4'!$B$21,"")</f>
        <v/>
      </c>
      <c r="G25" s="55"/>
      <c r="H25" s="12"/>
    </row>
    <row r="26" spans="2:8" ht="16">
      <c r="B26" s="12"/>
      <c r="C26" s="14" t="s">
        <v>28</v>
      </c>
      <c r="D26" s="40"/>
      <c r="E26" s="40"/>
      <c r="F26" s="54" t="str">
        <f ca="1">IFERROR('2021_5'!$B$22,"")</f>
        <v/>
      </c>
      <c r="G26" s="55"/>
      <c r="H26" s="12"/>
    </row>
    <row r="27" spans="2:8" ht="16">
      <c r="B27" s="12"/>
      <c r="C27" s="12"/>
      <c r="D27" s="12"/>
      <c r="E27" s="12"/>
      <c r="F27" s="12"/>
      <c r="G27" s="12"/>
      <c r="H27" s="12"/>
    </row>
    <row r="28" spans="2:8" ht="15" customHeight="1">
      <c r="B28" s="58" t="s">
        <v>68</v>
      </c>
      <c r="C28" s="58"/>
      <c r="D28" s="58"/>
      <c r="E28" s="58"/>
      <c r="F28" s="58"/>
      <c r="G28" s="58"/>
      <c r="H28" s="58"/>
    </row>
    <row r="29" spans="2:8" ht="65.25" customHeight="1">
      <c r="B29" s="53" t="s">
        <v>69</v>
      </c>
      <c r="C29" s="53"/>
      <c r="D29" s="53"/>
      <c r="E29" s="53"/>
      <c r="F29" s="53"/>
      <c r="G29" s="53"/>
      <c r="H29" s="53"/>
    </row>
    <row r="30" spans="2:8" ht="16">
      <c r="B30" s="12"/>
      <c r="C30" s="12"/>
      <c r="D30" s="12"/>
      <c r="E30" s="12"/>
      <c r="F30" s="12"/>
      <c r="G30" s="12"/>
      <c r="H30" s="12"/>
    </row>
    <row r="31" spans="2:8" ht="16">
      <c r="B31" s="12"/>
      <c r="C31" s="57" t="s">
        <v>74</v>
      </c>
      <c r="D31" s="57"/>
      <c r="E31" s="57"/>
      <c r="F31" s="57"/>
      <c r="G31" s="57"/>
      <c r="H31" s="12"/>
    </row>
    <row r="32" spans="2:8" ht="48">
      <c r="B32" s="12"/>
      <c r="C32" s="10" t="s">
        <v>32</v>
      </c>
      <c r="D32" s="10" t="s">
        <v>4</v>
      </c>
      <c r="E32" s="16" t="s">
        <v>36</v>
      </c>
      <c r="F32" s="11" t="s">
        <v>59</v>
      </c>
      <c r="G32" s="11" t="s">
        <v>60</v>
      </c>
      <c r="H32" s="12"/>
    </row>
    <row r="33" spans="2:8" ht="16">
      <c r="B33" s="12"/>
      <c r="C33" s="13" t="s">
        <v>37</v>
      </c>
      <c r="D33" s="15" t="s">
        <v>37</v>
      </c>
      <c r="E33" s="41"/>
      <c r="F33" s="14" t="str">
        <f ca="1">IFERROR(INDIRECT("'"&amp;VLOOKUP(CONCATENATE("2021-22",$C$33),'tabs lookup'!$A$1:$B$20,2,FALSE)&amp;"'!D29"),"")</f>
        <v/>
      </c>
      <c r="G33" s="14" t="str">
        <f ca="1">IFERROR(INDIRECT("'"&amp;VLOOKUP(CONCATENATE("2021-22",$C$33),'tabs lookup'!$A$1:$B$20,2,FALSE)&amp;"'!D28"),"")</f>
        <v/>
      </c>
      <c r="H33" s="12"/>
    </row>
    <row r="34" spans="2:8" ht="16">
      <c r="B34" s="12"/>
      <c r="C34" s="12"/>
      <c r="D34" s="12"/>
      <c r="E34" s="12"/>
      <c r="F34" s="12"/>
      <c r="G34" s="12"/>
      <c r="H34" s="12"/>
    </row>
    <row r="35" spans="2:8" ht="16">
      <c r="B35" s="12"/>
      <c r="C35" s="57" t="s">
        <v>75</v>
      </c>
      <c r="D35" s="57"/>
      <c r="E35" s="57"/>
      <c r="F35" s="57"/>
      <c r="G35" s="57"/>
      <c r="H35" s="12"/>
    </row>
    <row r="36" spans="2:8" ht="48">
      <c r="B36" s="12"/>
      <c r="C36" s="10" t="s">
        <v>21</v>
      </c>
      <c r="D36" s="10" t="s">
        <v>4</v>
      </c>
      <c r="E36" s="16" t="s">
        <v>36</v>
      </c>
      <c r="F36" s="11" t="s">
        <v>59</v>
      </c>
      <c r="G36" s="11" t="s">
        <v>60</v>
      </c>
      <c r="H36" s="12"/>
    </row>
    <row r="37" spans="2:8" ht="16">
      <c r="B37" s="12"/>
      <c r="C37" s="14" t="s">
        <v>23</v>
      </c>
      <c r="D37" s="15" t="s">
        <v>37</v>
      </c>
      <c r="E37" s="41"/>
      <c r="F37" s="14" t="str">
        <f ca="1">IFERROR('2122_K'!$D$27,"")</f>
        <v/>
      </c>
      <c r="G37" s="14" t="str">
        <f ca="1">IFERROR('2122_K'!$D$26,"")</f>
        <v/>
      </c>
      <c r="H37" s="12"/>
    </row>
    <row r="38" spans="2:8" ht="16">
      <c r="B38" s="12"/>
      <c r="C38" s="14" t="s">
        <v>24</v>
      </c>
      <c r="D38" s="15" t="s">
        <v>37</v>
      </c>
      <c r="E38" s="41"/>
      <c r="F38" s="14" t="str">
        <f ca="1">IFERROR('2122_1'!$D$28,"")</f>
        <v/>
      </c>
      <c r="G38" s="14" t="str">
        <f ca="1">IFERROR('2122_1'!$D$27,"")</f>
        <v/>
      </c>
      <c r="H38" s="12"/>
    </row>
    <row r="39" spans="2:8" ht="16">
      <c r="B39" s="12"/>
      <c r="C39" s="14" t="s">
        <v>25</v>
      </c>
      <c r="D39" s="15" t="s">
        <v>37</v>
      </c>
      <c r="E39" s="41"/>
      <c r="F39" s="14" t="str">
        <f ca="1">IFERROR('2122_2'!$D$30,"")</f>
        <v/>
      </c>
      <c r="G39" s="14" t="str">
        <f ca="1">IFERROR('2122_2'!$D$29,"")</f>
        <v/>
      </c>
      <c r="H39" s="12"/>
    </row>
    <row r="40" spans="2:8" ht="16">
      <c r="B40" s="12"/>
      <c r="C40" s="14" t="s">
        <v>26</v>
      </c>
      <c r="D40" s="15" t="s">
        <v>37</v>
      </c>
      <c r="E40" s="41"/>
      <c r="F40" s="14" t="str">
        <f ca="1">IFERROR('2122_3'!$D$30,"")</f>
        <v/>
      </c>
      <c r="G40" s="14" t="str">
        <f ca="1">IFERROR('2122_3'!$D$29,"")</f>
        <v/>
      </c>
      <c r="H40" s="12"/>
    </row>
    <row r="41" spans="2:8" ht="16">
      <c r="B41" s="12"/>
      <c r="C41" s="14" t="s">
        <v>27</v>
      </c>
      <c r="D41" s="15" t="s">
        <v>37</v>
      </c>
      <c r="E41" s="40"/>
      <c r="F41" s="14" t="str">
        <f ca="1">IFERROR('2122_4'!$D$27,"")</f>
        <v/>
      </c>
      <c r="G41" s="14" t="str">
        <f ca="1">IFERROR('2122_4'!$D$26,"")</f>
        <v/>
      </c>
      <c r="H41" s="12"/>
    </row>
    <row r="42" spans="2:8" ht="16">
      <c r="B42" s="12"/>
      <c r="C42" s="14" t="s">
        <v>28</v>
      </c>
      <c r="D42" s="15" t="s">
        <v>37</v>
      </c>
      <c r="E42" s="40"/>
      <c r="F42" s="14" t="str">
        <f ca="1">IFERROR('2122_5'!$D$28,"")</f>
        <v/>
      </c>
      <c r="G42" s="14" t="str">
        <f ca="1">IFERROR('2122_5'!$D$27,"")</f>
        <v/>
      </c>
      <c r="H42" s="12"/>
    </row>
    <row r="43" spans="2:8" ht="16">
      <c r="B43" s="12"/>
      <c r="C43" s="12"/>
      <c r="D43" s="12"/>
      <c r="E43" s="12"/>
      <c r="F43" s="12"/>
      <c r="G43" s="12"/>
      <c r="H43" s="12"/>
    </row>
    <row r="44" spans="2:8" ht="16">
      <c r="B44" s="17"/>
      <c r="C44" s="52" t="s">
        <v>42</v>
      </c>
      <c r="D44" s="52"/>
      <c r="E44" s="52"/>
      <c r="F44" s="52"/>
      <c r="G44" s="52"/>
      <c r="H44" s="17"/>
    </row>
    <row r="45" spans="2:8" ht="16">
      <c r="B45" s="17"/>
      <c r="C45" s="17"/>
      <c r="D45" s="17"/>
      <c r="E45" s="17"/>
      <c r="F45" s="17"/>
      <c r="G45" s="17"/>
      <c r="H45" s="17"/>
    </row>
    <row r="46" spans="2:8" ht="16">
      <c r="B46" s="9"/>
      <c r="C46" s="9"/>
      <c r="D46" s="9"/>
      <c r="E46" s="9"/>
      <c r="F46" s="9"/>
      <c r="G46" s="9"/>
      <c r="H46" s="9"/>
    </row>
    <row r="47" spans="2:8" ht="16">
      <c r="B47" s="9"/>
      <c r="C47" s="9"/>
      <c r="D47" s="9"/>
      <c r="E47" s="9"/>
      <c r="F47" s="9"/>
      <c r="G47" s="9"/>
      <c r="H47" s="9"/>
    </row>
  </sheetData>
  <sheetProtection algorithmName="SHA-512" hashValue="fwSLUgc2IaooSLosaFYgONZJAHffQ/u+EySoB9WJ2awKr63u9YNm7QFa+Adu69MkREpxSYIJbD4DmJ4PylNeXw==" saltValue="+uEefl4QBRSFrws87hF+TA==" spinCount="100000" sheet="1" objects="1" scenarios="1"/>
  <protectedRanges>
    <protectedRange sqref="D17:E18 D21:E25 D37:E41 D42 D33:E34" name="Range1"/>
  </protectedRanges>
  <mergeCells count="26">
    <mergeCell ref="B9:H9"/>
    <mergeCell ref="F16:G16"/>
    <mergeCell ref="F17:G17"/>
    <mergeCell ref="B29:H29"/>
    <mergeCell ref="B10:H10"/>
    <mergeCell ref="B12:H12"/>
    <mergeCell ref="B1:H1"/>
    <mergeCell ref="B4:H4"/>
    <mergeCell ref="B5:H5"/>
    <mergeCell ref="B7:H7"/>
    <mergeCell ref="B8:H8"/>
    <mergeCell ref="B2:H2"/>
    <mergeCell ref="C44:G44"/>
    <mergeCell ref="B13:H13"/>
    <mergeCell ref="F25:G25"/>
    <mergeCell ref="F26:G26"/>
    <mergeCell ref="F20:G20"/>
    <mergeCell ref="C19:G19"/>
    <mergeCell ref="F22:G22"/>
    <mergeCell ref="F21:G21"/>
    <mergeCell ref="F24:G24"/>
    <mergeCell ref="F23:G23"/>
    <mergeCell ref="B28:H28"/>
    <mergeCell ref="C15:G15"/>
    <mergeCell ref="C31:G31"/>
    <mergeCell ref="C35:G35"/>
  </mergeCells>
  <phoneticPr fontId="12" type="noConversion"/>
  <conditionalFormatting sqref="D33 F17:G17 D37:D42 F21:G26">
    <cfRule type="expression" dxfId="11" priority="32">
      <formula>D17="Well Above Average Progress"</formula>
    </cfRule>
    <cfRule type="expression" dxfId="10" priority="33">
      <formula>D17="Above Average Progress"</formula>
    </cfRule>
    <cfRule type="expression" dxfId="9" priority="34">
      <formula>D17="Average progress"</formula>
    </cfRule>
    <cfRule type="expression" dxfId="8" priority="35">
      <formula>D17="Below average progress"</formula>
    </cfRule>
    <cfRule type="expression" dxfId="7" priority="36">
      <formula>D17="Well Below Average Progress"</formula>
    </cfRule>
  </conditionalFormatting>
  <conditionalFormatting sqref="D33 D37:D42">
    <cfRule type="expression" dxfId="6"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validation'!$B$1:$B$4</xm:f>
          </x14:formula1>
          <xm:sqref>D33 D37:D42</xm:sqref>
        </x14:dataValidation>
        <x14:dataValidation type="list" allowBlank="1" showInputMessage="1" showErrorMessage="1">
          <x14:formula1>
            <xm:f>'Data validation'!$A$1:$A$5</xm:f>
          </x14:formula1>
          <xm:sqref>C17 C33</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N25" sqref="N25"/>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4">
        <v>0</v>
      </c>
      <c r="D5" s="38">
        <v>0.19642857142857101</v>
      </c>
      <c r="E5" s="38">
        <v>0.23529411764705799</v>
      </c>
      <c r="F5" s="38">
        <v>0.28571428571428498</v>
      </c>
      <c r="G5" s="38">
        <v>0.31818181818181801</v>
      </c>
      <c r="H5" s="3">
        <v>1</v>
      </c>
      <c r="I5" s="1"/>
      <c r="K5" s="4">
        <v>0.2</v>
      </c>
      <c r="L5" s="4">
        <v>0</v>
      </c>
      <c r="M5" s="38">
        <v>0.16129032258064499</v>
      </c>
      <c r="N5" s="38">
        <v>0.196721311475409</v>
      </c>
      <c r="O5" s="38">
        <v>0.25</v>
      </c>
      <c r="P5" s="38">
        <v>0.27500000000000002</v>
      </c>
      <c r="Q5" s="3">
        <v>1</v>
      </c>
    </row>
    <row r="6" spans="1:17">
      <c r="B6" s="4">
        <v>0.3</v>
      </c>
      <c r="C6" s="4">
        <v>0</v>
      </c>
      <c r="D6" s="38">
        <v>0.308823529411764</v>
      </c>
      <c r="E6" s="38">
        <v>0.38095238095237999</v>
      </c>
      <c r="F6" s="38">
        <v>0.46</v>
      </c>
      <c r="G6" s="38">
        <v>0.51923076923076905</v>
      </c>
      <c r="H6" s="3">
        <v>1</v>
      </c>
      <c r="I6" s="1"/>
      <c r="K6" s="4">
        <v>0.3</v>
      </c>
      <c r="L6" s="4">
        <v>0</v>
      </c>
      <c r="M6" s="38">
        <v>0.26315789473684198</v>
      </c>
      <c r="N6" s="38">
        <v>0.33333333333333298</v>
      </c>
      <c r="O6" s="38">
        <v>0.41071428571428498</v>
      </c>
      <c r="P6" s="38">
        <v>0.5</v>
      </c>
      <c r="Q6" s="3">
        <v>1</v>
      </c>
    </row>
    <row r="7" spans="1:17">
      <c r="B7" s="4">
        <v>0.4</v>
      </c>
      <c r="C7" s="4">
        <v>0</v>
      </c>
      <c r="D7" s="38">
        <v>0.4</v>
      </c>
      <c r="E7" s="38">
        <v>0.44642857142857101</v>
      </c>
      <c r="F7" s="38">
        <v>0.47761194029850701</v>
      </c>
      <c r="G7" s="38">
        <v>0.53125</v>
      </c>
      <c r="H7" s="3">
        <v>1</v>
      </c>
      <c r="I7" s="1"/>
      <c r="K7" s="4">
        <v>0.4</v>
      </c>
      <c r="L7" s="4">
        <v>0</v>
      </c>
      <c r="M7" s="38">
        <v>0.371428571428571</v>
      </c>
      <c r="N7" s="38">
        <v>0.41111111111111098</v>
      </c>
      <c r="O7" s="38">
        <v>0.45744680851063801</v>
      </c>
      <c r="P7" s="38">
        <v>0.51249999999999996</v>
      </c>
      <c r="Q7" s="3">
        <v>1</v>
      </c>
    </row>
    <row r="8" spans="1:17">
      <c r="B8" s="4">
        <v>0.45</v>
      </c>
      <c r="C8" s="4">
        <v>0</v>
      </c>
      <c r="D8" s="38">
        <v>0.47826086956521702</v>
      </c>
      <c r="E8" s="38">
        <v>0.52222222222222203</v>
      </c>
      <c r="F8" s="38">
        <v>0.54761904761904701</v>
      </c>
      <c r="G8" s="38">
        <v>0.61386138613861296</v>
      </c>
      <c r="H8" s="3">
        <v>1</v>
      </c>
      <c r="I8" s="1"/>
      <c r="K8" s="4">
        <v>0.45</v>
      </c>
      <c r="L8" s="4">
        <v>0</v>
      </c>
      <c r="M8" s="38">
        <v>0.45283018867924502</v>
      </c>
      <c r="N8" s="38">
        <v>0.483333333333333</v>
      </c>
      <c r="O8" s="38">
        <v>0.52222222222222203</v>
      </c>
      <c r="P8" s="38">
        <v>0.58823529411764697</v>
      </c>
      <c r="Q8" s="3">
        <v>1</v>
      </c>
    </row>
    <row r="9" spans="1:17">
      <c r="B9" s="4">
        <v>0.5</v>
      </c>
      <c r="C9" s="4">
        <v>0</v>
      </c>
      <c r="D9" s="38">
        <v>0.52500000000000002</v>
      </c>
      <c r="E9" s="38">
        <v>0.58333333333333304</v>
      </c>
      <c r="F9" s="38">
        <v>0.62264150943396201</v>
      </c>
      <c r="G9" s="38">
        <v>0.66666666666666596</v>
      </c>
      <c r="H9" s="3">
        <v>1</v>
      </c>
      <c r="I9" s="1"/>
      <c r="K9" s="4">
        <v>0.5</v>
      </c>
      <c r="L9" s="4">
        <v>0</v>
      </c>
      <c r="M9" s="38">
        <v>0.51315789473684204</v>
      </c>
      <c r="N9" s="38">
        <v>0.55384615384615299</v>
      </c>
      <c r="O9" s="38">
        <v>0.59154929577464699</v>
      </c>
      <c r="P9" s="38">
        <v>0.620253164556962</v>
      </c>
      <c r="Q9" s="3">
        <v>1</v>
      </c>
    </row>
    <row r="10" spans="1:17">
      <c r="B10" s="4">
        <v>0.55000000000000004</v>
      </c>
      <c r="C10" s="4">
        <v>0</v>
      </c>
      <c r="D10" s="38">
        <v>0.527272727272727</v>
      </c>
      <c r="E10" s="38">
        <v>0.57894736842105199</v>
      </c>
      <c r="F10" s="38">
        <v>0.62264150943396201</v>
      </c>
      <c r="G10" s="38">
        <v>0.686746987951807</v>
      </c>
      <c r="H10" s="3">
        <v>1</v>
      </c>
      <c r="I10" s="1"/>
      <c r="K10" s="4">
        <v>0.55000000000000004</v>
      </c>
      <c r="L10" s="4">
        <v>0</v>
      </c>
      <c r="M10" s="38">
        <v>0.524752475247524</v>
      </c>
      <c r="N10" s="38">
        <v>0.56060606060606</v>
      </c>
      <c r="O10" s="38">
        <v>0.58823529411764697</v>
      </c>
      <c r="P10" s="38">
        <v>0.67142857142857104</v>
      </c>
      <c r="Q10" s="3">
        <v>1</v>
      </c>
    </row>
    <row r="11" spans="1:17">
      <c r="B11" s="4">
        <v>0.6</v>
      </c>
      <c r="C11" s="4">
        <v>0</v>
      </c>
      <c r="D11" s="38">
        <v>0.62222222222222201</v>
      </c>
      <c r="E11" s="38">
        <v>0.680851063829787</v>
      </c>
      <c r="F11" s="38">
        <v>0.72413793103448199</v>
      </c>
      <c r="G11" s="38">
        <v>0.77083333333333304</v>
      </c>
      <c r="H11" s="3">
        <v>1</v>
      </c>
      <c r="I11" s="1"/>
      <c r="K11" s="4">
        <v>0.6</v>
      </c>
      <c r="L11" s="4">
        <v>0</v>
      </c>
      <c r="M11" s="38">
        <v>0.58974358974358898</v>
      </c>
      <c r="N11" s="38">
        <v>0.65789473684210498</v>
      </c>
      <c r="O11" s="38">
        <v>0.70588235294117596</v>
      </c>
      <c r="P11" s="38">
        <v>0.74444444444444402</v>
      </c>
      <c r="Q11" s="3">
        <v>1</v>
      </c>
    </row>
    <row r="12" spans="1:17">
      <c r="B12" s="4">
        <v>0.7</v>
      </c>
      <c r="C12" s="4">
        <v>0</v>
      </c>
      <c r="D12" s="38">
        <v>0.64705882352941102</v>
      </c>
      <c r="E12" s="38">
        <v>0.70652173913043403</v>
      </c>
      <c r="F12" s="38">
        <v>0.75</v>
      </c>
      <c r="G12" s="38">
        <v>0.78048780487804803</v>
      </c>
      <c r="H12" s="3">
        <v>1</v>
      </c>
      <c r="I12" s="1"/>
      <c r="K12" s="4">
        <v>0.7</v>
      </c>
      <c r="L12" s="4">
        <v>0</v>
      </c>
      <c r="M12" s="38">
        <v>0.65</v>
      </c>
      <c r="N12" s="38">
        <v>0.680851063829787</v>
      </c>
      <c r="O12" s="38">
        <v>0.72527472527472503</v>
      </c>
      <c r="P12" s="38">
        <v>0.76635514018691497</v>
      </c>
      <c r="Q12" s="3">
        <v>1</v>
      </c>
    </row>
    <row r="13" spans="1:17">
      <c r="B13" s="4">
        <v>0.8</v>
      </c>
      <c r="C13" s="4">
        <v>0</v>
      </c>
      <c r="D13" s="38">
        <v>0.74137931034482696</v>
      </c>
      <c r="E13" s="38">
        <v>0.78021978021978</v>
      </c>
      <c r="F13" s="38">
        <v>0.82758620689655105</v>
      </c>
      <c r="G13" s="38">
        <v>0.88372093023255804</v>
      </c>
      <c r="H13" s="3">
        <v>1</v>
      </c>
      <c r="I13" s="1"/>
      <c r="K13" s="4">
        <v>0.8</v>
      </c>
      <c r="L13" s="4">
        <v>0</v>
      </c>
      <c r="M13" s="38">
        <v>0.75490196078431304</v>
      </c>
      <c r="N13" s="38">
        <v>0.79104477611940205</v>
      </c>
      <c r="O13" s="38">
        <v>0.8125</v>
      </c>
      <c r="P13" s="38">
        <v>0.85526315789473595</v>
      </c>
      <c r="Q13" s="3">
        <v>1</v>
      </c>
    </row>
    <row r="14" spans="1:17">
      <c r="B14" s="4">
        <v>1</v>
      </c>
      <c r="C14" s="4">
        <v>0</v>
      </c>
      <c r="D14" s="38">
        <v>0.84166666666666601</v>
      </c>
      <c r="E14" s="38">
        <v>0.85135135135135098</v>
      </c>
      <c r="F14" s="38">
        <v>0.86363636363636298</v>
      </c>
      <c r="G14" s="38">
        <v>0.87804878048780399</v>
      </c>
      <c r="H14" s="3">
        <v>1</v>
      </c>
      <c r="I14" s="1"/>
      <c r="K14" s="4">
        <v>1</v>
      </c>
      <c r="L14" s="4">
        <v>0</v>
      </c>
      <c r="M14" s="38">
        <v>0.78378378378378299</v>
      </c>
      <c r="N14" s="38">
        <v>0.80851063829787195</v>
      </c>
      <c r="O14" s="38">
        <v>0.84415584415584399</v>
      </c>
      <c r="P14" s="38">
        <v>0.875</v>
      </c>
      <c r="Q14" s="3">
        <v>1</v>
      </c>
    </row>
    <row r="15" spans="1:17">
      <c r="B15" s="6"/>
      <c r="C15" s="6"/>
      <c r="D15" s="6"/>
      <c r="E15" s="6"/>
      <c r="F15" s="6"/>
      <c r="G15" s="6"/>
      <c r="H15" s="7"/>
      <c r="I15" s="1"/>
      <c r="K15" s="6"/>
      <c r="L15" s="6"/>
      <c r="M15" s="6"/>
      <c r="N15" s="6"/>
      <c r="O15" s="6"/>
      <c r="P15" s="6"/>
      <c r="Q15" s="7"/>
    </row>
    <row r="16" spans="1:17">
      <c r="A16" t="s">
        <v>15</v>
      </c>
      <c r="B16" t="e">
        <f>IF(BOY_5="",NA(),BOY_5)</f>
        <v>#N/A</v>
      </c>
      <c r="C16" t="e">
        <f>IF(OR(B16="",B16&lt;0,B16&gt;1),NA(),IF(B16=1,0.999,B16))</f>
        <v>#N/A</v>
      </c>
      <c r="I16" s="1"/>
      <c r="K16" s="6"/>
      <c r="L16" s="6"/>
      <c r="M16" s="6"/>
      <c r="N16" s="6"/>
      <c r="O16" s="6"/>
      <c r="P16" s="6"/>
      <c r="Q16" s="7"/>
    </row>
    <row r="17" spans="1:17">
      <c r="A17" t="s">
        <v>16</v>
      </c>
      <c r="B17" t="e">
        <f>IF(EOY_5="",NA(),EOY_5)</f>
        <v>#N/A</v>
      </c>
      <c r="C17" t="e">
        <f>IF(OR(B17="",B17&lt;0,B17&gt;1),NA(),IF(B17=1,0.999,B17))</f>
        <v>#N/A</v>
      </c>
      <c r="I17" s="1"/>
      <c r="K17" s="6"/>
      <c r="L17" s="6"/>
      <c r="M17" s="6"/>
      <c r="N17" s="6"/>
      <c r="O17" s="6"/>
      <c r="P17" s="6"/>
      <c r="Q17" s="7"/>
    </row>
    <row r="18" spans="1:17">
      <c r="A18" t="s">
        <v>17</v>
      </c>
      <c r="B18" t="e">
        <f>IF(goal_BOY_5="",NA(),goal_BOY_5)</f>
        <v>#N/A</v>
      </c>
      <c r="C18" t="e">
        <f>IF(OR(B18="",B18&lt;0,B18&gt;1),NA(),IF(B18=1,0.999,B18))</f>
        <v>#N/A</v>
      </c>
      <c r="I18" s="1"/>
      <c r="K18" s="6"/>
      <c r="L18" s="6"/>
      <c r="M18" s="6"/>
      <c r="N18" s="6"/>
      <c r="O18" s="6"/>
      <c r="P18" s="6"/>
      <c r="Q18" s="7"/>
    </row>
    <row r="20" spans="1:17">
      <c r="A20" s="5" t="s">
        <v>13</v>
      </c>
    </row>
    <row r="21" spans="1:17">
      <c r="A21" s="2" t="s">
        <v>7</v>
      </c>
      <c r="B21" s="1" t="e">
        <f>SUMPRODUCT((B3:B13&lt;=$C$16)*(B4:B14&gt;$C$16),(B4:B14))</f>
        <v>#N/A</v>
      </c>
      <c r="C21" t="e">
        <f>VLOOKUP($B$21,$B$5:$H$14,2,FALSE)</f>
        <v>#N/A</v>
      </c>
      <c r="D21" t="e">
        <f>ROUND(VLOOKUP($B$21,$B$5:$H$14,3,FALSE),2)</f>
        <v>#N/A</v>
      </c>
      <c r="E21" t="e">
        <f>ROUND(VLOOKUP($B$21,$B$5:$H$14,4,FALSE),2)</f>
        <v>#N/A</v>
      </c>
      <c r="F21" t="e">
        <f>ROUND(VLOOKUP($B$21,$B$5:$H$14,5,FALSE),2)</f>
        <v>#N/A</v>
      </c>
      <c r="G21" t="e">
        <f>ROUND(VLOOKUP($B$21,$B$5:$H$14,6,FALSE),2)</f>
        <v>#N/A</v>
      </c>
      <c r="H21" t="e">
        <f>VLOOKUP($B$21,$B$5:$H$14,7,FALSE)</f>
        <v>#N/A</v>
      </c>
      <c r="J21" s="2"/>
    </row>
    <row r="22" spans="1:17">
      <c r="A22" s="2" t="s">
        <v>8</v>
      </c>
      <c r="B22" s="1" t="e">
        <f ca="1">OFFSET(A3,0,SUMPRODUCT((C21:G21&lt;=$C$17)*(D21:H21&gt;$C$17),COLUMN(B21:F21)))</f>
        <v>#N/A</v>
      </c>
      <c r="J22" s="2"/>
      <c r="K22" s="1"/>
    </row>
    <row r="23" spans="1:17">
      <c r="A23" s="2"/>
      <c r="B23" s="1"/>
      <c r="J23" s="2"/>
      <c r="K23" s="1"/>
    </row>
    <row r="24" spans="1:17">
      <c r="A24" s="5" t="s">
        <v>14</v>
      </c>
      <c r="B24" s="1"/>
      <c r="J24" s="2"/>
      <c r="K24" s="1"/>
    </row>
    <row r="25" spans="1:17">
      <c r="A25" s="2" t="s">
        <v>7</v>
      </c>
      <c r="B25" s="1" t="e">
        <f>SUMPRODUCT((B3:B13&lt;=$C$18)*(B4:B14&gt;$C$18),(B4:B14))</f>
        <v>#N/A</v>
      </c>
      <c r="C25" t="e">
        <f>VLOOKUP($B$25,$B$5:$H$14,2,FALSE)</f>
        <v>#N/A</v>
      </c>
      <c r="D25" t="e">
        <f>VLOOKUP($B$25,$B$5:$H$14,3,FALSE)</f>
        <v>#N/A</v>
      </c>
      <c r="E25" t="e">
        <f>VLOOKUP($B$25,$B$5:$H$14,4,FALSE)</f>
        <v>#N/A</v>
      </c>
      <c r="F25" t="e">
        <f>VLOOKUP($B$25,$B$5:$H$14,5,FALSE)</f>
        <v>#N/A</v>
      </c>
      <c r="G25" t="e">
        <f>VLOOKUP($B$25,$B$5:$H$14,6,FALSE)</f>
        <v>#N/A</v>
      </c>
      <c r="H25" t="e">
        <f>VLOOKUP($B$25,$B$5:$H$14,7,FALSE)</f>
        <v>#N/A</v>
      </c>
      <c r="J25" s="2"/>
    </row>
    <row r="26" spans="1:17">
      <c r="A26" s="2" t="s">
        <v>10</v>
      </c>
      <c r="B26" s="1"/>
      <c r="C26" t="e">
        <f>VLOOKUP($B$25,$K$5:$Q$14,2,FALSE)</f>
        <v>#N/A</v>
      </c>
      <c r="D26" t="e">
        <f>VLOOKUP($B$25,$K$5:$Q$14,3,FALSE)</f>
        <v>#N/A</v>
      </c>
      <c r="E26" t="e">
        <f>VLOOKUP($B$25,$K$5:$Q$14,4,FALSE)</f>
        <v>#N/A</v>
      </c>
      <c r="F26" t="e">
        <f>VLOOKUP($B$25,$K$5:$Q$14,5,FALSE)</f>
        <v>#N/A</v>
      </c>
      <c r="G26" t="e">
        <f>VLOOKUP($B$25,$K$5:$Q$14,6,FALSE)</f>
        <v>#N/A</v>
      </c>
      <c r="H26" t="e">
        <f>VLOOKUP($B$25,$K$5:$Q$14,7,FALSE)</f>
        <v>#N/A</v>
      </c>
      <c r="J26" s="2"/>
      <c r="K26" s="1"/>
    </row>
    <row r="27" spans="1:17">
      <c r="A27" s="2" t="s">
        <v>6</v>
      </c>
      <c r="B27" t="e">
        <f ca="1">OFFSET(A25,0,MATCH(goal_5,$B$3:$H$3,FALSE))</f>
        <v>#N/A</v>
      </c>
      <c r="C27" t="e">
        <f ca="1">OFFSET(A25,0,MATCH(goal_5,$B$3:$H$3,FALSE)+1)</f>
        <v>#N/A</v>
      </c>
      <c r="D27" t="e">
        <f ca="1">CONCATENATE(TEXT(ROUND($B$27,2)*100,"0")," - ",TEXT(ROUND($C$27,2),"0%"))</f>
        <v>#N/A</v>
      </c>
    </row>
    <row r="28" spans="1:17">
      <c r="A28" s="2" t="s">
        <v>9</v>
      </c>
      <c r="B28" t="e">
        <f ca="1">OFFSET(A26,0,MATCH(goal_5,$K$3:$Q$3,FALSE))</f>
        <v>#N/A</v>
      </c>
      <c r="C28" t="e">
        <f ca="1">OFFSET(A26,0,MATCH(goal_5,$K$3:$Q$3,FALSE)+1)</f>
        <v>#N/A</v>
      </c>
      <c r="D28" t="e">
        <f ca="1">CONCATENATE(TEXT(ROUND($B$28,2)*100,"0")," - ",TEXT(ROUND($C$28,2),"0%"))</f>
        <v>#N/A</v>
      </c>
    </row>
  </sheetData>
  <sheetProtection algorithmName="SHA-512" hashValue="wzH5fdZ/wVDncwXoslSnHYHyfZrN3la7rXgVdv1yksnfZn/TCzDvfa2QNaZw3+wJYDOsnggZnRXXxlhS7vPHWQ==" saltValue="wrt4GjPTQYQ0SHW48WOimg==" spinCount="100000" sheet="1" objects="1" scenario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workbookViewId="0">
      <selection activeCell="G23" sqref="G23"/>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18</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0.27710843373493899</v>
      </c>
      <c r="E5" s="4">
        <v>0.36</v>
      </c>
      <c r="F5" s="4">
        <v>0.434108527131782</v>
      </c>
      <c r="G5" s="4">
        <v>0.53691275167785202</v>
      </c>
      <c r="H5" s="4">
        <v>1</v>
      </c>
      <c r="K5" s="4">
        <v>0.2</v>
      </c>
      <c r="L5" s="4">
        <v>0</v>
      </c>
      <c r="M5" s="4">
        <v>0.16352201257861601</v>
      </c>
      <c r="N5" s="4">
        <v>0.22222222222222199</v>
      </c>
      <c r="O5" s="4">
        <v>0.27586206896551702</v>
      </c>
      <c r="P5" s="4">
        <v>0.34736842105263099</v>
      </c>
      <c r="Q5" s="4">
        <v>1</v>
      </c>
    </row>
    <row r="6" spans="2:17">
      <c r="B6" s="4">
        <v>0.3</v>
      </c>
      <c r="C6" s="4">
        <v>0</v>
      </c>
      <c r="D6" s="38">
        <v>0.35384615384615298</v>
      </c>
      <c r="E6" s="38">
        <v>0.44155844155844098</v>
      </c>
      <c r="F6" s="38">
        <v>0.5</v>
      </c>
      <c r="G6" s="38">
        <v>0.55882352941176405</v>
      </c>
      <c r="H6" s="3">
        <v>1</v>
      </c>
      <c r="I6" s="1"/>
      <c r="K6" s="4">
        <v>0.3</v>
      </c>
      <c r="L6" s="4">
        <v>0</v>
      </c>
      <c r="M6" s="38">
        <v>0.23684210526315699</v>
      </c>
      <c r="N6" s="38">
        <v>0.295336787564766</v>
      </c>
      <c r="O6" s="38">
        <v>0.34117647058823503</v>
      </c>
      <c r="P6" s="38">
        <v>0.421875</v>
      </c>
      <c r="Q6" s="3">
        <v>1</v>
      </c>
    </row>
    <row r="7" spans="2:17">
      <c r="B7" s="4">
        <v>0.4</v>
      </c>
      <c r="C7" s="4">
        <v>0</v>
      </c>
      <c r="D7" s="38">
        <v>0.45544554455445502</v>
      </c>
      <c r="E7" s="38">
        <v>0.52586206896551702</v>
      </c>
      <c r="F7" s="38">
        <v>0.58750000000000002</v>
      </c>
      <c r="G7" s="38">
        <v>0.64827586206896504</v>
      </c>
      <c r="H7" s="3">
        <v>1</v>
      </c>
      <c r="I7" s="1"/>
      <c r="K7" s="4">
        <v>0.4</v>
      </c>
      <c r="L7" s="4">
        <v>0</v>
      </c>
      <c r="M7" s="38">
        <v>0.33928571428571402</v>
      </c>
      <c r="N7" s="38">
        <v>0.40939597315436199</v>
      </c>
      <c r="O7" s="38">
        <v>0.47142857142857097</v>
      </c>
      <c r="P7" s="38">
        <v>0.535433070866141</v>
      </c>
      <c r="Q7" s="3">
        <v>1</v>
      </c>
    </row>
    <row r="8" spans="2:17">
      <c r="B8" s="4">
        <v>0.5</v>
      </c>
      <c r="C8" s="4">
        <v>0</v>
      </c>
      <c r="D8" s="38">
        <v>0.53932584269662898</v>
      </c>
      <c r="E8" s="38">
        <v>0.60365853658536495</v>
      </c>
      <c r="F8" s="38">
        <v>0.65789473684210498</v>
      </c>
      <c r="G8" s="38">
        <v>0.70967741935483797</v>
      </c>
      <c r="H8" s="3">
        <v>1</v>
      </c>
      <c r="I8" s="1"/>
      <c r="K8" s="4">
        <v>0.5</v>
      </c>
      <c r="L8" s="4">
        <v>0</v>
      </c>
      <c r="M8" s="38">
        <v>0.43333333333333302</v>
      </c>
      <c r="N8" s="38">
        <v>0.49193548387096703</v>
      </c>
      <c r="O8" s="38">
        <v>0.55128205128205099</v>
      </c>
      <c r="P8" s="38">
        <v>0.60714285714285698</v>
      </c>
      <c r="Q8" s="3">
        <v>1</v>
      </c>
    </row>
    <row r="9" spans="2:17">
      <c r="B9" s="4">
        <v>0.6</v>
      </c>
      <c r="C9" s="4">
        <v>0</v>
      </c>
      <c r="D9" s="38">
        <v>0.586666666666666</v>
      </c>
      <c r="E9" s="38">
        <v>0.64912280701754299</v>
      </c>
      <c r="F9" s="38">
        <v>0.70422535211267601</v>
      </c>
      <c r="G9" s="38">
        <v>0.77294685990338097</v>
      </c>
      <c r="H9" s="3">
        <v>1</v>
      </c>
      <c r="I9" s="1"/>
      <c r="K9" s="4">
        <v>0.6</v>
      </c>
      <c r="L9" s="4">
        <v>0</v>
      </c>
      <c r="M9" s="38">
        <v>0.5</v>
      </c>
      <c r="N9" s="38">
        <v>0.57281553398058205</v>
      </c>
      <c r="O9" s="38">
        <v>0.62204724409448797</v>
      </c>
      <c r="P9" s="38">
        <v>0.68918918918918903</v>
      </c>
      <c r="Q9" s="3">
        <v>1</v>
      </c>
    </row>
    <row r="10" spans="2:17">
      <c r="B10" s="4">
        <v>0.7</v>
      </c>
      <c r="C10" s="4">
        <v>0</v>
      </c>
      <c r="D10" s="38">
        <v>0.62580645161290305</v>
      </c>
      <c r="E10" s="38">
        <v>0.68292682926829196</v>
      </c>
      <c r="F10" s="38">
        <v>0.74537037037037002</v>
      </c>
      <c r="G10" s="38">
        <v>0.78651685393258397</v>
      </c>
      <c r="H10" s="3">
        <v>1</v>
      </c>
      <c r="I10" s="1"/>
      <c r="K10" s="4">
        <v>0.7</v>
      </c>
      <c r="L10" s="4">
        <v>0</v>
      </c>
      <c r="M10" s="38">
        <v>0.56603773584905603</v>
      </c>
      <c r="N10" s="38">
        <v>0.63709677419354804</v>
      </c>
      <c r="O10" s="38">
        <v>0.68452380952380898</v>
      </c>
      <c r="P10" s="38">
        <v>0.73846153846153795</v>
      </c>
      <c r="Q10" s="3">
        <v>1</v>
      </c>
    </row>
    <row r="11" spans="2:17">
      <c r="B11" s="4">
        <v>0.8</v>
      </c>
      <c r="C11" s="4">
        <v>0</v>
      </c>
      <c r="D11" s="38">
        <v>0.64367816091954</v>
      </c>
      <c r="E11" s="38">
        <v>0.72064777327935203</v>
      </c>
      <c r="F11" s="38">
        <v>0.79032258064516103</v>
      </c>
      <c r="G11" s="38">
        <v>0.84466019417475702</v>
      </c>
      <c r="H11" s="3">
        <v>1</v>
      </c>
      <c r="I11" s="1"/>
      <c r="K11" s="4">
        <v>0.8</v>
      </c>
      <c r="L11" s="4">
        <v>0</v>
      </c>
      <c r="M11" s="38">
        <v>0.62926829268292594</v>
      </c>
      <c r="N11" s="38">
        <v>0.70454545454545403</v>
      </c>
      <c r="O11" s="38">
        <v>0.75789473684210495</v>
      </c>
      <c r="P11" s="38">
        <v>0.79807692307692302</v>
      </c>
      <c r="Q11" s="3">
        <v>1</v>
      </c>
    </row>
    <row r="12" spans="2:17">
      <c r="B12" s="4">
        <v>1</v>
      </c>
      <c r="C12" s="4">
        <v>0</v>
      </c>
      <c r="D12" s="38">
        <v>0.77064220183486198</v>
      </c>
      <c r="E12" s="38">
        <v>0.82644628099173501</v>
      </c>
      <c r="F12" s="38">
        <v>0.83597883597883504</v>
      </c>
      <c r="G12" s="38">
        <v>0.90510948905109401</v>
      </c>
      <c r="H12" s="3">
        <v>1</v>
      </c>
      <c r="I12" s="1"/>
      <c r="K12" s="4">
        <v>1</v>
      </c>
      <c r="L12" s="4">
        <v>0</v>
      </c>
      <c r="M12" s="38">
        <v>0.72950819672131095</v>
      </c>
      <c r="N12" s="38">
        <v>0.76969696969696899</v>
      </c>
      <c r="O12" s="38">
        <v>0.8</v>
      </c>
      <c r="P12" s="38">
        <v>0.86861313868613099</v>
      </c>
      <c r="Q12" s="3">
        <v>1</v>
      </c>
    </row>
    <row r="13" spans="2:17">
      <c r="B13" s="6"/>
      <c r="C13" s="6"/>
      <c r="D13" s="6"/>
      <c r="E13" s="6"/>
      <c r="F13" s="6"/>
      <c r="G13" s="6"/>
      <c r="H13" s="7"/>
      <c r="I13" s="1"/>
      <c r="K13" s="6"/>
      <c r="L13" s="6"/>
      <c r="M13" s="6"/>
      <c r="N13" s="6"/>
      <c r="O13" s="6"/>
      <c r="P13" s="6"/>
      <c r="Q13" s="7"/>
    </row>
    <row r="14" spans="2:17">
      <c r="B14" s="6"/>
      <c r="C14" s="6"/>
      <c r="D14" s="6"/>
      <c r="E14" s="6"/>
      <c r="F14" s="6"/>
      <c r="G14" s="6"/>
      <c r="H14" s="7"/>
      <c r="I14" s="1"/>
      <c r="K14" s="6"/>
      <c r="L14" s="6"/>
      <c r="M14" s="6"/>
      <c r="N14" s="6"/>
      <c r="O14" s="6"/>
      <c r="P14" s="6"/>
      <c r="Q14" s="7"/>
    </row>
    <row r="15" spans="2:17">
      <c r="B15" s="6"/>
      <c r="C15" s="6"/>
      <c r="D15" s="6"/>
      <c r="E15" s="6"/>
      <c r="F15" s="6"/>
      <c r="G15" s="6"/>
      <c r="H15" s="7"/>
      <c r="I15" s="1"/>
      <c r="K15" s="6"/>
      <c r="L15" s="6"/>
      <c r="M15" s="6"/>
      <c r="N15" s="6"/>
      <c r="O15" s="6"/>
      <c r="P15" s="6"/>
      <c r="Q15"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SUMPRODUCT((B3:B11&lt;=$C$17)*(B4:B12&gt;$C$17),(B4:B12))</f>
        <v>#N/A</v>
      </c>
      <c r="C22" t="e">
        <f>VLOOKUP($B$22,$B$5:$H$12,2,FALSE)</f>
        <v>#N/A</v>
      </c>
      <c r="D22" t="e">
        <f>ROUND(VLOOKUP($B$22,$B$5:$H$12,3,FALSE),2)</f>
        <v>#N/A</v>
      </c>
      <c r="E22" t="e">
        <f>ROUND(VLOOKUP($B$22,$B$5:$H$12,4,FALSE),2)</f>
        <v>#N/A</v>
      </c>
      <c r="F22" t="e">
        <f>ROUND(VLOOKUP($B$22,$B$5:$H$12,5,FALSE),2)</f>
        <v>#N/A</v>
      </c>
      <c r="G22" t="e">
        <f>ROUND(VLOOKUP($B$22,$B$5:$H$12,6,FALSE),2)</f>
        <v>#N/A</v>
      </c>
      <c r="H22" t="e">
        <f>VLOOKUP($B$22,$B$5:$H$12,7,FALSE)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SUMPRODUCT((B3:B11&lt;=$C$19)*(B4:B12&gt;$C$19),(B4:B12))</f>
        <v>#N/A</v>
      </c>
      <c r="C26" t="e">
        <f>VLOOKUP($B$26,$B$5:$H$12,2,FALSE)</f>
        <v>#N/A</v>
      </c>
      <c r="D26" t="e">
        <f>VLOOKUP($B$26,$B$5:$H$12,3,FALSE)</f>
        <v>#N/A</v>
      </c>
      <c r="E26" t="e">
        <f>VLOOKUP($B$26,$B$5:$H$12,4,FALSE)</f>
        <v>#N/A</v>
      </c>
      <c r="F26" t="e">
        <f>VLOOKUP($B$26,$B$5:$H$12,5,FALSE)</f>
        <v>#N/A</v>
      </c>
      <c r="G26" t="e">
        <f>VLOOKUP($B$26,$B$5:$H$12,6,FALSE)</f>
        <v>#N/A</v>
      </c>
      <c r="H26" t="e">
        <f>VLOOKUP($B$26,$B$5:$H$12,7,FALSE)</f>
        <v>#N/A</v>
      </c>
      <c r="J26" s="2"/>
    </row>
    <row r="27" spans="1:11">
      <c r="A27" s="2" t="s">
        <v>10</v>
      </c>
      <c r="B27" s="1"/>
      <c r="C27" t="e">
        <f>VLOOKUP($B$26,$K$5:$Q$12,2,FALSE)</f>
        <v>#N/A</v>
      </c>
      <c r="D27" t="e">
        <f>VLOOKUP($B$26,$K$5:$Q$12,3,FALSE)</f>
        <v>#N/A</v>
      </c>
      <c r="E27" t="e">
        <f>VLOOKUP($B$26,$K$5:$Q$12,4,FALSE)</f>
        <v>#N/A</v>
      </c>
      <c r="F27" t="e">
        <f>VLOOKUP($B$26,$K$5:$Q$12,5,FALSE)</f>
        <v>#N/A</v>
      </c>
      <c r="G27" t="e">
        <f>VLOOKUP($B$26,$K$5:$Q$12,6,FALSE)</f>
        <v>#N/A</v>
      </c>
      <c r="H27" t="e">
        <f>VLOOKUP($B$26,$K$5:$Q$12,7,FALSE)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1sp26TzmUQQCWAPoDcnZy/DLDO3X4y517iySaLSoFcT1sWMwHL1OOB6dQaSbn3AjaqpociMsM7uP7VskCRlx3A==" saltValue="KARdt18m64gtdYUwxXEmeg==" spinCount="100000" sheet="1" objects="1" scenarios="1"/>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workbookViewId="0">
      <selection activeCell="F19" sqref="F19"/>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0.19642857142857101</v>
      </c>
      <c r="E5" s="4">
        <v>0.234848484848484</v>
      </c>
      <c r="F5" s="4">
        <v>0.302752293577981</v>
      </c>
      <c r="G5" s="4">
        <v>0.359375</v>
      </c>
      <c r="H5" s="4">
        <v>1</v>
      </c>
      <c r="K5" s="4">
        <v>0.2</v>
      </c>
      <c r="L5" s="4">
        <v>0</v>
      </c>
      <c r="M5" s="4">
        <v>0.130653266331658</v>
      </c>
      <c r="N5" s="4">
        <v>0.16312056737588601</v>
      </c>
      <c r="O5" s="4">
        <v>0.2</v>
      </c>
      <c r="P5" s="4">
        <v>0.27234042553191401</v>
      </c>
      <c r="Q5" s="4">
        <v>1</v>
      </c>
    </row>
    <row r="6" spans="2:17">
      <c r="B6" s="4">
        <v>0.3</v>
      </c>
      <c r="C6" s="4">
        <v>0</v>
      </c>
      <c r="D6" s="38">
        <v>0.32679738562091498</v>
      </c>
      <c r="E6" s="38">
        <v>0.37016574585635298</v>
      </c>
      <c r="F6" s="38">
        <v>0.42</v>
      </c>
      <c r="G6" s="38">
        <v>0.5</v>
      </c>
      <c r="H6" s="3">
        <v>1</v>
      </c>
      <c r="I6" s="1"/>
      <c r="K6" s="4">
        <v>0.3</v>
      </c>
      <c r="L6" s="4">
        <v>0</v>
      </c>
      <c r="M6" s="38">
        <v>0.24489795918367299</v>
      </c>
      <c r="N6" s="38">
        <v>0.28767123287671198</v>
      </c>
      <c r="O6" s="38">
        <v>0.3359375</v>
      </c>
      <c r="P6" s="38">
        <v>0.39568345323741</v>
      </c>
      <c r="Q6" s="3">
        <v>1</v>
      </c>
    </row>
    <row r="7" spans="2:17">
      <c r="B7" s="4">
        <v>0.4</v>
      </c>
      <c r="C7" s="4">
        <v>0</v>
      </c>
      <c r="D7" s="38">
        <v>0.39912280701754299</v>
      </c>
      <c r="E7" s="38">
        <v>0.476190476190476</v>
      </c>
      <c r="F7" s="38">
        <v>0.53216374269005795</v>
      </c>
      <c r="G7" s="38">
        <v>0.58181818181818101</v>
      </c>
      <c r="H7" s="3">
        <v>1</v>
      </c>
      <c r="I7" s="1"/>
      <c r="K7" s="4">
        <v>0.4</v>
      </c>
      <c r="L7" s="4">
        <v>0</v>
      </c>
      <c r="M7" s="38">
        <v>0.33434650455927001</v>
      </c>
      <c r="N7" s="38">
        <v>0.37356321839080397</v>
      </c>
      <c r="O7" s="38">
        <v>0.425414364640883</v>
      </c>
      <c r="P7" s="38">
        <v>0.47783251231527002</v>
      </c>
      <c r="Q7" s="3">
        <v>1</v>
      </c>
    </row>
    <row r="8" spans="2:17">
      <c r="B8" s="4">
        <v>0.45</v>
      </c>
      <c r="C8" s="4">
        <v>0</v>
      </c>
      <c r="D8" s="38">
        <v>0.49342105263157798</v>
      </c>
      <c r="E8" s="38">
        <v>0.53416149068322905</v>
      </c>
      <c r="F8" s="38">
        <v>0.58113207547169798</v>
      </c>
      <c r="G8" s="38">
        <v>0.63173652694610705</v>
      </c>
      <c r="H8" s="3">
        <v>1</v>
      </c>
      <c r="I8" s="1"/>
      <c r="K8" s="4">
        <v>0.45</v>
      </c>
      <c r="L8" s="4">
        <v>0</v>
      </c>
      <c r="M8" s="38">
        <v>0.41176470588235198</v>
      </c>
      <c r="N8" s="38">
        <v>0.46341463414634099</v>
      </c>
      <c r="O8" s="38">
        <v>0.50276243093922601</v>
      </c>
      <c r="P8" s="38">
        <v>0.56015037593984895</v>
      </c>
      <c r="Q8" s="3">
        <v>1</v>
      </c>
    </row>
    <row r="9" spans="2:17">
      <c r="B9" s="4">
        <v>0.5</v>
      </c>
      <c r="C9" s="4">
        <v>0</v>
      </c>
      <c r="D9" s="38">
        <v>0.525316455696202</v>
      </c>
      <c r="E9" s="38">
        <v>0.58333333333333304</v>
      </c>
      <c r="F9" s="38">
        <v>0.63841807909604498</v>
      </c>
      <c r="G9" s="38">
        <v>0.68965517241379304</v>
      </c>
      <c r="H9" s="3">
        <v>1</v>
      </c>
      <c r="I9" s="1"/>
      <c r="K9" s="4">
        <v>0.5</v>
      </c>
      <c r="L9" s="4">
        <v>0</v>
      </c>
      <c r="M9" s="38">
        <v>0.44736842105263103</v>
      </c>
      <c r="N9" s="38">
        <v>0.50326797385620903</v>
      </c>
      <c r="O9" s="38">
        <v>0.546875</v>
      </c>
      <c r="P9" s="38">
        <v>0.59893048128342197</v>
      </c>
      <c r="Q9" s="3">
        <v>1</v>
      </c>
    </row>
    <row r="10" spans="2:17">
      <c r="B10" s="4">
        <v>0.55000000000000004</v>
      </c>
      <c r="C10" s="4">
        <v>0</v>
      </c>
      <c r="D10" s="38">
        <v>0.57377049180327799</v>
      </c>
      <c r="E10" s="38">
        <v>0.61788617886178798</v>
      </c>
      <c r="F10" s="38">
        <v>0.66023166023166002</v>
      </c>
      <c r="G10" s="38">
        <v>0.71376811594202805</v>
      </c>
      <c r="H10" s="3">
        <v>1</v>
      </c>
      <c r="I10" s="1"/>
      <c r="K10" s="4">
        <v>0.55000000000000004</v>
      </c>
      <c r="L10" s="4">
        <v>0</v>
      </c>
      <c r="M10" s="38">
        <v>0.51785714285714202</v>
      </c>
      <c r="N10" s="38">
        <v>0.56621004566209998</v>
      </c>
      <c r="O10" s="38">
        <v>0.60773480662983403</v>
      </c>
      <c r="P10" s="38">
        <v>0.64925373134328301</v>
      </c>
      <c r="Q10" s="3">
        <v>1</v>
      </c>
    </row>
    <row r="11" spans="2:17">
      <c r="B11" s="4">
        <v>0.6</v>
      </c>
      <c r="C11" s="4">
        <v>0</v>
      </c>
      <c r="D11" s="38">
        <v>0.58333333333333304</v>
      </c>
      <c r="E11" s="38">
        <v>0.635568513119533</v>
      </c>
      <c r="F11" s="38">
        <v>0.67910447761194004</v>
      </c>
      <c r="G11" s="38">
        <v>0.74482758620689604</v>
      </c>
      <c r="H11" s="3">
        <v>1</v>
      </c>
      <c r="I11" s="1"/>
      <c r="K11" s="4">
        <v>0.6</v>
      </c>
      <c r="L11" s="4">
        <v>0</v>
      </c>
      <c r="M11" s="38">
        <v>0.52447552447552404</v>
      </c>
      <c r="N11" s="38">
        <v>0.57608695652173902</v>
      </c>
      <c r="O11" s="38">
        <v>0.625</v>
      </c>
      <c r="P11" s="38">
        <v>0.67788461538461497</v>
      </c>
      <c r="Q11" s="3">
        <v>1</v>
      </c>
    </row>
    <row r="12" spans="2:17">
      <c r="B12" s="4">
        <v>0.7</v>
      </c>
      <c r="C12" s="4">
        <v>0</v>
      </c>
      <c r="D12" s="38">
        <v>0.625</v>
      </c>
      <c r="E12" s="38">
        <v>0.68639053254437798</v>
      </c>
      <c r="F12" s="38">
        <v>0.74460431654676196</v>
      </c>
      <c r="G12" s="38">
        <v>0.787755102040816</v>
      </c>
      <c r="H12" s="3">
        <v>1</v>
      </c>
      <c r="I12" s="1"/>
      <c r="K12" s="4">
        <v>0.7</v>
      </c>
      <c r="L12" s="4">
        <v>0</v>
      </c>
      <c r="M12" s="38">
        <v>0.58865248226950295</v>
      </c>
      <c r="N12" s="38">
        <v>0.64666666666666595</v>
      </c>
      <c r="O12" s="38">
        <v>0.69354838709677402</v>
      </c>
      <c r="P12" s="38">
        <v>0.74380165289256095</v>
      </c>
      <c r="Q12" s="3">
        <v>1</v>
      </c>
    </row>
    <row r="13" spans="2:17">
      <c r="B13" s="4">
        <v>0.8</v>
      </c>
      <c r="C13" s="4">
        <v>0</v>
      </c>
      <c r="D13" s="38">
        <v>0.67597765363128404</v>
      </c>
      <c r="E13" s="38">
        <v>0.73758865248226901</v>
      </c>
      <c r="F13" s="38">
        <v>0.76190476190476097</v>
      </c>
      <c r="G13" s="38">
        <v>0.83064516129032195</v>
      </c>
      <c r="H13" s="3">
        <v>1</v>
      </c>
      <c r="I13" s="1"/>
      <c r="K13" s="4">
        <v>0.8</v>
      </c>
      <c r="L13" s="4">
        <v>0</v>
      </c>
      <c r="M13" s="38">
        <v>0.67219917012448105</v>
      </c>
      <c r="N13" s="38">
        <v>0.71428571428571397</v>
      </c>
      <c r="O13" s="38">
        <v>0.75732217573221705</v>
      </c>
      <c r="P13" s="38">
        <v>0.79585798816567999</v>
      </c>
      <c r="Q13" s="3">
        <v>1</v>
      </c>
    </row>
    <row r="14" spans="2:17">
      <c r="B14" s="4">
        <v>0.9</v>
      </c>
      <c r="C14" s="4">
        <v>0</v>
      </c>
      <c r="D14" s="38">
        <v>0.72847682119205204</v>
      </c>
      <c r="E14" s="38">
        <v>0.78658536585365801</v>
      </c>
      <c r="F14" s="38">
        <v>0.83084577114427804</v>
      </c>
      <c r="G14" s="38">
        <v>0.87719298245613997</v>
      </c>
      <c r="H14" s="3">
        <v>1</v>
      </c>
      <c r="I14" s="1"/>
      <c r="K14" s="4">
        <v>0.9</v>
      </c>
      <c r="L14" s="4">
        <v>0</v>
      </c>
      <c r="M14" s="38">
        <v>0.739884393063583</v>
      </c>
      <c r="N14" s="38">
        <v>0.77115987460815005</v>
      </c>
      <c r="O14" s="38">
        <v>0.81407035175879305</v>
      </c>
      <c r="P14" s="38">
        <v>0.86192468619246798</v>
      </c>
      <c r="Q14" s="3">
        <v>1</v>
      </c>
    </row>
    <row r="15" spans="2:17">
      <c r="B15" s="4">
        <v>1</v>
      </c>
      <c r="C15" s="4">
        <v>0</v>
      </c>
      <c r="D15" s="38">
        <v>0.848314606741573</v>
      </c>
      <c r="E15" s="38">
        <v>0.85635359116022003</v>
      </c>
      <c r="F15" s="38">
        <v>0.952380952380952</v>
      </c>
      <c r="G15" s="38">
        <v>0.98870056497175096</v>
      </c>
      <c r="H15" s="3">
        <v>1</v>
      </c>
      <c r="I15" s="1"/>
      <c r="K15" s="4">
        <v>1</v>
      </c>
      <c r="L15" s="4">
        <v>0</v>
      </c>
      <c r="M15" s="38">
        <v>0.79274611398963701</v>
      </c>
      <c r="N15" s="38">
        <v>0.87096774193548299</v>
      </c>
      <c r="O15" s="38">
        <v>0.87709497206703901</v>
      </c>
      <c r="P15" s="38">
        <v>0.972067039106145</v>
      </c>
      <c r="Q15" s="3">
        <v>1</v>
      </c>
    </row>
    <row r="16" spans="2:17">
      <c r="B16" s="6"/>
      <c r="C16" s="6"/>
      <c r="D16" s="6"/>
      <c r="E16" s="6"/>
      <c r="F16" s="6"/>
      <c r="G16" s="6"/>
      <c r="H16" s="7"/>
      <c r="I16" s="1"/>
      <c r="K16" s="6"/>
      <c r="L16" s="6"/>
      <c r="M16" s="6"/>
      <c r="N16" s="6"/>
      <c r="O16" s="6"/>
      <c r="P16" s="6"/>
      <c r="Q16"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SUMPRODUCT((B3:B14&lt;=$C$17)*(B4:B15&gt;$C$17),(B4:B15))</f>
        <v>#N/A</v>
      </c>
      <c r="C22" t="e">
        <f>VLOOKUP($B$22,$B$5:$H$15,2,FALSE)</f>
        <v>#N/A</v>
      </c>
      <c r="D22" t="e">
        <f>ROUND(VLOOKUP($B$22,$B$5:$H$15,3,FALSE),2)</f>
        <v>#N/A</v>
      </c>
      <c r="E22" t="e">
        <f>ROUND(VLOOKUP($B$22,$B$5:$H$15,4,FALSE),2)</f>
        <v>#N/A</v>
      </c>
      <c r="F22" t="e">
        <f>ROUND(VLOOKUP($B$22,$B$5:$H$15,5,FALSE),2)</f>
        <v>#N/A</v>
      </c>
      <c r="G22" t="e">
        <f>ROUND(VLOOKUP($B$22,$B$5:$H$15,6,FALSE),2)</f>
        <v>#N/A</v>
      </c>
      <c r="H22" t="e">
        <f>VLOOKUP($B$22,$B$5:$H$15,7,FALSE)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i0phiPnQmRcTxrVy7zT++lle+vf4mmXGa+Ym/nDadXdNega0RO0lknqvfEH655tekxTd7Nfb7K9VpjPivsVdFQ==" saltValue="tFng9AX7+zkh91ZBtsizJg==" spinCount="100000" sheet="1" objects="1" scenarios="1"/>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3" workbookViewId="0">
      <selection activeCell="F20" sqref="F20"/>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0.201970443349753</v>
      </c>
      <c r="E5" s="4">
        <v>0.23529411764705799</v>
      </c>
      <c r="F5" s="4">
        <v>0.26490066225165498</v>
      </c>
      <c r="G5" s="4">
        <v>0.301369863013698</v>
      </c>
      <c r="H5" s="4">
        <v>1</v>
      </c>
      <c r="K5" s="4">
        <v>0.2</v>
      </c>
      <c r="L5" s="4">
        <v>0</v>
      </c>
      <c r="M5" s="4">
        <v>0.135245901639344</v>
      </c>
      <c r="N5" s="4">
        <v>0.16393442622950799</v>
      </c>
      <c r="O5" s="4">
        <v>0.210843373493975</v>
      </c>
      <c r="P5" s="4">
        <v>0.22413793103448201</v>
      </c>
      <c r="Q5" s="4">
        <v>1</v>
      </c>
    </row>
    <row r="6" spans="2:17">
      <c r="B6" s="4">
        <v>0.3</v>
      </c>
      <c r="C6" s="4">
        <v>0</v>
      </c>
      <c r="D6" s="38">
        <v>0.335616438356164</v>
      </c>
      <c r="E6" s="38">
        <v>0.36666666666666597</v>
      </c>
      <c r="F6" s="38">
        <v>0.39837398373983701</v>
      </c>
      <c r="G6" s="38">
        <v>0.46188340807174799</v>
      </c>
      <c r="H6" s="3">
        <v>1</v>
      </c>
      <c r="I6" s="1"/>
      <c r="K6" s="4">
        <v>0.3</v>
      </c>
      <c r="L6" s="4">
        <v>0</v>
      </c>
      <c r="M6" s="38">
        <v>0.22310756972111501</v>
      </c>
      <c r="N6" s="38">
        <v>0.27027027027027001</v>
      </c>
      <c r="O6" s="38">
        <v>0.30555555555555503</v>
      </c>
      <c r="P6" s="38">
        <v>0.37668161434977498</v>
      </c>
      <c r="Q6" s="3">
        <v>1</v>
      </c>
    </row>
    <row r="7" spans="2:17">
      <c r="B7" s="4">
        <v>0.4</v>
      </c>
      <c r="C7" s="4">
        <v>0</v>
      </c>
      <c r="D7" s="38">
        <v>0.399014778325123</v>
      </c>
      <c r="E7" s="38">
        <v>0.44680851063829702</v>
      </c>
      <c r="F7" s="38">
        <v>0.502564102564102</v>
      </c>
      <c r="G7" s="38">
        <v>0.55462184873949505</v>
      </c>
      <c r="H7" s="3">
        <v>1</v>
      </c>
      <c r="I7" s="1"/>
      <c r="K7" s="4">
        <v>0.4</v>
      </c>
      <c r="L7" s="4">
        <v>0</v>
      </c>
      <c r="M7" s="38">
        <v>0.32885906040268398</v>
      </c>
      <c r="N7" s="38">
        <v>0.36864406779661002</v>
      </c>
      <c r="O7" s="38">
        <v>0.404878048780487</v>
      </c>
      <c r="P7" s="38">
        <v>0.45911949685534498</v>
      </c>
      <c r="Q7" s="3">
        <v>1</v>
      </c>
    </row>
    <row r="8" spans="2:17">
      <c r="B8" s="4">
        <v>0.45</v>
      </c>
      <c r="C8" s="4">
        <v>0</v>
      </c>
      <c r="D8" s="38">
        <v>0.47659574468085097</v>
      </c>
      <c r="E8" s="38">
        <v>0.52694610778443096</v>
      </c>
      <c r="F8" s="38">
        <v>0.56034482758620596</v>
      </c>
      <c r="G8" s="38">
        <v>0.60975609756097504</v>
      </c>
      <c r="H8" s="3">
        <v>1</v>
      </c>
      <c r="I8" s="1"/>
      <c r="K8" s="4">
        <v>0.45</v>
      </c>
      <c r="L8" s="4">
        <v>0</v>
      </c>
      <c r="M8" s="38">
        <v>0.39204545454545398</v>
      </c>
      <c r="N8" s="38">
        <v>0.4375</v>
      </c>
      <c r="O8" s="38">
        <v>0.475972540045766</v>
      </c>
      <c r="P8" s="38">
        <v>0.53110047846889896</v>
      </c>
      <c r="Q8" s="3">
        <v>1</v>
      </c>
    </row>
    <row r="9" spans="2:17">
      <c r="B9" s="4">
        <v>0.5</v>
      </c>
      <c r="C9" s="4">
        <v>0</v>
      </c>
      <c r="D9" s="38">
        <v>0.52534562211981495</v>
      </c>
      <c r="E9" s="38">
        <v>0.56074766355140104</v>
      </c>
      <c r="F9" s="38">
        <v>0.60727272727272696</v>
      </c>
      <c r="G9" s="38">
        <v>0.661087866108786</v>
      </c>
      <c r="H9" s="3">
        <v>1</v>
      </c>
      <c r="I9" s="1"/>
      <c r="K9" s="4">
        <v>0.5</v>
      </c>
      <c r="L9" s="4">
        <v>0</v>
      </c>
      <c r="M9" s="38">
        <v>0.44852941176470501</v>
      </c>
      <c r="N9" s="38">
        <v>0.49576271186440601</v>
      </c>
      <c r="O9" s="38">
        <v>0.52709359605911299</v>
      </c>
      <c r="P9" s="38">
        <v>0.574007220216606</v>
      </c>
      <c r="Q9" s="3">
        <v>1</v>
      </c>
    </row>
    <row r="10" spans="2:17">
      <c r="B10" s="4">
        <v>0.55000000000000004</v>
      </c>
      <c r="C10" s="4">
        <v>0</v>
      </c>
      <c r="D10" s="38">
        <v>0.57534246575342396</v>
      </c>
      <c r="E10" s="38">
        <v>0.61290322580645096</v>
      </c>
      <c r="F10" s="38">
        <v>0.65269461077844304</v>
      </c>
      <c r="G10" s="38">
        <v>0.69189189189189104</v>
      </c>
      <c r="H10" s="3">
        <v>1</v>
      </c>
      <c r="I10" s="1"/>
      <c r="K10" s="4">
        <v>0.55000000000000004</v>
      </c>
      <c r="L10" s="4">
        <v>0</v>
      </c>
      <c r="M10" s="38">
        <v>0.50557620817843796</v>
      </c>
      <c r="N10" s="38">
        <v>0.55913978494623595</v>
      </c>
      <c r="O10" s="38">
        <v>0.58421052631578896</v>
      </c>
      <c r="P10" s="38">
        <v>0.62096774193548299</v>
      </c>
      <c r="Q10" s="3">
        <v>1</v>
      </c>
    </row>
    <row r="11" spans="2:17">
      <c r="B11" s="4">
        <v>0.6</v>
      </c>
      <c r="C11" s="4">
        <v>0</v>
      </c>
      <c r="D11" s="38">
        <v>0.60679611650485399</v>
      </c>
      <c r="E11" s="38">
        <v>0.64497041420118295</v>
      </c>
      <c r="F11" s="38">
        <v>0.68729641693811006</v>
      </c>
      <c r="G11" s="38">
        <v>0.73333333333333295</v>
      </c>
      <c r="H11" s="3">
        <v>1</v>
      </c>
      <c r="I11" s="1"/>
      <c r="K11" s="4">
        <v>0.6</v>
      </c>
      <c r="L11" s="4">
        <v>0</v>
      </c>
      <c r="M11" s="38">
        <v>0.53600000000000003</v>
      </c>
      <c r="N11" s="38">
        <v>0.58525345622119795</v>
      </c>
      <c r="O11" s="38">
        <v>0.62209302325581295</v>
      </c>
      <c r="P11" s="38">
        <v>0.68</v>
      </c>
      <c r="Q11" s="3">
        <v>1</v>
      </c>
    </row>
    <row r="12" spans="2:17">
      <c r="B12" s="4">
        <v>0.7</v>
      </c>
      <c r="C12" s="4">
        <v>0</v>
      </c>
      <c r="D12" s="38">
        <v>0.64263322884012497</v>
      </c>
      <c r="E12" s="38">
        <v>0.68848167539267002</v>
      </c>
      <c r="F12" s="38">
        <v>0.734615384615384</v>
      </c>
      <c r="G12" s="38">
        <v>0.78703703703703698</v>
      </c>
      <c r="H12" s="3">
        <v>1</v>
      </c>
      <c r="I12" s="1"/>
      <c r="K12" s="4">
        <v>0.7</v>
      </c>
      <c r="L12" s="4">
        <v>0</v>
      </c>
      <c r="M12" s="38">
        <v>0.59090909090909005</v>
      </c>
      <c r="N12" s="38">
        <v>0.64986737400530503</v>
      </c>
      <c r="O12" s="38">
        <v>0.69435215946843798</v>
      </c>
      <c r="P12" s="38">
        <v>0.729970326409495</v>
      </c>
      <c r="Q12" s="3">
        <v>1</v>
      </c>
    </row>
    <row r="13" spans="2:17">
      <c r="B13" s="4">
        <v>0.8</v>
      </c>
      <c r="C13" s="4">
        <v>0</v>
      </c>
      <c r="D13" s="38">
        <v>0.706806282722513</v>
      </c>
      <c r="E13" s="38">
        <v>0.75</v>
      </c>
      <c r="F13" s="38">
        <v>0.78010471204188403</v>
      </c>
      <c r="G13" s="38">
        <v>0.83695652173913004</v>
      </c>
      <c r="H13" s="3">
        <v>1</v>
      </c>
      <c r="I13" s="1"/>
      <c r="K13" s="4">
        <v>0.8</v>
      </c>
      <c r="L13" s="4">
        <v>0</v>
      </c>
      <c r="M13" s="38">
        <v>0.68192219679633803</v>
      </c>
      <c r="N13" s="38">
        <v>0.71527777777777701</v>
      </c>
      <c r="O13" s="38">
        <v>0.75806451612903203</v>
      </c>
      <c r="P13" s="38">
        <v>0.793333333333333</v>
      </c>
      <c r="Q13" s="3">
        <v>1</v>
      </c>
    </row>
    <row r="14" spans="2:17">
      <c r="B14" s="4">
        <v>0.9</v>
      </c>
      <c r="C14" s="4">
        <v>0</v>
      </c>
      <c r="D14" s="38">
        <v>0.77122641509433898</v>
      </c>
      <c r="E14" s="38">
        <v>0.80379746835443</v>
      </c>
      <c r="F14" s="38">
        <v>0.84482758620689602</v>
      </c>
      <c r="G14" s="38">
        <v>0.87692307692307603</v>
      </c>
      <c r="H14" s="3">
        <v>1</v>
      </c>
      <c r="I14" s="1"/>
      <c r="K14" s="4">
        <v>0.9</v>
      </c>
      <c r="L14" s="4">
        <v>0</v>
      </c>
      <c r="M14" s="38">
        <v>0.75490196078431304</v>
      </c>
      <c r="N14" s="38">
        <v>0.79472140762463295</v>
      </c>
      <c r="O14" s="38">
        <v>0.8075</v>
      </c>
      <c r="P14" s="38">
        <v>0.85074626865671599</v>
      </c>
      <c r="Q14" s="3">
        <v>1</v>
      </c>
    </row>
    <row r="15" spans="2:17">
      <c r="B15" s="4">
        <v>1</v>
      </c>
      <c r="C15" s="4">
        <v>0</v>
      </c>
      <c r="D15" s="38">
        <v>0.87136929460580903</v>
      </c>
      <c r="E15" s="38">
        <v>0.89864864864864802</v>
      </c>
      <c r="F15" s="38">
        <v>0.97444089456868999</v>
      </c>
      <c r="G15" s="38">
        <v>0.99156118143459904</v>
      </c>
      <c r="H15" s="3">
        <v>1</v>
      </c>
      <c r="I15" s="1"/>
      <c r="K15" s="4">
        <v>1</v>
      </c>
      <c r="L15" s="4">
        <v>0</v>
      </c>
      <c r="M15" s="38">
        <v>0.838842975206611</v>
      </c>
      <c r="N15" s="38">
        <v>0.86394557823129203</v>
      </c>
      <c r="O15" s="38">
        <v>0.92993630573248398</v>
      </c>
      <c r="P15" s="38">
        <v>0.97907949790794901</v>
      </c>
      <c r="Q15" s="3">
        <v>1</v>
      </c>
    </row>
    <row r="16" spans="2:17">
      <c r="B16" s="6"/>
      <c r="C16" s="6"/>
      <c r="D16" s="6"/>
      <c r="E16" s="6"/>
      <c r="F16" s="6"/>
      <c r="G16" s="6"/>
      <c r="H16" s="7"/>
      <c r="I16" s="1"/>
      <c r="K16" s="6"/>
      <c r="L16" s="6"/>
      <c r="M16" s="6"/>
      <c r="N16" s="6"/>
      <c r="O16" s="6"/>
      <c r="P16" s="6"/>
      <c r="Q16"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SUMPRODUCT((B3:B14&lt;=$C$17)*(B4:B15&gt;$C$17),(B4:B15))</f>
        <v>#N/A</v>
      </c>
      <c r="C22" t="e">
        <f>VLOOKUP($B$22,$B$5:$H$15,2,FALSE)</f>
        <v>#N/A</v>
      </c>
      <c r="D22" t="e">
        <f>ROUND(VLOOKUP($B$22,$B$5:$H$15,3,FALSE),2)</f>
        <v>#N/A</v>
      </c>
      <c r="E22" t="e">
        <f>ROUND(VLOOKUP($B$22,$B$5:$H$15,4,FALSE),2)</f>
        <v>#N/A</v>
      </c>
      <c r="F22" t="e">
        <f>ROUND(VLOOKUP($B$22,$B$5:$H$15,5,FALSE),2)</f>
        <v>#N/A</v>
      </c>
      <c r="G22" t="e">
        <f>ROUND(VLOOKUP($B$22,$B$5:$H$15,6,FALSE),2)</f>
        <v>#N/A</v>
      </c>
      <c r="H22" t="e">
        <f>VLOOKUP($B$22,$B$5:$H$15,7,FALSE)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EFzTMIg6ElOlR465oe/jcj9FtUeqOeSkrM46Hj5DXtvDQm7N0cFUTk9uU3Rs6Kt62gBIpBMsjCWAv8WsADgmpw==" saltValue="EzDwKxYsNm2rbdYOIzTIUA==" spinCount="100000" sheet="1" objects="1" scenarios="1"/>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O7" sqref="O7"/>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0.3</v>
      </c>
      <c r="C5" s="4">
        <v>0</v>
      </c>
      <c r="D5" s="38">
        <v>0.23015873015873001</v>
      </c>
      <c r="E5" s="38">
        <v>0.29064039408866899</v>
      </c>
      <c r="F5" s="38">
        <v>0.31736526946107702</v>
      </c>
      <c r="G5" s="38">
        <v>0.35384615384615298</v>
      </c>
      <c r="H5" s="3">
        <v>1</v>
      </c>
      <c r="I5" s="1"/>
      <c r="K5" s="4">
        <v>0.3</v>
      </c>
      <c r="L5" s="4">
        <v>0</v>
      </c>
      <c r="M5" s="38">
        <v>0.2109375</v>
      </c>
      <c r="N5" s="38">
        <v>0.253846153846153</v>
      </c>
      <c r="O5" s="38">
        <v>0.269230769230769</v>
      </c>
      <c r="P5" s="38">
        <v>0.31521739130434701</v>
      </c>
      <c r="Q5" s="3">
        <v>1</v>
      </c>
    </row>
    <row r="6" spans="2:17">
      <c r="B6" s="4">
        <v>0.4</v>
      </c>
      <c r="C6" s="4">
        <v>0</v>
      </c>
      <c r="D6" s="38">
        <v>0.37988826815642401</v>
      </c>
      <c r="E6" s="38">
        <v>0.416243654822335</v>
      </c>
      <c r="F6" s="38">
        <v>0.460465116279069</v>
      </c>
      <c r="G6" s="38">
        <v>0.50724637681159401</v>
      </c>
      <c r="H6" s="3">
        <v>1</v>
      </c>
      <c r="I6" s="1"/>
      <c r="K6" s="4">
        <v>0.4</v>
      </c>
      <c r="L6" s="4">
        <v>0</v>
      </c>
      <c r="M6" s="38">
        <v>0.33796296296296202</v>
      </c>
      <c r="N6" s="38">
        <v>0.37226277372262701</v>
      </c>
      <c r="O6" s="38">
        <v>0.40625</v>
      </c>
      <c r="P6" s="38">
        <v>0.44186046511627902</v>
      </c>
      <c r="Q6" s="3">
        <v>1</v>
      </c>
    </row>
    <row r="7" spans="2:17">
      <c r="B7" s="4">
        <v>0.45</v>
      </c>
      <c r="C7" s="4">
        <v>0</v>
      </c>
      <c r="D7" s="38">
        <v>0.444915254237288</v>
      </c>
      <c r="E7" s="38">
        <v>0.48979591836734598</v>
      </c>
      <c r="F7" s="38">
        <v>0.51569506726457304</v>
      </c>
      <c r="G7" s="38">
        <v>0.56880733944954098</v>
      </c>
      <c r="H7" s="3">
        <v>1</v>
      </c>
      <c r="I7" s="1"/>
      <c r="K7" s="4">
        <v>0.45</v>
      </c>
      <c r="L7" s="4">
        <v>0</v>
      </c>
      <c r="M7" s="38">
        <v>0.41085271317829403</v>
      </c>
      <c r="N7" s="38">
        <v>0.44444444444444398</v>
      </c>
      <c r="O7" s="38">
        <v>0.47413793103448199</v>
      </c>
      <c r="P7" s="38">
        <v>0.51724137931034397</v>
      </c>
      <c r="Q7" s="3">
        <v>1</v>
      </c>
    </row>
    <row r="8" spans="2:17">
      <c r="B8" s="4">
        <v>0.5</v>
      </c>
      <c r="C8" s="4">
        <v>0</v>
      </c>
      <c r="D8" s="38">
        <v>0.495652173913043</v>
      </c>
      <c r="E8" s="38">
        <v>0.53913043478260803</v>
      </c>
      <c r="F8" s="38">
        <v>0.58181818181818101</v>
      </c>
      <c r="G8" s="38">
        <v>0.625</v>
      </c>
      <c r="H8" s="3">
        <v>1</v>
      </c>
      <c r="I8" s="1"/>
      <c r="K8" s="4">
        <v>0.5</v>
      </c>
      <c r="L8" s="4">
        <v>0</v>
      </c>
      <c r="M8" s="38">
        <v>0.467153284671532</v>
      </c>
      <c r="N8" s="38">
        <v>0.506493506493506</v>
      </c>
      <c r="O8" s="38">
        <v>0.53683035714285698</v>
      </c>
      <c r="P8" s="38">
        <v>0.580838323353293</v>
      </c>
      <c r="Q8" s="3">
        <v>1</v>
      </c>
    </row>
    <row r="9" spans="2:17">
      <c r="B9" s="4">
        <v>0.55000000000000004</v>
      </c>
      <c r="C9" s="4">
        <v>0</v>
      </c>
      <c r="D9" s="38">
        <v>0.53571428571428503</v>
      </c>
      <c r="E9" s="38">
        <v>0.57499999999999996</v>
      </c>
      <c r="F9" s="38">
        <v>0.61650485436893199</v>
      </c>
      <c r="G9" s="38">
        <v>0.66329966329966294</v>
      </c>
      <c r="H9" s="3">
        <v>1</v>
      </c>
      <c r="I9" s="1"/>
      <c r="K9" s="4">
        <v>0.55000000000000004</v>
      </c>
      <c r="L9" s="4">
        <v>0</v>
      </c>
      <c r="M9" s="38">
        <v>0.51479289940828399</v>
      </c>
      <c r="N9" s="38">
        <v>0.54515050167224</v>
      </c>
      <c r="O9" s="38">
        <v>0.57333333333333303</v>
      </c>
      <c r="P9" s="38">
        <v>0.61165048543689304</v>
      </c>
      <c r="Q9" s="3">
        <v>1</v>
      </c>
    </row>
    <row r="10" spans="2:17">
      <c r="B10" s="4">
        <v>0.6</v>
      </c>
      <c r="C10" s="4">
        <v>0</v>
      </c>
      <c r="D10" s="38">
        <v>0.58992805755395605</v>
      </c>
      <c r="E10" s="38">
        <v>0.62809917355371903</v>
      </c>
      <c r="F10" s="38">
        <v>0.66080402010050199</v>
      </c>
      <c r="G10" s="38">
        <v>0.70344827586206804</v>
      </c>
      <c r="H10" s="3">
        <v>1</v>
      </c>
      <c r="I10" s="1"/>
      <c r="K10" s="4">
        <v>0.6</v>
      </c>
      <c r="L10" s="4">
        <v>0</v>
      </c>
      <c r="M10" s="38">
        <v>0.559055118110236</v>
      </c>
      <c r="N10" s="38">
        <v>0.598101265822784</v>
      </c>
      <c r="O10" s="38">
        <v>0.63333333333333297</v>
      </c>
      <c r="P10" s="38">
        <v>0.67032967032966995</v>
      </c>
      <c r="Q10" s="3">
        <v>1</v>
      </c>
    </row>
    <row r="11" spans="2:17">
      <c r="B11" s="4">
        <v>0.7</v>
      </c>
      <c r="C11" s="4">
        <v>0</v>
      </c>
      <c r="D11" s="38">
        <v>0.64102564102564097</v>
      </c>
      <c r="E11" s="38">
        <v>0.68705035971223005</v>
      </c>
      <c r="F11" s="38">
        <v>0.73076923076922995</v>
      </c>
      <c r="G11" s="38">
        <v>0.76724137931034397</v>
      </c>
      <c r="H11" s="3">
        <v>1</v>
      </c>
      <c r="I11" s="1"/>
      <c r="K11" s="4">
        <v>0.7</v>
      </c>
      <c r="L11" s="4">
        <v>0</v>
      </c>
      <c r="M11" s="38">
        <v>0.60992907801418395</v>
      </c>
      <c r="N11" s="38">
        <v>0.65975103734439799</v>
      </c>
      <c r="O11" s="38">
        <v>0.703125</v>
      </c>
      <c r="P11" s="38">
        <v>0.739884393063583</v>
      </c>
      <c r="Q11" s="3">
        <v>1</v>
      </c>
    </row>
    <row r="12" spans="2:17">
      <c r="B12" s="4">
        <v>0.8</v>
      </c>
      <c r="C12" s="4">
        <v>0</v>
      </c>
      <c r="D12" s="38">
        <v>0.70503597122302097</v>
      </c>
      <c r="E12" s="38">
        <v>0.75</v>
      </c>
      <c r="F12" s="38">
        <v>0.78767123287671204</v>
      </c>
      <c r="G12" s="38">
        <v>0.83225806451612905</v>
      </c>
      <c r="H12" s="3">
        <v>1</v>
      </c>
      <c r="I12" s="1"/>
      <c r="K12" s="4">
        <v>0.8</v>
      </c>
      <c r="L12" s="4">
        <v>0</v>
      </c>
      <c r="M12" s="38">
        <v>0.70322580645161203</v>
      </c>
      <c r="N12" s="38">
        <v>0.73958333333333304</v>
      </c>
      <c r="O12" s="38">
        <v>0.77456647398843903</v>
      </c>
      <c r="P12" s="38">
        <v>0.818652849740932</v>
      </c>
      <c r="Q12" s="3">
        <v>1</v>
      </c>
    </row>
    <row r="13" spans="2:17">
      <c r="B13" s="4">
        <v>1</v>
      </c>
      <c r="C13" s="4">
        <v>0</v>
      </c>
      <c r="D13" s="38">
        <v>0.77911646586345296</v>
      </c>
      <c r="E13" s="38">
        <v>0.82702702702702702</v>
      </c>
      <c r="F13" s="38">
        <v>0.862222222222222</v>
      </c>
      <c r="G13" s="38">
        <v>0.90308370044052799</v>
      </c>
      <c r="H13" s="3">
        <v>1</v>
      </c>
      <c r="I13" s="1"/>
      <c r="K13" s="4">
        <v>1</v>
      </c>
      <c r="L13" s="4">
        <v>0</v>
      </c>
      <c r="M13" s="38">
        <v>0.766917293233082</v>
      </c>
      <c r="N13" s="38">
        <v>0.80983606557376997</v>
      </c>
      <c r="O13" s="38">
        <v>0.85425101214574795</v>
      </c>
      <c r="P13" s="38">
        <v>0.88546255506607896</v>
      </c>
      <c r="Q13" s="3">
        <v>1</v>
      </c>
    </row>
    <row r="14" spans="2:17">
      <c r="B14" s="6"/>
      <c r="C14" s="6"/>
      <c r="D14" s="6"/>
      <c r="E14" s="6"/>
      <c r="F14" s="6"/>
      <c r="G14" s="6"/>
      <c r="H14" s="7"/>
      <c r="I14" s="1"/>
      <c r="K14" s="6"/>
      <c r="L14" s="6"/>
      <c r="M14" s="6"/>
      <c r="N14" s="6"/>
      <c r="O14" s="6"/>
      <c r="P14" s="6"/>
      <c r="Q14" s="7"/>
    </row>
    <row r="15" spans="2:17">
      <c r="B15" s="6"/>
      <c r="C15" s="6"/>
      <c r="D15" s="6"/>
      <c r="E15" s="6"/>
      <c r="F15" s="6"/>
      <c r="G15" s="6"/>
      <c r="H15" s="7"/>
      <c r="I15" s="1"/>
      <c r="K15" s="6"/>
      <c r="L15" s="6"/>
      <c r="M15" s="6"/>
      <c r="N15" s="6"/>
      <c r="O15" s="6"/>
      <c r="P15" s="6"/>
      <c r="Q15" s="7"/>
    </row>
    <row r="17" spans="1:11">
      <c r="A17" t="s">
        <v>15</v>
      </c>
      <c r="B17" s="33"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SUMPRODUCT((B3:B12&lt;=$C$17)*(B4:B13&gt;$C$17),(B4:B13))</f>
        <v>#N/A</v>
      </c>
      <c r="C22" t="e">
        <f>VLOOKUP($B$22,$B$5:$H$13,2,FALSE)</f>
        <v>#N/A</v>
      </c>
      <c r="D22" t="e">
        <f>ROUND(VLOOKUP($B$22,$B$5:$H$13,3,FALSE),2)</f>
        <v>#N/A</v>
      </c>
      <c r="E22" t="e">
        <f>ROUND(VLOOKUP($B$22,$B$5:$H$13,4,FALSE),2)</f>
        <v>#N/A</v>
      </c>
      <c r="F22" t="e">
        <f>ROUND(VLOOKUP($B$22,$B$5:$H$13,5,FALSE),2)</f>
        <v>#N/A</v>
      </c>
      <c r="G22" t="e">
        <f>ROUND(VLOOKUP($B$22,$B$5:$H$13,6,FALSE),2)</f>
        <v>#N/A</v>
      </c>
      <c r="H22" t="e">
        <f>VLOOKUP($B$22,$B$5:$H$13,7,FALSE)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SUMPRODUCT((B3:B12&lt;=$C$19)*(B4:B13&gt;$C$19),(B4:B13))</f>
        <v>#N/A</v>
      </c>
      <c r="C26" t="e">
        <f>VLOOKUP($B$26,$B$5:$H$13,2,FALSE)</f>
        <v>#N/A</v>
      </c>
      <c r="D26" t="e">
        <f>VLOOKUP($B$26,$B$5:$H$13,3,FALSE)</f>
        <v>#N/A</v>
      </c>
      <c r="E26" t="e">
        <f>VLOOKUP($B$26,$B$5:$H$13,4,FALSE)</f>
        <v>#N/A</v>
      </c>
      <c r="F26" t="e">
        <f>VLOOKUP($B$26,$B$5:$H$13,5,FALSE)</f>
        <v>#N/A</v>
      </c>
      <c r="G26" t="e">
        <f>VLOOKUP($B$26,$B$5:$H$13,6,FALSE)</f>
        <v>#N/A</v>
      </c>
      <c r="H26" t="e">
        <f>VLOOKUP($B$26,$B$5:$H$13,7,FALSE)</f>
        <v>#N/A</v>
      </c>
      <c r="J26" s="2"/>
    </row>
    <row r="27" spans="1:11">
      <c r="A27" s="2" t="s">
        <v>10</v>
      </c>
      <c r="B27" s="1"/>
      <c r="C27" t="e">
        <f>VLOOKUP($B$26,$K$5:$Q$13,2,FALSE)</f>
        <v>#N/A</v>
      </c>
      <c r="D27" t="e">
        <f>VLOOKUP($B$26,$K$5:$Q$13,3,FALSE)</f>
        <v>#N/A</v>
      </c>
      <c r="E27" t="e">
        <f>VLOOKUP($B$26,$K$5:$Q$13,4,FALSE)</f>
        <v>#N/A</v>
      </c>
      <c r="F27" t="e">
        <f>VLOOKUP($B$26,$K$5:$Q$13,5,FALSE)</f>
        <v>#N/A</v>
      </c>
      <c r="G27" t="e">
        <f>VLOOKUP($B$26,$K$5:$Q$13,6,FALSE)</f>
        <v>#N/A</v>
      </c>
      <c r="H27" t="e">
        <f>VLOOKUP($B$26,$K$5:$Q$13,7,FALSE)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AgV7TVk3t6YqQeMpLNTomw20wofechcRjuAIJYwBMsUjxEC2XfcyuvGuclb4ejDa2tUIHy3YgTYeTkFcvge8jg==" saltValue="hMmhxdqbC0e7nGRzg4fpHA==" spinCount="100000" sheet="1" objects="1" scenarios="1"/>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I19" sqref="I19"/>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4">
        <v>0</v>
      </c>
      <c r="D5" s="4">
        <v>0.3</v>
      </c>
      <c r="E5" s="4">
        <v>0.47368421052631499</v>
      </c>
      <c r="F5" s="4">
        <v>0.55223880597014896</v>
      </c>
      <c r="G5" s="4">
        <v>0.65384615384615297</v>
      </c>
      <c r="H5" s="3">
        <v>1</v>
      </c>
      <c r="I5" s="1"/>
      <c r="K5" s="4">
        <v>0.2</v>
      </c>
      <c r="L5" s="4">
        <v>0</v>
      </c>
      <c r="M5" s="4">
        <v>0.10204081632653</v>
      </c>
      <c r="N5" s="4">
        <v>0.17142857142857101</v>
      </c>
      <c r="O5" s="4">
        <v>0.26829268292682901</v>
      </c>
      <c r="P5" s="4">
        <v>0.36</v>
      </c>
      <c r="Q5" s="3">
        <v>1</v>
      </c>
    </row>
    <row r="6" spans="1:17">
      <c r="B6" s="4">
        <v>0.3</v>
      </c>
      <c r="C6" s="4">
        <v>0</v>
      </c>
      <c r="D6" s="4">
        <v>0.33333333333333298</v>
      </c>
      <c r="E6" s="4">
        <v>0.46666666666666601</v>
      </c>
      <c r="F6" s="4">
        <v>0.54545454545454497</v>
      </c>
      <c r="G6" s="4">
        <v>0.69230769230769196</v>
      </c>
      <c r="H6" s="3">
        <v>1</v>
      </c>
      <c r="I6" s="1"/>
      <c r="K6" s="4">
        <v>0.3</v>
      </c>
      <c r="L6" s="4">
        <v>0</v>
      </c>
      <c r="M6" s="4">
        <v>0.155555555555555</v>
      </c>
      <c r="N6" s="4">
        <v>0.25</v>
      </c>
      <c r="O6" s="4">
        <v>0.32352941176470501</v>
      </c>
      <c r="P6" s="4">
        <v>0.45</v>
      </c>
      <c r="Q6" s="3">
        <v>1</v>
      </c>
    </row>
    <row r="7" spans="1:17">
      <c r="B7" s="4">
        <v>0.4</v>
      </c>
      <c r="C7" s="4">
        <v>0</v>
      </c>
      <c r="D7" s="4">
        <v>0.43396226415094302</v>
      </c>
      <c r="E7" s="4">
        <v>0.57777777777777695</v>
      </c>
      <c r="F7" s="4">
        <v>0.64615384615384597</v>
      </c>
      <c r="G7" s="4">
        <v>0.73846153846153795</v>
      </c>
      <c r="H7" s="3">
        <v>1</v>
      </c>
      <c r="I7" s="1"/>
      <c r="K7" s="4">
        <v>0.4</v>
      </c>
      <c r="L7" s="4">
        <v>0</v>
      </c>
      <c r="M7" s="4">
        <v>0.24657534246575299</v>
      </c>
      <c r="N7" s="4">
        <v>0.35714285714285698</v>
      </c>
      <c r="O7" s="4">
        <v>0.441176470588235</v>
      </c>
      <c r="P7" s="4">
        <v>0.55813953488372003</v>
      </c>
      <c r="Q7" s="3">
        <v>1</v>
      </c>
    </row>
    <row r="8" spans="1:17">
      <c r="B8" s="4">
        <v>0.5</v>
      </c>
      <c r="C8" s="4">
        <v>0</v>
      </c>
      <c r="D8" s="4">
        <v>0.51219512195121897</v>
      </c>
      <c r="E8" s="4">
        <v>0.60416666666666596</v>
      </c>
      <c r="F8" s="4">
        <v>0.69736842105263097</v>
      </c>
      <c r="G8" s="4">
        <v>0.78846153846153799</v>
      </c>
      <c r="H8" s="3">
        <v>1</v>
      </c>
      <c r="I8" s="1"/>
      <c r="K8" s="4">
        <v>0.5</v>
      </c>
      <c r="L8" s="4">
        <v>0</v>
      </c>
      <c r="M8" s="4">
        <v>0.32352941176470501</v>
      </c>
      <c r="N8" s="4">
        <v>0.434782608695652</v>
      </c>
      <c r="O8" s="4">
        <v>0.52941176470588203</v>
      </c>
      <c r="P8" s="4">
        <v>0.62962962962962898</v>
      </c>
      <c r="Q8" s="3">
        <v>1</v>
      </c>
    </row>
    <row r="9" spans="1:17">
      <c r="B9" s="4">
        <v>0.6</v>
      </c>
      <c r="C9" s="4">
        <v>0</v>
      </c>
      <c r="D9" s="4">
        <v>0.57142857142857095</v>
      </c>
      <c r="E9" s="4">
        <v>0.67213114754098302</v>
      </c>
      <c r="F9" s="4">
        <v>0.73684210526315697</v>
      </c>
      <c r="G9" s="4">
        <v>0.81578947368420995</v>
      </c>
      <c r="H9" s="3">
        <v>1</v>
      </c>
      <c r="I9" s="1"/>
      <c r="K9" s="4">
        <v>0.6</v>
      </c>
      <c r="L9" s="4">
        <v>0</v>
      </c>
      <c r="M9" s="4">
        <v>0.40983606557377</v>
      </c>
      <c r="N9" s="4">
        <v>0.51351351351351304</v>
      </c>
      <c r="O9" s="4">
        <v>0.58974358974358898</v>
      </c>
      <c r="P9" s="4">
        <v>0.69642857142857095</v>
      </c>
      <c r="Q9" s="3">
        <v>1</v>
      </c>
    </row>
    <row r="10" spans="1:17">
      <c r="B10" s="4">
        <v>0.7</v>
      </c>
      <c r="C10" s="4">
        <v>0</v>
      </c>
      <c r="D10" s="4">
        <v>0.56862745098039202</v>
      </c>
      <c r="E10" s="4">
        <v>0.67</v>
      </c>
      <c r="F10" s="4">
        <v>0.74698795180722799</v>
      </c>
      <c r="G10" s="4">
        <v>0.82539682539682502</v>
      </c>
      <c r="H10" s="3">
        <v>1</v>
      </c>
      <c r="I10" s="1"/>
      <c r="K10" s="4">
        <v>0.7</v>
      </c>
      <c r="L10" s="4">
        <v>0</v>
      </c>
      <c r="M10" s="4">
        <v>0.45801526717557201</v>
      </c>
      <c r="N10" s="4">
        <v>0.54716981132075404</v>
      </c>
      <c r="O10" s="4">
        <v>0.63793103448275801</v>
      </c>
      <c r="P10" s="4">
        <v>0.73267326732673199</v>
      </c>
      <c r="Q10" s="3">
        <v>1</v>
      </c>
    </row>
    <row r="11" spans="1:17">
      <c r="B11" s="4">
        <v>0.8</v>
      </c>
      <c r="C11" s="4">
        <v>0</v>
      </c>
      <c r="D11" s="4">
        <v>0.620253164556962</v>
      </c>
      <c r="E11" s="4">
        <v>0.71212121212121204</v>
      </c>
      <c r="F11" s="4">
        <v>0.78125</v>
      </c>
      <c r="G11" s="4">
        <v>0.85714285714285698</v>
      </c>
      <c r="H11" s="3">
        <v>1</v>
      </c>
      <c r="I11" s="1"/>
      <c r="K11" s="4">
        <v>0.8</v>
      </c>
      <c r="L11" s="4">
        <v>0</v>
      </c>
      <c r="M11" s="4">
        <v>0.52054794520547898</v>
      </c>
      <c r="N11" s="4">
        <v>0.59523809523809501</v>
      </c>
      <c r="O11" s="4">
        <v>0.67441860465116199</v>
      </c>
      <c r="P11" s="4">
        <v>0.75609756097560898</v>
      </c>
      <c r="Q11" s="3">
        <v>1</v>
      </c>
    </row>
    <row r="12" spans="1:17">
      <c r="B12" s="4">
        <v>0.9</v>
      </c>
      <c r="C12" s="4">
        <v>0</v>
      </c>
      <c r="D12" s="4">
        <v>0.68571428571428505</v>
      </c>
      <c r="E12" s="4">
        <v>0.81818181818181801</v>
      </c>
      <c r="F12" s="4">
        <v>0.86746987951807197</v>
      </c>
      <c r="G12" s="4">
        <v>0.90322580645161199</v>
      </c>
      <c r="H12" s="3">
        <v>1</v>
      </c>
      <c r="I12" s="1"/>
      <c r="K12" s="4">
        <v>0.9</v>
      </c>
      <c r="L12" s="4">
        <v>0</v>
      </c>
      <c r="M12" s="4">
        <v>0.62992125984251901</v>
      </c>
      <c r="N12" s="4">
        <v>0.73333333333333295</v>
      </c>
      <c r="O12" s="4">
        <v>0.77966101694915202</v>
      </c>
      <c r="P12" s="4">
        <v>0.81818181818181801</v>
      </c>
      <c r="Q12" s="3">
        <v>1</v>
      </c>
    </row>
    <row r="13" spans="1:17">
      <c r="B13" s="4">
        <v>1</v>
      </c>
      <c r="C13" s="4">
        <v>0</v>
      </c>
      <c r="D13" s="4">
        <v>0.83018867924528295</v>
      </c>
      <c r="E13" s="4">
        <v>0.86764705882352899</v>
      </c>
      <c r="F13" s="4">
        <v>0.92105263157894701</v>
      </c>
      <c r="G13" s="4">
        <v>0.94</v>
      </c>
      <c r="H13" s="3">
        <v>1</v>
      </c>
      <c r="I13" s="1"/>
      <c r="K13" s="4">
        <v>1</v>
      </c>
      <c r="L13" s="4">
        <v>0</v>
      </c>
      <c r="M13" s="4">
        <v>0.75438596491228005</v>
      </c>
      <c r="N13" s="4">
        <v>0.831168831168831</v>
      </c>
      <c r="O13" s="4">
        <v>0.848101265822784</v>
      </c>
      <c r="P13" s="4">
        <v>0.90789473684210498</v>
      </c>
      <c r="Q13" s="3">
        <v>1</v>
      </c>
    </row>
    <row r="14" spans="1:17">
      <c r="B14" s="6"/>
      <c r="C14" s="6"/>
      <c r="D14" s="6"/>
      <c r="E14" s="6"/>
      <c r="F14" s="6"/>
      <c r="G14" s="6"/>
      <c r="H14" s="7"/>
      <c r="I14" s="1"/>
      <c r="K14" s="6"/>
      <c r="L14" s="6"/>
      <c r="M14" s="6"/>
      <c r="N14" s="6"/>
      <c r="O14" s="6"/>
      <c r="P14" s="6"/>
      <c r="Q14" s="7"/>
    </row>
    <row r="15" spans="1:17">
      <c r="A15" t="s">
        <v>15</v>
      </c>
      <c r="B15" t="e">
        <f>IF(BOY_K="",NA(),BOY_K)</f>
        <v>#N/A</v>
      </c>
      <c r="C15" t="e">
        <f>IF(OR(B15="",B15&lt;0,B15&gt;1),NA(),IF(B15=1,0.999,B15))</f>
        <v>#N/A</v>
      </c>
      <c r="I15" s="1"/>
      <c r="K15" s="6"/>
      <c r="L15" s="6"/>
      <c r="M15" s="6"/>
      <c r="N15" s="6"/>
      <c r="O15" s="6"/>
      <c r="P15" s="6"/>
      <c r="Q15" s="7"/>
    </row>
    <row r="16" spans="1:17">
      <c r="A16" t="s">
        <v>16</v>
      </c>
      <c r="B16" t="e">
        <f>IF(EOY_K="",NA(),EOY_K)</f>
        <v>#N/A</v>
      </c>
      <c r="C16" t="e">
        <f>IF(OR(B16="",B16&lt;0,B16&gt;1),NA(),IF(B16=1,0.999,B16))</f>
        <v>#N/A</v>
      </c>
      <c r="I16" s="1"/>
      <c r="K16" s="6"/>
      <c r="L16" s="6"/>
      <c r="M16" s="6"/>
      <c r="N16" s="6"/>
      <c r="O16" s="6"/>
      <c r="P16" s="6"/>
      <c r="Q16" s="7"/>
    </row>
    <row r="17" spans="1:17">
      <c r="A17" t="s">
        <v>17</v>
      </c>
      <c r="B17" t="e">
        <f>IF(goal_BOY_K="",NA(),goal_BOY_K)</f>
        <v>#N/A</v>
      </c>
      <c r="C17" t="e">
        <f>IF(OR(B17="",B17&lt;0,B17&gt;1),NA(),IF(B17=1,0.999,B17))</f>
        <v>#N/A</v>
      </c>
      <c r="I17" s="1"/>
      <c r="K17" s="6"/>
      <c r="L17" s="6"/>
      <c r="M17" s="6"/>
      <c r="N17" s="6"/>
      <c r="O17" s="6"/>
      <c r="P17" s="6"/>
      <c r="Q17" s="7"/>
    </row>
    <row r="19" spans="1:17">
      <c r="A19" s="5" t="s">
        <v>13</v>
      </c>
    </row>
    <row r="20" spans="1:17">
      <c r="A20" s="2" t="s">
        <v>7</v>
      </c>
      <c r="B20" s="1" t="e">
        <f>SUMPRODUCT((B3:B12&lt;=$C$15)*(B4:B13&gt;$C$15),(B4:B13))</f>
        <v>#N/A</v>
      </c>
      <c r="C20" t="e">
        <f>VLOOKUP($B$20,$B$5:$H$13,2,FALSE)</f>
        <v>#N/A</v>
      </c>
      <c r="D20" t="e">
        <f>ROUND(VLOOKUP($B$20,$B$5:$H$13,3,FALSE),2)</f>
        <v>#N/A</v>
      </c>
      <c r="E20" t="e">
        <f>ROUND(VLOOKUP($B$20,$B$5:$H$13,4,FALSE),2)</f>
        <v>#N/A</v>
      </c>
      <c r="F20" t="e">
        <f>ROUND(VLOOKUP($B$20,$B$5:$H$13,5,FALSE),2)</f>
        <v>#N/A</v>
      </c>
      <c r="G20" t="e">
        <f>ROUND(VLOOKUP($B$20,$B$5:$H$13,6,FALSE),2)</f>
        <v>#N/A</v>
      </c>
      <c r="H20" t="e">
        <f>VLOOKUP($B$20,$B$5:$H$13,7,FALSE)</f>
        <v>#N/A</v>
      </c>
      <c r="J20" s="2"/>
    </row>
    <row r="21" spans="1:17">
      <c r="A21" s="2" t="s">
        <v>8</v>
      </c>
      <c r="B21" s="1" t="e">
        <f ca="1">OFFSET(A3,0,SUMPRODUCT((C20:G20&lt;=$C$16)*(D20:H20&gt;$C$16),COLUMN(B20:F20)))</f>
        <v>#N/A</v>
      </c>
      <c r="J21" s="2"/>
      <c r="K21" s="1"/>
    </row>
    <row r="22" spans="1:17">
      <c r="A22" s="2"/>
      <c r="B22" s="1"/>
      <c r="J22" s="2"/>
      <c r="K22" s="1"/>
    </row>
    <row r="23" spans="1:17">
      <c r="A23" s="5" t="s">
        <v>14</v>
      </c>
      <c r="B23" s="1"/>
      <c r="J23" s="2"/>
      <c r="K23" s="1"/>
    </row>
    <row r="24" spans="1:17">
      <c r="A24" s="2" t="s">
        <v>7</v>
      </c>
      <c r="B24" s="1" t="e">
        <f>SUMPRODUCT((B3:B12&lt;=$C$17)*(B4:B13&gt;$C$17),(B4:B13))</f>
        <v>#N/A</v>
      </c>
      <c r="C24" t="e">
        <f>VLOOKUP($B$24,$B$5:$H$13,2,FALSE)</f>
        <v>#N/A</v>
      </c>
      <c r="D24" t="e">
        <f>VLOOKUP($B$24,$B$5:$H$13,3,FALSE)</f>
        <v>#N/A</v>
      </c>
      <c r="E24" t="e">
        <f>VLOOKUP($B$24,$B$5:$H$13,4,FALSE)</f>
        <v>#N/A</v>
      </c>
      <c r="F24" t="e">
        <f>VLOOKUP($B$24,$B$5:$H$13,5,FALSE)</f>
        <v>#N/A</v>
      </c>
      <c r="G24" t="e">
        <f>VLOOKUP($B$24,$B$5:$H$13,6,FALSE)</f>
        <v>#N/A</v>
      </c>
      <c r="H24" t="e">
        <f>VLOOKUP($B$24,$B$5:$H$13,7,FALSE)</f>
        <v>#N/A</v>
      </c>
      <c r="J24" s="2"/>
    </row>
    <row r="25" spans="1:17">
      <c r="A25" s="2" t="s">
        <v>10</v>
      </c>
      <c r="B25" s="1"/>
      <c r="C25" t="e">
        <f>VLOOKUP($B$24,$K$5:$Q$13,2,FALSE)</f>
        <v>#N/A</v>
      </c>
      <c r="D25" t="e">
        <f>VLOOKUP($B$24,$K$5:$Q$13,3,FALSE)</f>
        <v>#N/A</v>
      </c>
      <c r="E25" t="e">
        <f>VLOOKUP($B$24,$K$5:$Q$13,4,FALSE)</f>
        <v>#N/A</v>
      </c>
      <c r="F25" t="e">
        <f>VLOOKUP($B$24,$K$5:$Q$13,5,FALSE)</f>
        <v>#N/A</v>
      </c>
      <c r="G25" t="e">
        <f>VLOOKUP($B$24,$K$5:$Q$13,6,FALSE)</f>
        <v>#N/A</v>
      </c>
      <c r="H25" t="e">
        <f>VLOOKUP($B$24,$K$5:$Q$13,7,FALSE)</f>
        <v>#N/A</v>
      </c>
      <c r="J25" s="2"/>
      <c r="K25" s="1"/>
    </row>
    <row r="26" spans="1:17">
      <c r="A26" s="2" t="s">
        <v>6</v>
      </c>
      <c r="B26" t="e">
        <f ca="1">OFFSET(A24,0,MATCH(goal_K,$B$3:$H$3,FALSE))</f>
        <v>#N/A</v>
      </c>
      <c r="C26" t="e">
        <f ca="1">OFFSET(A24,0,MATCH(goal_K,$B$3:$H$3,FALSE)+1)</f>
        <v>#N/A</v>
      </c>
      <c r="D26" t="e">
        <f ca="1">CONCATENATE(TEXT(ROUND($B$26,2)*100,"0")," - ",TEXT(ROUND($C$26,2),"0%"))</f>
        <v>#N/A</v>
      </c>
    </row>
    <row r="27" spans="1:17">
      <c r="A27" s="2" t="s">
        <v>9</v>
      </c>
      <c r="B27" t="e">
        <f ca="1">OFFSET(A25,0,MATCH(goal_K,$K$3:$Q$3,FALSE))</f>
        <v>#N/A</v>
      </c>
      <c r="C27" t="e">
        <f ca="1">OFFSET(A25,0,MATCH(goal_K,$K$3:$Q$3,FALSE)+1)</f>
        <v>#N/A</v>
      </c>
      <c r="D27" t="e">
        <f ca="1">CONCATENATE(TEXT(ROUND($B$27,2)*100,"0")," - ",TEXT(ROUND($C$27,2),"0%"))</f>
        <v>#N/A</v>
      </c>
    </row>
  </sheetData>
  <sheetProtection algorithmName="SHA-512" hashValue="EP/MN95U0PtIzs0nYA/J50pJcL2iSDSoWcuh6fvU36MD9vD8n8vZdPbBNdPX/v0uKxCAwnNfaZyAwvvp4bCFMA==" saltValue="kdQGWCmHHE0681FSYKzDDw=="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N18" sqref="N18"/>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4">
        <v>0</v>
      </c>
      <c r="D5" s="4">
        <v>0.233333333333333</v>
      </c>
      <c r="E5" s="4">
        <v>0.31707317073170699</v>
      </c>
      <c r="F5" s="4">
        <v>0.375</v>
      </c>
      <c r="G5" s="4">
        <v>0.47499999999999998</v>
      </c>
      <c r="H5" s="3">
        <v>1</v>
      </c>
      <c r="I5" s="1"/>
      <c r="K5" s="4">
        <v>0.2</v>
      </c>
      <c r="L5" s="4">
        <v>0</v>
      </c>
      <c r="M5" s="4">
        <v>0.1875</v>
      </c>
      <c r="N5" s="4">
        <v>0.24390243902438999</v>
      </c>
      <c r="O5" s="4">
        <v>0.31147540983606498</v>
      </c>
      <c r="P5" s="4">
        <v>0.39560439560439498</v>
      </c>
      <c r="Q5" s="3">
        <v>1</v>
      </c>
    </row>
    <row r="6" spans="1:17">
      <c r="B6" s="4">
        <v>0.3</v>
      </c>
      <c r="C6" s="4">
        <v>0</v>
      </c>
      <c r="D6" s="4">
        <v>0.35897435897435798</v>
      </c>
      <c r="E6" s="4">
        <v>0.42352941176470499</v>
      </c>
      <c r="F6" s="4">
        <v>0.49275362318840499</v>
      </c>
      <c r="G6" s="4">
        <v>0.57777777777777695</v>
      </c>
      <c r="H6" s="3">
        <v>1</v>
      </c>
      <c r="I6" s="1"/>
      <c r="K6" s="4">
        <v>0.3</v>
      </c>
      <c r="L6" s="4">
        <v>0</v>
      </c>
      <c r="M6" s="4">
        <v>0.30973451327433599</v>
      </c>
      <c r="N6" s="4">
        <v>0.37878787878787801</v>
      </c>
      <c r="O6" s="4">
        <v>0.42499999999999999</v>
      </c>
      <c r="P6" s="4">
        <v>0.49019607843137197</v>
      </c>
      <c r="Q6" s="3">
        <v>1</v>
      </c>
    </row>
    <row r="7" spans="1:17">
      <c r="B7" s="4">
        <v>0.4</v>
      </c>
      <c r="C7" s="4">
        <v>0</v>
      </c>
      <c r="D7" s="4">
        <v>0.42352941176470499</v>
      </c>
      <c r="E7" s="4">
        <v>0.50505050505050497</v>
      </c>
      <c r="F7" s="4">
        <v>0.56716417910447703</v>
      </c>
      <c r="G7" s="4">
        <v>0.63793103448275801</v>
      </c>
      <c r="H7" s="3">
        <v>1</v>
      </c>
      <c r="I7" s="1"/>
      <c r="K7" s="4">
        <v>0.4</v>
      </c>
      <c r="L7" s="4">
        <v>0</v>
      </c>
      <c r="M7" s="4">
        <v>0.371428571428571</v>
      </c>
      <c r="N7" s="4">
        <v>0.43421052631578899</v>
      </c>
      <c r="O7" s="4">
        <v>0.51351351351351304</v>
      </c>
      <c r="P7" s="4">
        <v>0.59055118110236204</v>
      </c>
      <c r="Q7" s="3">
        <v>1</v>
      </c>
    </row>
    <row r="8" spans="1:17">
      <c r="B8" s="4">
        <v>0.45</v>
      </c>
      <c r="C8" s="4">
        <v>0</v>
      </c>
      <c r="D8" s="4">
        <v>0.48148148148148101</v>
      </c>
      <c r="E8" s="4">
        <v>0.54166666666666596</v>
      </c>
      <c r="F8" s="4">
        <v>0.60638297872340396</v>
      </c>
      <c r="G8" s="4">
        <v>0.66666666666666596</v>
      </c>
      <c r="H8" s="3">
        <v>1</v>
      </c>
      <c r="I8" s="1"/>
      <c r="K8" s="4">
        <v>0.45</v>
      </c>
      <c r="L8" s="4">
        <v>0</v>
      </c>
      <c r="M8" s="4">
        <v>0.45555555555555499</v>
      </c>
      <c r="N8" s="4">
        <v>0.50909090909090904</v>
      </c>
      <c r="O8" s="4">
        <v>0.57333333333333303</v>
      </c>
      <c r="P8" s="4">
        <v>0.62790697674418605</v>
      </c>
      <c r="Q8" s="3">
        <v>1</v>
      </c>
    </row>
    <row r="9" spans="1:17">
      <c r="B9" s="4">
        <v>0.5</v>
      </c>
      <c r="C9" s="4">
        <v>0</v>
      </c>
      <c r="D9" s="4">
        <v>0.54285714285714204</v>
      </c>
      <c r="E9" s="4">
        <v>0.59677419354838701</v>
      </c>
      <c r="F9" s="4">
        <v>0.65306122448979498</v>
      </c>
      <c r="G9" s="4">
        <v>0.70270270270270196</v>
      </c>
      <c r="H9" s="3">
        <v>1</v>
      </c>
      <c r="I9" s="1"/>
      <c r="K9" s="4">
        <v>0.5</v>
      </c>
      <c r="L9" s="4">
        <v>0</v>
      </c>
      <c r="M9" s="4">
        <v>0.48780487804877998</v>
      </c>
      <c r="N9" s="4">
        <v>0.54761904761904701</v>
      </c>
      <c r="O9" s="4">
        <v>0.59677419354838701</v>
      </c>
      <c r="P9" s="4">
        <v>0.66153846153846096</v>
      </c>
      <c r="Q9" s="3">
        <v>1</v>
      </c>
    </row>
    <row r="10" spans="1:17">
      <c r="B10" s="4">
        <v>0.55000000000000004</v>
      </c>
      <c r="C10" s="4">
        <v>0</v>
      </c>
      <c r="D10" s="4">
        <v>0.56666666666666599</v>
      </c>
      <c r="E10" s="4">
        <v>0.61682242990654201</v>
      </c>
      <c r="F10" s="4">
        <v>0.66666666666666596</v>
      </c>
      <c r="G10" s="4">
        <v>0.72677595628415304</v>
      </c>
      <c r="H10" s="3">
        <v>1</v>
      </c>
      <c r="I10" s="1"/>
      <c r="K10" s="4">
        <v>0.55000000000000004</v>
      </c>
      <c r="L10" s="4">
        <v>0</v>
      </c>
      <c r="M10" s="4">
        <v>0.49295774647887303</v>
      </c>
      <c r="N10" s="4">
        <v>0.57446808510638203</v>
      </c>
      <c r="O10" s="4">
        <v>0.65116279069767402</v>
      </c>
      <c r="P10" s="4">
        <v>0.72</v>
      </c>
      <c r="Q10" s="3">
        <v>1</v>
      </c>
    </row>
    <row r="11" spans="1:17">
      <c r="B11" s="4">
        <v>0.6</v>
      </c>
      <c r="C11" s="4">
        <v>0</v>
      </c>
      <c r="D11" s="4">
        <v>0.56666666666666599</v>
      </c>
      <c r="E11" s="4">
        <v>0.65217391304347805</v>
      </c>
      <c r="F11" s="4">
        <v>0.694029850746268</v>
      </c>
      <c r="G11" s="4">
        <v>0.772151898734177</v>
      </c>
      <c r="H11" s="3">
        <v>1</v>
      </c>
      <c r="I11" s="1"/>
      <c r="K11" s="4">
        <v>0.6</v>
      </c>
      <c r="L11" s="4">
        <v>0</v>
      </c>
      <c r="M11" s="4">
        <v>0.53333333333333299</v>
      </c>
      <c r="N11" s="4">
        <v>0.61417322834645605</v>
      </c>
      <c r="O11" s="4">
        <v>0.67567567567567499</v>
      </c>
      <c r="P11" s="4">
        <v>0.75</v>
      </c>
      <c r="Q11" s="3">
        <v>1</v>
      </c>
    </row>
    <row r="12" spans="1:17">
      <c r="B12" s="4">
        <v>0.7</v>
      </c>
      <c r="C12" s="4">
        <v>0</v>
      </c>
      <c r="D12" s="4">
        <v>0.60714285714285698</v>
      </c>
      <c r="E12" s="4">
        <v>0.69444444444444398</v>
      </c>
      <c r="F12" s="4">
        <v>0.73333333333333295</v>
      </c>
      <c r="G12" s="4">
        <v>0.79611650485436802</v>
      </c>
      <c r="H12" s="3">
        <v>1</v>
      </c>
      <c r="I12" s="1"/>
      <c r="K12" s="4">
        <v>0.7</v>
      </c>
      <c r="L12" s="4">
        <v>0</v>
      </c>
      <c r="M12" s="4">
        <v>0.59574468085106302</v>
      </c>
      <c r="N12" s="4">
        <v>0.67142857142857104</v>
      </c>
      <c r="O12" s="4">
        <v>0.72499999999999998</v>
      </c>
      <c r="P12" s="4">
        <v>0.79518072289156605</v>
      </c>
      <c r="Q12" s="3">
        <v>1</v>
      </c>
    </row>
    <row r="13" spans="1:17">
      <c r="B13" s="4">
        <v>0.8</v>
      </c>
      <c r="C13" s="4">
        <v>0</v>
      </c>
      <c r="D13" s="4">
        <v>0.658227848101265</v>
      </c>
      <c r="E13" s="4">
        <v>0.71111111111111103</v>
      </c>
      <c r="F13" s="4">
        <v>0.76344086021505297</v>
      </c>
      <c r="G13" s="4">
        <v>0.82105263157894703</v>
      </c>
      <c r="H13" s="3">
        <v>1</v>
      </c>
      <c r="I13" s="1"/>
      <c r="K13" s="4">
        <v>0.8</v>
      </c>
      <c r="L13" s="4">
        <v>0</v>
      </c>
      <c r="M13" s="4">
        <v>0.62745098039215597</v>
      </c>
      <c r="N13" s="4">
        <v>0.69135802469135799</v>
      </c>
      <c r="O13" s="4">
        <v>0.75862068965517204</v>
      </c>
      <c r="P13" s="4">
        <v>0.8125</v>
      </c>
      <c r="Q13" s="3">
        <v>1</v>
      </c>
    </row>
    <row r="14" spans="1:17">
      <c r="B14" s="4">
        <v>1</v>
      </c>
      <c r="C14" s="4">
        <v>0</v>
      </c>
      <c r="D14" s="4">
        <v>0.75</v>
      </c>
      <c r="E14" s="4">
        <v>0.77777777777777701</v>
      </c>
      <c r="F14" s="4">
        <v>0.875</v>
      </c>
      <c r="G14" s="4">
        <v>0.90476190476190399</v>
      </c>
      <c r="H14" s="3">
        <v>1</v>
      </c>
      <c r="I14" s="1"/>
      <c r="K14" s="4">
        <v>1</v>
      </c>
      <c r="L14" s="4">
        <v>0</v>
      </c>
      <c r="M14" s="4">
        <v>0.74</v>
      </c>
      <c r="N14" s="4">
        <v>0.78787878787878696</v>
      </c>
      <c r="O14" s="4">
        <v>0.87272727272727202</v>
      </c>
      <c r="P14" s="4">
        <v>0.90909090909090895</v>
      </c>
      <c r="Q14" s="3">
        <v>1</v>
      </c>
    </row>
    <row r="15" spans="1:17">
      <c r="B15" s="6"/>
      <c r="C15" s="6"/>
      <c r="D15" s="6"/>
      <c r="E15" s="6"/>
      <c r="F15" s="6"/>
      <c r="G15" s="6"/>
      <c r="H15" s="7"/>
      <c r="I15" s="1"/>
      <c r="K15" s="6"/>
      <c r="L15" s="6"/>
      <c r="M15" s="6"/>
      <c r="N15" s="6"/>
      <c r="O15" s="6"/>
      <c r="P15" s="6"/>
      <c r="Q15" s="7"/>
    </row>
    <row r="16" spans="1:17">
      <c r="A16" t="s">
        <v>15</v>
      </c>
      <c r="B16" t="e">
        <f>IF(BOY_1="",NA(),BOY_1)</f>
        <v>#N/A</v>
      </c>
      <c r="C16" t="e">
        <f>IF(OR(B16="",B16&lt;0,B16&gt;1),NA(),IF(B16=1,0.999,B16))</f>
        <v>#N/A</v>
      </c>
      <c r="I16" s="1"/>
      <c r="K16" s="6"/>
      <c r="L16" s="6"/>
      <c r="M16" s="6"/>
      <c r="N16" s="6"/>
      <c r="O16" s="6"/>
      <c r="P16" s="6"/>
      <c r="Q16" s="7"/>
    </row>
    <row r="17" spans="1:17">
      <c r="A17" t="s">
        <v>16</v>
      </c>
      <c r="B17" t="e">
        <f>IF(EOY_1="",NA(),EOY_1)</f>
        <v>#N/A</v>
      </c>
      <c r="C17" t="e">
        <f>IF(OR(B17="",B17&lt;0,B17&gt;1),NA(),IF(B17=1,0.999,B17))</f>
        <v>#N/A</v>
      </c>
      <c r="I17" s="1"/>
      <c r="K17" s="6"/>
      <c r="L17" s="6"/>
      <c r="M17" s="6"/>
      <c r="N17" s="6"/>
      <c r="O17" s="6"/>
      <c r="P17" s="6"/>
      <c r="Q17" s="7"/>
    </row>
    <row r="18" spans="1:17">
      <c r="A18" t="s">
        <v>17</v>
      </c>
      <c r="B18" t="e">
        <f>IF(goal_BOY_1="",NA(),goal_BOY_1)</f>
        <v>#N/A</v>
      </c>
      <c r="C18" t="e">
        <f>IF(OR(B18="",B18&lt;0,B18&gt;1),NA(),IF(B18=1,0.999,B18))</f>
        <v>#N/A</v>
      </c>
      <c r="I18" s="1"/>
      <c r="K18" s="6"/>
      <c r="L18" s="6"/>
      <c r="M18" s="6"/>
      <c r="N18" s="6"/>
      <c r="O18" s="6"/>
      <c r="P18" s="6"/>
      <c r="Q18" s="7"/>
    </row>
    <row r="20" spans="1:17">
      <c r="A20" s="5" t="s">
        <v>13</v>
      </c>
    </row>
    <row r="21" spans="1:17">
      <c r="A21" s="2" t="s">
        <v>7</v>
      </c>
      <c r="B21" s="1" t="e">
        <f>SUMPRODUCT((B3:B13&lt;=$C$16)*(B4:B14&gt;$C$16),(B4:B14))</f>
        <v>#N/A</v>
      </c>
      <c r="C21" t="e">
        <f>VLOOKUP($B$21,$B$5:$H$14,2,FALSE)</f>
        <v>#N/A</v>
      </c>
      <c r="D21" t="e">
        <f>ROUND(VLOOKUP($B$21,$B$5:$H$14,3,FALSE),2)</f>
        <v>#N/A</v>
      </c>
      <c r="E21" t="e">
        <f>ROUND(VLOOKUP($B$21,$B$5:$H$14,4,FALSE),2)</f>
        <v>#N/A</v>
      </c>
      <c r="F21" t="e">
        <f>ROUND(VLOOKUP($B$21,$B$5:$H$14,5,FALSE),2)</f>
        <v>#N/A</v>
      </c>
      <c r="G21" t="e">
        <f>ROUND(VLOOKUP($B$21,$B$5:$H$14,6,FALSE),2)</f>
        <v>#N/A</v>
      </c>
      <c r="H21" t="e">
        <f>VLOOKUP($B$21,$B$5:$H$14,7,FALSE)</f>
        <v>#N/A</v>
      </c>
      <c r="J21" s="2"/>
    </row>
    <row r="22" spans="1:17">
      <c r="A22" s="2" t="s">
        <v>8</v>
      </c>
      <c r="B22" s="1" t="e">
        <f ca="1">OFFSET(A3,0,SUMPRODUCT((C21:G21&lt;=$C$17)*(D21:H21&gt;$C$17),COLUMN(B21:F21)))</f>
        <v>#N/A</v>
      </c>
      <c r="J22" s="2"/>
      <c r="K22" s="1"/>
    </row>
    <row r="23" spans="1:17">
      <c r="A23" s="2"/>
      <c r="B23" s="1"/>
      <c r="J23" s="2"/>
      <c r="K23" s="1"/>
    </row>
    <row r="24" spans="1:17">
      <c r="A24" s="5" t="s">
        <v>14</v>
      </c>
      <c r="B24" s="1"/>
      <c r="J24" s="2"/>
      <c r="K24" s="1"/>
    </row>
    <row r="25" spans="1:17">
      <c r="A25" s="2" t="s">
        <v>7</v>
      </c>
      <c r="B25" s="1" t="e">
        <f>SUMPRODUCT((B3:B13&lt;=$C$18)*(B4:B14&gt;$C$18),(B4:B14))</f>
        <v>#N/A</v>
      </c>
      <c r="C25" t="e">
        <f>VLOOKUP($B$25,$B$5:$H$14,2,FALSE)</f>
        <v>#N/A</v>
      </c>
      <c r="D25" t="e">
        <f>VLOOKUP($B$25,$B$5:$H$14,3,FALSE)</f>
        <v>#N/A</v>
      </c>
      <c r="E25" t="e">
        <f>VLOOKUP($B$25,$B$5:$H$14,4,FALSE)</f>
        <v>#N/A</v>
      </c>
      <c r="F25" t="e">
        <f>VLOOKUP($B$25,$B$5:$H$14,5,FALSE)</f>
        <v>#N/A</v>
      </c>
      <c r="G25" t="e">
        <f>VLOOKUP($B$25,$B$5:$H$14,6,FALSE)</f>
        <v>#N/A</v>
      </c>
      <c r="H25" t="e">
        <f>VLOOKUP($B$25,$B$5:$H$14,7,FALSE)</f>
        <v>#N/A</v>
      </c>
      <c r="J25" s="2"/>
    </row>
    <row r="26" spans="1:17">
      <c r="A26" s="2" t="s">
        <v>10</v>
      </c>
      <c r="B26" s="1"/>
      <c r="C26" t="e">
        <f>VLOOKUP($B$25,$K$5:$Q$14,2,FALSE)</f>
        <v>#N/A</v>
      </c>
      <c r="D26" t="e">
        <f>VLOOKUP($B$25,$K$5:$Q$14,3,FALSE)</f>
        <v>#N/A</v>
      </c>
      <c r="E26" t="e">
        <f>VLOOKUP($B$25,$K$5:$Q$14,4,FALSE)</f>
        <v>#N/A</v>
      </c>
      <c r="F26" t="e">
        <f>VLOOKUP($B$25,$K$5:$Q$14,5,FALSE)</f>
        <v>#N/A</v>
      </c>
      <c r="G26" t="e">
        <f>VLOOKUP($B$25,$K$5:$Q$14,6,FALSE)</f>
        <v>#N/A</v>
      </c>
      <c r="H26" t="e">
        <f>VLOOKUP($B$25,$K$5:$Q$14,7,FALSE)</f>
        <v>#N/A</v>
      </c>
      <c r="J26" s="2"/>
      <c r="K26" s="1"/>
    </row>
    <row r="27" spans="1:17">
      <c r="A27" s="2" t="s">
        <v>6</v>
      </c>
      <c r="B27" t="e">
        <f ca="1">OFFSET(A25,0,MATCH(goal_1,$B$3:$H$3,FALSE))</f>
        <v>#N/A</v>
      </c>
      <c r="C27" t="e">
        <f ca="1">OFFSET(A25,0,MATCH(goal_1,$B$3:$H$3,FALSE)+1)</f>
        <v>#N/A</v>
      </c>
      <c r="D27" t="e">
        <f ca="1">CONCATENATE(TEXT(ROUND($B$27,2)*100,"0")," - ",TEXT(ROUND($C$27,2),"0%"))</f>
        <v>#N/A</v>
      </c>
    </row>
    <row r="28" spans="1:17">
      <c r="A28" s="2" t="s">
        <v>9</v>
      </c>
      <c r="B28" t="e">
        <f ca="1">OFFSET(A26,0,MATCH(goal_1,$K$3:$Q$3,FALSE))</f>
        <v>#N/A</v>
      </c>
      <c r="C28" t="e">
        <f ca="1">OFFSET(A26,0,MATCH(goal_1,$K$3:$Q$3,FALSE)+1)</f>
        <v>#N/A</v>
      </c>
      <c r="D28" t="e">
        <f ca="1">CONCATENATE(TEXT(ROUND($B$28,2)*100,"0")," - ",TEXT(ROUND($C$28,2),"0%"))</f>
        <v>#N/A</v>
      </c>
    </row>
  </sheetData>
  <sheetProtection algorithmName="SHA-512" hashValue="JrB3iFbmWwBl7jyDNlYQHmWgIjOW1F2Rz+vvCEvaxK4wincY61M2IFInY0bwHPZMLthF/ODOBv0vZI8kUKW54g==" saltValue="/HhJo0UhrGqOUk8uB54Yxg=="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6" workbookViewId="0">
      <selection activeCell="F19" sqref="F19"/>
    </sheetView>
  </sheetViews>
  <sheetFormatPr defaultColWidth="8.81640625" defaultRowHeight="14.75"/>
  <cols>
    <col min="1" max="1" width="14.8164062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0.08</v>
      </c>
      <c r="E5" s="4">
        <v>9.3023255813953404E-2</v>
      </c>
      <c r="F5" s="4">
        <v>0.125</v>
      </c>
      <c r="G5" s="4">
        <v>0.17499999999999999</v>
      </c>
      <c r="H5" s="4">
        <v>1</v>
      </c>
      <c r="K5" s="4">
        <v>0.2</v>
      </c>
      <c r="L5" s="4">
        <v>0</v>
      </c>
      <c r="M5" s="4">
        <v>0.12121212121212099</v>
      </c>
      <c r="N5" s="4">
        <v>0.12949640287769701</v>
      </c>
      <c r="O5" s="4">
        <v>0.15909090909090901</v>
      </c>
      <c r="P5" s="4">
        <v>0.170212765957446</v>
      </c>
      <c r="Q5" s="4">
        <v>1</v>
      </c>
    </row>
    <row r="6" spans="2:17">
      <c r="B6" s="4">
        <v>0.3</v>
      </c>
      <c r="C6" s="4">
        <v>0</v>
      </c>
      <c r="D6" s="4">
        <v>0.214285714285714</v>
      </c>
      <c r="E6" s="4">
        <v>0.25714285714285701</v>
      </c>
      <c r="F6" s="4">
        <v>0.34285714285714203</v>
      </c>
      <c r="G6" s="4">
        <v>0.37037037037037002</v>
      </c>
      <c r="H6" s="3">
        <v>1</v>
      </c>
      <c r="I6" s="1"/>
      <c r="K6" s="4">
        <v>0.3</v>
      </c>
      <c r="L6" s="4">
        <v>0</v>
      </c>
      <c r="M6" s="4">
        <v>0.227848101265822</v>
      </c>
      <c r="N6" s="4">
        <v>0.26086956521739102</v>
      </c>
      <c r="O6" s="4">
        <v>0.28947368421052599</v>
      </c>
      <c r="P6" s="4">
        <v>0.35</v>
      </c>
      <c r="Q6" s="3">
        <v>1</v>
      </c>
    </row>
    <row r="7" spans="2:17">
      <c r="B7" s="4">
        <v>0.4</v>
      </c>
      <c r="C7" s="4">
        <v>0</v>
      </c>
      <c r="D7" s="4">
        <v>0.29166666666666602</v>
      </c>
      <c r="E7" s="4">
        <v>0.34210526315789402</v>
      </c>
      <c r="F7" s="4">
        <v>0.38596491228070101</v>
      </c>
      <c r="G7" s="4">
        <v>0.43137254901960698</v>
      </c>
      <c r="H7" s="3">
        <v>1</v>
      </c>
      <c r="I7" s="1"/>
      <c r="K7" s="4">
        <v>0.4</v>
      </c>
      <c r="L7" s="4">
        <v>0</v>
      </c>
      <c r="M7" s="4">
        <v>0.29545454545454503</v>
      </c>
      <c r="N7" s="4">
        <v>0.33928571428571402</v>
      </c>
      <c r="O7" s="4">
        <v>0.367088607594936</v>
      </c>
      <c r="P7" s="4">
        <v>0.41935483870967699</v>
      </c>
      <c r="Q7" s="3">
        <v>1</v>
      </c>
    </row>
    <row r="8" spans="2:17">
      <c r="B8" s="4">
        <v>0.45</v>
      </c>
      <c r="C8" s="4">
        <v>0</v>
      </c>
      <c r="D8" s="4">
        <v>0.371428571428571</v>
      </c>
      <c r="E8" s="4">
        <v>0.42553191489361702</v>
      </c>
      <c r="F8" s="4">
        <v>0.48275862068965503</v>
      </c>
      <c r="G8" s="4">
        <v>0.53488372093023195</v>
      </c>
      <c r="H8" s="3">
        <v>1</v>
      </c>
      <c r="I8" s="1"/>
      <c r="K8" s="4">
        <v>0.45</v>
      </c>
      <c r="L8" s="4">
        <v>0</v>
      </c>
      <c r="M8" s="4">
        <v>0.375</v>
      </c>
      <c r="N8" s="4">
        <v>0.42424242424242398</v>
      </c>
      <c r="O8" s="4">
        <v>0.45098039215686198</v>
      </c>
      <c r="P8" s="4">
        <v>0.50746268656716398</v>
      </c>
      <c r="Q8" s="3">
        <v>1</v>
      </c>
    </row>
    <row r="9" spans="2:17">
      <c r="B9" s="4">
        <v>0.5</v>
      </c>
      <c r="C9" s="4">
        <v>0</v>
      </c>
      <c r="D9" s="4">
        <v>0.42666666666666597</v>
      </c>
      <c r="E9" s="4">
        <v>0.469879518072289</v>
      </c>
      <c r="F9" s="4">
        <v>0.51351351351351304</v>
      </c>
      <c r="G9" s="4">
        <v>0.57692307692307598</v>
      </c>
      <c r="H9" s="3">
        <v>1</v>
      </c>
      <c r="I9" s="1"/>
      <c r="K9" s="4">
        <v>0.5</v>
      </c>
      <c r="L9" s="4">
        <v>0</v>
      </c>
      <c r="M9" s="4">
        <v>0.4375</v>
      </c>
      <c r="N9" s="4">
        <v>0.469879518072289</v>
      </c>
      <c r="O9" s="4">
        <v>0.51612903225806395</v>
      </c>
      <c r="P9" s="4">
        <v>0.55263157894736803</v>
      </c>
      <c r="Q9" s="3">
        <v>1</v>
      </c>
    </row>
    <row r="10" spans="2:17">
      <c r="B10" s="4">
        <v>0.55000000000000004</v>
      </c>
      <c r="C10" s="4">
        <v>0</v>
      </c>
      <c r="D10" s="4">
        <v>0.46558704453441202</v>
      </c>
      <c r="E10" s="4">
        <v>0.53749999999999998</v>
      </c>
      <c r="F10" s="4">
        <v>0.57692307692307598</v>
      </c>
      <c r="G10" s="4">
        <v>0.63414634146341398</v>
      </c>
      <c r="H10" s="3">
        <v>1</v>
      </c>
      <c r="I10" s="1"/>
      <c r="K10" s="4">
        <v>0.55000000000000004</v>
      </c>
      <c r="L10" s="4">
        <v>0</v>
      </c>
      <c r="M10" s="4">
        <v>0.469879518072289</v>
      </c>
      <c r="N10" s="4">
        <v>0.506493506493506</v>
      </c>
      <c r="O10" s="4">
        <v>0.55555555555555503</v>
      </c>
      <c r="P10" s="4">
        <v>0.60493827160493796</v>
      </c>
      <c r="Q10" s="3">
        <v>1</v>
      </c>
    </row>
    <row r="11" spans="2:17">
      <c r="B11" s="4">
        <v>0.6</v>
      </c>
      <c r="C11" s="4">
        <v>0</v>
      </c>
      <c r="D11" s="4">
        <v>0.51020408163265296</v>
      </c>
      <c r="E11" s="4">
        <v>0.56790123456790098</v>
      </c>
      <c r="F11" s="4">
        <v>0.61904761904761896</v>
      </c>
      <c r="G11" s="4">
        <v>0.65671641791044699</v>
      </c>
      <c r="H11" s="3">
        <v>1</v>
      </c>
      <c r="I11" s="1"/>
      <c r="K11" s="4">
        <v>0.6</v>
      </c>
      <c r="L11" s="4">
        <v>0</v>
      </c>
      <c r="M11" s="4">
        <v>0.52941176470588203</v>
      </c>
      <c r="N11" s="4">
        <v>0.57142857142857095</v>
      </c>
      <c r="O11" s="4">
        <v>0.6</v>
      </c>
      <c r="P11" s="4">
        <v>0.64705882352941102</v>
      </c>
      <c r="Q11" s="3">
        <v>1</v>
      </c>
    </row>
    <row r="12" spans="2:17">
      <c r="B12" s="4">
        <v>0.7</v>
      </c>
      <c r="C12" s="4">
        <v>0</v>
      </c>
      <c r="D12" s="4">
        <v>0.57499999999999996</v>
      </c>
      <c r="E12" s="4">
        <v>0.63013698630136905</v>
      </c>
      <c r="F12" s="4">
        <v>0.67857142857142805</v>
      </c>
      <c r="G12" s="4">
        <v>0.72631578947368403</v>
      </c>
      <c r="H12" s="3">
        <v>1</v>
      </c>
      <c r="I12" s="1"/>
      <c r="K12" s="4">
        <v>0.7</v>
      </c>
      <c r="L12" s="4">
        <v>0</v>
      </c>
      <c r="M12" s="4">
        <v>0.58928571428571397</v>
      </c>
      <c r="N12" s="4">
        <v>0.63235294117647001</v>
      </c>
      <c r="O12" s="4">
        <v>0.67346938775510201</v>
      </c>
      <c r="P12" s="4">
        <v>0.71875</v>
      </c>
      <c r="Q12" s="3">
        <v>1</v>
      </c>
    </row>
    <row r="13" spans="2:17">
      <c r="B13" s="4">
        <v>0.8</v>
      </c>
      <c r="C13" s="4">
        <v>0</v>
      </c>
      <c r="D13" s="4">
        <v>0.65454545454545399</v>
      </c>
      <c r="E13" s="4">
        <v>0.70967741935483797</v>
      </c>
      <c r="F13" s="4">
        <v>0.74747474747474696</v>
      </c>
      <c r="G13" s="4">
        <v>0.80357142857142805</v>
      </c>
      <c r="H13" s="3">
        <v>1</v>
      </c>
      <c r="I13" s="1"/>
      <c r="K13" s="4">
        <v>0.8</v>
      </c>
      <c r="L13" s="4">
        <v>0</v>
      </c>
      <c r="M13" s="4">
        <v>0.67716535433070801</v>
      </c>
      <c r="N13" s="4">
        <v>0.71666666666666601</v>
      </c>
      <c r="O13" s="4">
        <v>0.75409836065573699</v>
      </c>
      <c r="P13" s="4">
        <v>0.79761904761904701</v>
      </c>
      <c r="Q13" s="3">
        <v>1</v>
      </c>
    </row>
    <row r="14" spans="2:17">
      <c r="B14" s="4">
        <v>0.9</v>
      </c>
      <c r="C14" s="4">
        <v>0</v>
      </c>
      <c r="D14" s="4">
        <v>0.75454545454545396</v>
      </c>
      <c r="E14" s="4">
        <v>0.80722891566264998</v>
      </c>
      <c r="F14" s="4">
        <v>0.84</v>
      </c>
      <c r="G14" s="4">
        <v>0.87096774193548299</v>
      </c>
      <c r="H14" s="3">
        <v>1</v>
      </c>
      <c r="I14" s="1"/>
      <c r="K14" s="4">
        <v>0.9</v>
      </c>
      <c r="L14" s="4">
        <v>0</v>
      </c>
      <c r="M14" s="4">
        <v>0.75308641975308599</v>
      </c>
      <c r="N14" s="4">
        <v>0.79591836734693799</v>
      </c>
      <c r="O14" s="4">
        <v>0.82456140350877105</v>
      </c>
      <c r="P14" s="4">
        <v>0.86666666666666603</v>
      </c>
      <c r="Q14" s="3">
        <v>1</v>
      </c>
    </row>
    <row r="15" spans="2:17">
      <c r="B15" s="4">
        <v>1</v>
      </c>
      <c r="C15" s="4">
        <v>0</v>
      </c>
      <c r="D15" s="4">
        <v>0.83333333333333304</v>
      </c>
      <c r="E15" s="4">
        <v>0.88571428571428501</v>
      </c>
      <c r="F15" s="4">
        <v>0.92307692307692302</v>
      </c>
      <c r="G15" s="4">
        <v>0.97916666666666596</v>
      </c>
      <c r="H15" s="3">
        <v>1</v>
      </c>
      <c r="I15" s="1"/>
      <c r="K15" s="4">
        <v>1</v>
      </c>
      <c r="L15" s="4">
        <v>0</v>
      </c>
      <c r="M15" s="4">
        <v>0.85915492957746398</v>
      </c>
      <c r="N15" s="4">
        <v>0.89552238805970097</v>
      </c>
      <c r="O15" s="4">
        <v>0.92307692307692302</v>
      </c>
      <c r="P15" s="4">
        <v>0.97916666666666596</v>
      </c>
      <c r="Q15" s="3">
        <v>1</v>
      </c>
    </row>
    <row r="16" spans="2:17">
      <c r="B16" s="6"/>
      <c r="C16" s="6"/>
      <c r="D16" s="6"/>
      <c r="E16" s="6"/>
      <c r="F16" s="6"/>
      <c r="G16" s="6"/>
      <c r="H16" s="7"/>
      <c r="I16" s="1"/>
      <c r="K16" s="6"/>
      <c r="L16" s="6"/>
      <c r="M16" s="6"/>
      <c r="N16" s="6"/>
      <c r="O16" s="6"/>
      <c r="P16" s="6"/>
      <c r="Q16" s="7"/>
    </row>
    <row r="17" spans="1:17">
      <c r="B17" s="6"/>
      <c r="C17" s="6"/>
      <c r="D17" s="6"/>
      <c r="E17" s="6"/>
      <c r="F17" s="6"/>
      <c r="G17" s="6"/>
      <c r="H17" s="7"/>
      <c r="I17" s="1"/>
      <c r="K17" s="6"/>
      <c r="L17" s="6"/>
      <c r="M17" s="6"/>
      <c r="N17" s="6"/>
      <c r="O17" s="6"/>
      <c r="P17" s="6"/>
      <c r="Q17" s="7"/>
    </row>
    <row r="18" spans="1:17">
      <c r="A18" t="s">
        <v>15</v>
      </c>
      <c r="B18" t="e">
        <f>IF(BOY_2="",NA(),BOY_2)</f>
        <v>#N/A</v>
      </c>
      <c r="C18" t="e">
        <f>IF(OR(B18="",B18&lt;0,B18&gt;1),NA(),IF(B18=1,0.999,B18))</f>
        <v>#N/A</v>
      </c>
      <c r="I18" s="1"/>
      <c r="K18" s="6"/>
      <c r="L18" s="6"/>
      <c r="M18" s="6"/>
      <c r="N18" s="6"/>
      <c r="O18" s="6"/>
      <c r="P18" s="6"/>
      <c r="Q18" s="7"/>
    </row>
    <row r="19" spans="1:17">
      <c r="A19" t="s">
        <v>16</v>
      </c>
      <c r="B19" t="e">
        <f>IF(EOY_2="",NA(),EOY_2)</f>
        <v>#N/A</v>
      </c>
      <c r="C19" t="e">
        <f>IF(OR(B19="",B19&lt;0,B19&gt;1),NA(),IF(B19=1,0.999,B19))</f>
        <v>#N/A</v>
      </c>
      <c r="I19" s="1"/>
      <c r="K19" s="6"/>
      <c r="L19" s="6"/>
      <c r="M19" s="6"/>
      <c r="N19" s="6"/>
      <c r="O19" s="6"/>
      <c r="P19" s="6"/>
      <c r="Q19" s="7"/>
    </row>
    <row r="20" spans="1:17">
      <c r="A20" t="s">
        <v>17</v>
      </c>
      <c r="B20" t="e">
        <f>IF(goal_BOY_2="",NA(),goal_BOY_2)</f>
        <v>#N/A</v>
      </c>
      <c r="C20" t="e">
        <f>IF(OR(B20="",B20&lt;0,B20&gt;1),NA(),IF(B20=0,0.999,B20))</f>
        <v>#N/A</v>
      </c>
      <c r="I20" s="1"/>
      <c r="K20" s="6"/>
      <c r="L20" s="6"/>
      <c r="M20" s="6"/>
      <c r="N20" s="6"/>
      <c r="O20" s="6"/>
      <c r="P20" s="6"/>
      <c r="Q20" s="7"/>
    </row>
    <row r="22" spans="1:17">
      <c r="A22" s="5" t="s">
        <v>13</v>
      </c>
    </row>
    <row r="23" spans="1:17">
      <c r="A23" s="2" t="s">
        <v>7</v>
      </c>
      <c r="B23" s="1" t="e">
        <f>SUMPRODUCT((B3:B14&lt;=$C$18)*(B4:B15&gt;$C$18),(B4:B15))</f>
        <v>#N/A</v>
      </c>
      <c r="C23" t="e">
        <f>VLOOKUP($B$23,$B$5:$H$15,2,FALSE)</f>
        <v>#N/A</v>
      </c>
      <c r="D23" t="e">
        <f>ROUND(VLOOKUP($B$23,$B$5:$H$15,3,FALSE),2)</f>
        <v>#N/A</v>
      </c>
      <c r="E23" t="e">
        <f>ROUND(VLOOKUP($B$23,$B$5:$H$15,4,FALSE),2)</f>
        <v>#N/A</v>
      </c>
      <c r="F23" t="e">
        <f>ROUND(VLOOKUP($B$23,$B$5:$H$15,5,FALSE),2)</f>
        <v>#N/A</v>
      </c>
      <c r="G23" t="e">
        <f>ROUND(VLOOKUP($B$23,$B$5:$H$15,6,FALSE),2)</f>
        <v>#N/A</v>
      </c>
      <c r="H23" t="e">
        <f>VLOOKUP($B$23,$B$5:$H$15,7,FALSE)</f>
        <v>#N/A</v>
      </c>
      <c r="J23" s="2"/>
    </row>
    <row r="24" spans="1:17">
      <c r="A24" s="2" t="s">
        <v>8</v>
      </c>
      <c r="B24" s="1" t="e">
        <f ca="1">OFFSET(A3,0,SUMPRODUCT((C23:G23&lt;=$C$19)*(D23:H23&gt;$C$19),COLUMN(B23:F23)))</f>
        <v>#N/A</v>
      </c>
      <c r="J24" s="2"/>
      <c r="K24" s="1"/>
    </row>
    <row r="25" spans="1:17">
      <c r="A25" s="2"/>
      <c r="B25" s="1"/>
      <c r="J25" s="2"/>
      <c r="K25" s="1"/>
    </row>
    <row r="26" spans="1:17">
      <c r="A26" s="5" t="s">
        <v>14</v>
      </c>
      <c r="B26" s="1"/>
      <c r="J26" s="2"/>
      <c r="K26" s="1"/>
    </row>
    <row r="27" spans="1:17">
      <c r="A27" s="2" t="s">
        <v>7</v>
      </c>
      <c r="B27" s="1" t="e">
        <f>SUMPRODUCT((B3:B14&lt;=$C$20)*(B4:B15&gt;$C$20),(B4:B15))</f>
        <v>#N/A</v>
      </c>
      <c r="C27" t="e">
        <f>VLOOKUP($B$27,$B$5:$H$15,2,FALSE)</f>
        <v>#N/A</v>
      </c>
      <c r="D27" t="e">
        <f>VLOOKUP($B$27,$B$5:$H$15,3,FALSE)</f>
        <v>#N/A</v>
      </c>
      <c r="E27" t="e">
        <f>VLOOKUP($B$27,$B$5:$H$15,4,FALSE)</f>
        <v>#N/A</v>
      </c>
      <c r="F27" t="e">
        <f>VLOOKUP($B$27,$B$5:$H$15,5,FALSE)</f>
        <v>#N/A</v>
      </c>
      <c r="G27" t="e">
        <f>VLOOKUP($B$27,$B$5:$H$15,6,FALSE)</f>
        <v>#N/A</v>
      </c>
      <c r="H27" t="e">
        <f>VLOOKUP($B$27,$B$5:$H$15,7,FALSE)</f>
        <v>#N/A</v>
      </c>
      <c r="J27" s="2"/>
    </row>
    <row r="28" spans="1:17">
      <c r="A28" s="2" t="s">
        <v>10</v>
      </c>
      <c r="B28" s="1"/>
      <c r="C28" t="e">
        <f>VLOOKUP($B$27,$K$5:$Q$15,2,FALSE)</f>
        <v>#N/A</v>
      </c>
      <c r="D28" t="e">
        <f>VLOOKUP($B$27,$K$5:$Q$15,3,FALSE)</f>
        <v>#N/A</v>
      </c>
      <c r="E28" t="e">
        <f>VLOOKUP($B$27,$K$5:$Q$15,4,FALSE)</f>
        <v>#N/A</v>
      </c>
      <c r="F28" t="e">
        <f>VLOOKUP($B$27,$K$5:$Q$15,5,FALSE)</f>
        <v>#N/A</v>
      </c>
      <c r="G28" t="e">
        <f>VLOOKUP($B$27,$K$5:$Q$15,6,FALSE)</f>
        <v>#N/A</v>
      </c>
      <c r="H28" t="e">
        <f>VLOOKUP($B$27,$K$5:$Q$15,7,FALSE)</f>
        <v>#N/A</v>
      </c>
      <c r="J28" s="2"/>
      <c r="K28" s="1"/>
    </row>
    <row r="29" spans="1:17">
      <c r="A29" s="2" t="s">
        <v>6</v>
      </c>
      <c r="B29" t="e">
        <f ca="1">OFFSET(A27,0,MATCH(goal_2,$B$3:$H$3,FALSE))</f>
        <v>#N/A</v>
      </c>
      <c r="C29" t="e">
        <f ca="1">OFFSET(A27,0,MATCH(goal_2,$B$3:$H$3,FALSE)+1)</f>
        <v>#N/A</v>
      </c>
      <c r="D29" t="e">
        <f ca="1">CONCATENATE(TEXT(ROUND($B$29,2)*100,"0")," - ",TEXT(ROUND($C$29,2),"0%"))</f>
        <v>#N/A</v>
      </c>
    </row>
    <row r="30" spans="1:17">
      <c r="A30" s="2" t="s">
        <v>9</v>
      </c>
      <c r="B30" t="e">
        <f ca="1">OFFSET(A28,0,MATCH(goal_2,$K$3:$Q$3,FALSE))</f>
        <v>#N/A</v>
      </c>
      <c r="C30" t="e">
        <f ca="1">OFFSET(A28,0,MATCH(goal_2,$K$3:$Q$3,FALSE)+1)</f>
        <v>#N/A</v>
      </c>
      <c r="D30" t="e">
        <f ca="1">CONCATENATE(TEXT(ROUND($B$30,2)*100,"0")," - ",TEXT(ROUND($C$30,2),"0%"))</f>
        <v>#N/A</v>
      </c>
    </row>
  </sheetData>
  <sheetProtection algorithmName="SHA-512" hashValue="OnI+NzFjeZUXl24l9pfxrImAZt0eIAzJbBogp8gqELVveVQfLYKUDr2sMXMoEjUAJauMO7CShEjORz+YZjnHYA==" saltValue="M3itU0jB/WgcY+ZnprhiT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3" workbookViewId="0">
      <selection activeCell="F19" sqref="F19"/>
    </sheetView>
  </sheetViews>
  <sheetFormatPr defaultColWidth="8.81640625" defaultRowHeight="14.75"/>
  <cols>
    <col min="1" max="1" width="14.8164062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0.155555555555555</v>
      </c>
      <c r="E5" s="4">
        <v>0.19512195121951201</v>
      </c>
      <c r="F5" s="4">
        <v>0.27500000000000002</v>
      </c>
      <c r="G5" s="4">
        <v>0.33333333333333298</v>
      </c>
      <c r="H5" s="4">
        <v>1</v>
      </c>
      <c r="K5" s="4">
        <v>0.2</v>
      </c>
      <c r="L5" s="4">
        <v>0</v>
      </c>
      <c r="M5" s="4">
        <v>0.125</v>
      </c>
      <c r="N5" s="4">
        <v>0.14754098360655701</v>
      </c>
      <c r="O5" s="4">
        <v>0.155555555555555</v>
      </c>
      <c r="P5" s="4">
        <v>0.35135135135135098</v>
      </c>
      <c r="Q5" s="4">
        <v>1</v>
      </c>
    </row>
    <row r="6" spans="2:17">
      <c r="B6" s="4">
        <v>0.3</v>
      </c>
      <c r="C6" s="4">
        <v>0</v>
      </c>
      <c r="D6" s="4">
        <v>0.25</v>
      </c>
      <c r="E6" s="4">
        <v>0.27777777777777701</v>
      </c>
      <c r="F6" s="4">
        <v>0.35897435897435798</v>
      </c>
      <c r="G6" s="4">
        <v>0.45454545454545398</v>
      </c>
      <c r="H6" s="3">
        <v>1</v>
      </c>
      <c r="I6" s="1"/>
      <c r="K6" s="4">
        <v>0.3</v>
      </c>
      <c r="L6" s="4">
        <v>0</v>
      </c>
      <c r="M6" s="4">
        <v>0.175438596491228</v>
      </c>
      <c r="N6" s="4">
        <v>0.24</v>
      </c>
      <c r="O6" s="4">
        <v>0.33333333333333298</v>
      </c>
      <c r="P6" s="4">
        <v>0.36170212765957399</v>
      </c>
      <c r="Q6" s="3">
        <v>1</v>
      </c>
    </row>
    <row r="7" spans="2:17">
      <c r="B7" s="4">
        <v>0.4</v>
      </c>
      <c r="C7" s="4">
        <v>0</v>
      </c>
      <c r="D7" s="4">
        <v>0.34782608695652101</v>
      </c>
      <c r="E7" s="4">
        <v>0.40425531914893598</v>
      </c>
      <c r="F7" s="4">
        <v>0.45454545454545398</v>
      </c>
      <c r="G7" s="4">
        <v>0.51162790697674398</v>
      </c>
      <c r="H7" s="3">
        <v>1</v>
      </c>
      <c r="I7" s="1"/>
      <c r="K7" s="4">
        <v>0.4</v>
      </c>
      <c r="L7" s="4">
        <v>0</v>
      </c>
      <c r="M7" s="4">
        <v>0.28301886792452802</v>
      </c>
      <c r="N7" s="4">
        <v>0.352238805970149</v>
      </c>
      <c r="O7" s="4">
        <v>0.38709677419354799</v>
      </c>
      <c r="P7" s="4">
        <v>0.43396226415094302</v>
      </c>
      <c r="Q7" s="3">
        <v>1</v>
      </c>
    </row>
    <row r="8" spans="2:17">
      <c r="B8" s="4">
        <v>0.45</v>
      </c>
      <c r="C8" s="4">
        <v>0</v>
      </c>
      <c r="D8" s="4">
        <v>0.39024390243902402</v>
      </c>
      <c r="E8" s="4">
        <v>0.44444444444444398</v>
      </c>
      <c r="F8" s="4">
        <v>0.512820512820512</v>
      </c>
      <c r="G8" s="4">
        <v>0.57777777777777695</v>
      </c>
      <c r="H8" s="3">
        <v>1</v>
      </c>
      <c r="I8" s="1"/>
      <c r="K8" s="4">
        <v>0.45</v>
      </c>
      <c r="L8" s="4">
        <v>0</v>
      </c>
      <c r="M8" s="4">
        <v>0.33333333333333298</v>
      </c>
      <c r="N8" s="4">
        <v>0.38775510204081598</v>
      </c>
      <c r="O8" s="4">
        <v>0.43243243243243201</v>
      </c>
      <c r="P8" s="4">
        <v>0.46875</v>
      </c>
      <c r="Q8" s="3">
        <v>1</v>
      </c>
    </row>
    <row r="9" spans="2:17">
      <c r="B9" s="4">
        <v>0.5</v>
      </c>
      <c r="C9" s="4">
        <v>0</v>
      </c>
      <c r="D9" s="4">
        <v>0.47368421052631499</v>
      </c>
      <c r="E9" s="4">
        <v>0.52941176470588203</v>
      </c>
      <c r="F9" s="4">
        <v>0.57377049180327799</v>
      </c>
      <c r="G9" s="4">
        <v>0.64285714285714202</v>
      </c>
      <c r="H9" s="3">
        <v>1</v>
      </c>
      <c r="I9" s="1"/>
      <c r="K9" s="4">
        <v>0.5</v>
      </c>
      <c r="L9" s="4">
        <v>0</v>
      </c>
      <c r="M9" s="4">
        <v>0.39215686274509798</v>
      </c>
      <c r="N9" s="4">
        <v>0.46666666666666601</v>
      </c>
      <c r="O9" s="4">
        <v>0.50704225352112597</v>
      </c>
      <c r="P9" s="4">
        <v>0.5625</v>
      </c>
      <c r="Q9" s="3">
        <v>1</v>
      </c>
    </row>
    <row r="10" spans="2:17">
      <c r="B10" s="4">
        <v>0.55000000000000004</v>
      </c>
      <c r="C10" s="4">
        <v>0</v>
      </c>
      <c r="D10" s="4">
        <v>0.5</v>
      </c>
      <c r="E10" s="4">
        <v>0.55882352941176405</v>
      </c>
      <c r="F10" s="4">
        <v>0.59615384615384603</v>
      </c>
      <c r="G10" s="4">
        <v>0.65573770491803196</v>
      </c>
      <c r="H10" s="3">
        <v>1</v>
      </c>
      <c r="I10" s="1"/>
      <c r="K10" s="4">
        <v>0.55000000000000004</v>
      </c>
      <c r="L10" s="4">
        <v>0</v>
      </c>
      <c r="M10" s="4">
        <v>0.43548387096774099</v>
      </c>
      <c r="N10" s="4">
        <v>0.49122807017543801</v>
      </c>
      <c r="O10" s="4">
        <v>0.54347826086956497</v>
      </c>
      <c r="P10" s="4">
        <v>0.58333333333333304</v>
      </c>
      <c r="Q10" s="3">
        <v>1</v>
      </c>
    </row>
    <row r="11" spans="2:17">
      <c r="B11" s="4">
        <v>0.6</v>
      </c>
      <c r="C11" s="4">
        <v>0</v>
      </c>
      <c r="D11" s="4">
        <v>0.55932203389830504</v>
      </c>
      <c r="E11" s="4">
        <v>0.61194029850746201</v>
      </c>
      <c r="F11" s="4">
        <v>0.644859813084112</v>
      </c>
      <c r="G11" s="4">
        <v>0.7</v>
      </c>
      <c r="H11" s="3">
        <v>1</v>
      </c>
      <c r="I11" s="1"/>
      <c r="K11" s="4">
        <v>0.6</v>
      </c>
      <c r="L11" s="4">
        <v>0</v>
      </c>
      <c r="M11" s="4">
        <v>0.51111111111111096</v>
      </c>
      <c r="N11" s="4">
        <v>0.54347826086956497</v>
      </c>
      <c r="O11" s="4">
        <v>0.58333333333333304</v>
      </c>
      <c r="P11" s="4">
        <v>0.62686567164179097</v>
      </c>
      <c r="Q11" s="3">
        <v>1</v>
      </c>
    </row>
    <row r="12" spans="2:17">
      <c r="B12" s="4">
        <v>0.7</v>
      </c>
      <c r="C12" s="4">
        <v>0</v>
      </c>
      <c r="D12" s="4">
        <v>0.62589928057553901</v>
      </c>
      <c r="E12" s="4">
        <v>0.67045454545454497</v>
      </c>
      <c r="F12" s="4">
        <v>0.70886075949367</v>
      </c>
      <c r="G12" s="4">
        <v>0.76470588235294101</v>
      </c>
      <c r="H12" s="3">
        <v>1</v>
      </c>
      <c r="I12" s="1"/>
      <c r="K12" s="4">
        <v>0.7</v>
      </c>
      <c r="L12" s="4">
        <v>0</v>
      </c>
      <c r="M12" s="4">
        <v>0.55882352941176405</v>
      </c>
      <c r="N12" s="4">
        <v>0.61290322580645096</v>
      </c>
      <c r="O12" s="4">
        <v>0.65753424657534199</v>
      </c>
      <c r="P12" s="4">
        <v>0.69863013698630105</v>
      </c>
      <c r="Q12" s="3">
        <v>1</v>
      </c>
    </row>
    <row r="13" spans="2:17">
      <c r="B13" s="4">
        <v>0.8</v>
      </c>
      <c r="C13" s="4">
        <v>0</v>
      </c>
      <c r="D13" s="4">
        <v>0.71681415929203496</v>
      </c>
      <c r="E13" s="4">
        <v>0.75961538461538403</v>
      </c>
      <c r="F13" s="4">
        <v>0.80219780219780201</v>
      </c>
      <c r="G13" s="4">
        <v>0.83750000000000002</v>
      </c>
      <c r="H13" s="3">
        <v>1</v>
      </c>
      <c r="I13" s="1"/>
      <c r="K13" s="4">
        <v>0.8</v>
      </c>
      <c r="L13" s="4">
        <v>0</v>
      </c>
      <c r="M13" s="4">
        <v>0.67346938775510201</v>
      </c>
      <c r="N13" s="4">
        <v>0.71578947368420998</v>
      </c>
      <c r="O13" s="4">
        <v>0.74626865671641696</v>
      </c>
      <c r="P13" s="4">
        <v>0.79279279279279202</v>
      </c>
      <c r="Q13" s="3">
        <v>1</v>
      </c>
    </row>
    <row r="14" spans="2:17">
      <c r="B14" s="4">
        <v>0.9</v>
      </c>
      <c r="C14" s="4">
        <v>0</v>
      </c>
      <c r="D14" s="4">
        <v>0.79310344827586199</v>
      </c>
      <c r="E14" s="4">
        <v>0.83582089552238803</v>
      </c>
      <c r="F14" s="4">
        <v>0.86915887850467199</v>
      </c>
      <c r="G14" s="4">
        <v>0.90196078431372495</v>
      </c>
      <c r="H14" s="3">
        <v>1</v>
      </c>
      <c r="I14" s="1"/>
      <c r="K14" s="4">
        <v>0.9</v>
      </c>
      <c r="L14" s="4">
        <v>0</v>
      </c>
      <c r="M14" s="4">
        <v>0.76190476190476097</v>
      </c>
      <c r="N14" s="4">
        <v>0.79069767441860395</v>
      </c>
      <c r="O14" s="4">
        <v>0.83783783783783705</v>
      </c>
      <c r="P14" s="4">
        <v>0.85840707964601703</v>
      </c>
      <c r="Q14" s="3">
        <v>1</v>
      </c>
    </row>
    <row r="15" spans="2:17">
      <c r="B15" s="4">
        <v>1</v>
      </c>
      <c r="C15" s="4">
        <v>0</v>
      </c>
      <c r="D15" s="4">
        <v>0.88157894736842102</v>
      </c>
      <c r="E15" s="4">
        <v>0.90361445783132499</v>
      </c>
      <c r="F15" s="4">
        <v>0.93548387096774099</v>
      </c>
      <c r="G15" s="4">
        <v>0.97499999999999998</v>
      </c>
      <c r="H15" s="3">
        <v>1</v>
      </c>
      <c r="I15" s="1"/>
      <c r="K15" s="4">
        <v>1</v>
      </c>
      <c r="L15" s="4">
        <v>0</v>
      </c>
      <c r="M15" s="4">
        <v>0.84415584415584399</v>
      </c>
      <c r="N15" s="4">
        <v>0.88571428571428501</v>
      </c>
      <c r="O15" s="4">
        <v>0.92473118279569799</v>
      </c>
      <c r="P15" s="4">
        <v>0.94736842105263097</v>
      </c>
      <c r="Q15" s="3">
        <v>1</v>
      </c>
    </row>
    <row r="16" spans="2:17">
      <c r="B16" s="6"/>
      <c r="C16" s="6"/>
      <c r="D16" s="6"/>
      <c r="E16" s="6"/>
      <c r="F16" s="6"/>
      <c r="G16" s="6"/>
      <c r="H16" s="7"/>
      <c r="I16" s="1"/>
      <c r="K16" s="6"/>
      <c r="L16" s="6"/>
      <c r="M16" s="6"/>
      <c r="N16" s="6"/>
      <c r="O16" s="6"/>
      <c r="P16" s="6"/>
      <c r="Q16" s="7"/>
    </row>
    <row r="17" spans="1:17">
      <c r="B17" s="6"/>
      <c r="C17" s="6"/>
      <c r="D17" s="6"/>
      <c r="E17" s="6"/>
      <c r="F17" s="6"/>
      <c r="G17" s="6"/>
      <c r="H17" s="7"/>
      <c r="I17" s="1"/>
      <c r="K17" s="6"/>
      <c r="L17" s="6"/>
      <c r="M17" s="6"/>
      <c r="N17" s="6"/>
      <c r="O17" s="6"/>
      <c r="P17" s="6"/>
      <c r="Q17" s="7"/>
    </row>
    <row r="18" spans="1:17">
      <c r="A18" t="s">
        <v>15</v>
      </c>
      <c r="B18" t="e">
        <f>IF(BOY_3="",NA(),BOY_3)</f>
        <v>#N/A</v>
      </c>
      <c r="C18" t="e">
        <f>IF(OR(B18="",B18&lt;0,B18&gt;1),NA(),IF(B18=1,0.999,B18))</f>
        <v>#N/A</v>
      </c>
      <c r="I18" s="1"/>
      <c r="K18" s="6"/>
      <c r="L18" s="6"/>
      <c r="M18" s="6"/>
      <c r="N18" s="6"/>
      <c r="O18" s="6"/>
      <c r="P18" s="6"/>
      <c r="Q18" s="7"/>
    </row>
    <row r="19" spans="1:17">
      <c r="A19" t="s">
        <v>16</v>
      </c>
      <c r="B19" t="e">
        <f>IF(EOY_3="",NA(),EOY_3)</f>
        <v>#N/A</v>
      </c>
      <c r="C19" t="e">
        <f>IF(OR(B19="",B19&lt;0,B19&gt;1),NA(),IF(B19=1,0.999,B19))</f>
        <v>#N/A</v>
      </c>
      <c r="I19" s="1"/>
      <c r="K19" s="6"/>
      <c r="L19" s="6"/>
      <c r="M19" s="6"/>
      <c r="N19" s="6"/>
      <c r="O19" s="6"/>
      <c r="P19" s="6"/>
      <c r="Q19" s="7"/>
    </row>
    <row r="20" spans="1:17">
      <c r="A20" t="s">
        <v>17</v>
      </c>
      <c r="B20" t="e">
        <f>IF(goal_BOY_3="",NA(),goal_BOY_3)</f>
        <v>#N/A</v>
      </c>
      <c r="C20" t="e">
        <f>IF(OR(B20="",B20&lt;0,B20&gt;1),NA(),IF(B20=1,0.999,B20))</f>
        <v>#N/A</v>
      </c>
      <c r="I20" s="1"/>
      <c r="K20" s="6"/>
      <c r="L20" s="6"/>
      <c r="M20" s="6"/>
      <c r="N20" s="6"/>
      <c r="O20" s="6"/>
      <c r="P20" s="6"/>
      <c r="Q20" s="7"/>
    </row>
    <row r="22" spans="1:17">
      <c r="A22" s="5" t="s">
        <v>13</v>
      </c>
    </row>
    <row r="23" spans="1:17">
      <c r="A23" s="2" t="s">
        <v>7</v>
      </c>
      <c r="B23" s="1" t="e">
        <f>SUMPRODUCT((B3:B14&lt;=$C$18)*(B4:B15&gt;$C$18),(B4:B15))</f>
        <v>#N/A</v>
      </c>
      <c r="C23" t="e">
        <f>VLOOKUP($B$23,$B$5:$H$15,2,FALSE)</f>
        <v>#N/A</v>
      </c>
      <c r="D23" t="e">
        <f>ROUND(VLOOKUP($B$23,$B$5:$H$15,3,FALSE),2)</f>
        <v>#N/A</v>
      </c>
      <c r="E23" t="e">
        <f>ROUND(VLOOKUP($B$23,$B$5:$H$15,4,FALSE),2)</f>
        <v>#N/A</v>
      </c>
      <c r="F23" t="e">
        <f>ROUND(VLOOKUP($B$23,$B$5:$H$15,5,FALSE),2)</f>
        <v>#N/A</v>
      </c>
      <c r="G23" t="e">
        <f>ROUND(VLOOKUP($B$23,$B$5:$H$15,6,FALSE),2)</f>
        <v>#N/A</v>
      </c>
      <c r="H23" t="e">
        <f>VLOOKUP($B$23,$B$5:$H$15,7,FALSE)</f>
        <v>#N/A</v>
      </c>
      <c r="J23" s="2"/>
    </row>
    <row r="24" spans="1:17">
      <c r="A24" s="2" t="s">
        <v>8</v>
      </c>
      <c r="B24" s="1" t="e">
        <f ca="1">OFFSET(A3,0,SUMPRODUCT((C23:G23&lt;=$C$19)*(D23:H23&gt;$C$19),COLUMN(B23:F23)))</f>
        <v>#N/A</v>
      </c>
      <c r="J24" s="2"/>
      <c r="K24" s="1"/>
    </row>
    <row r="25" spans="1:17">
      <c r="A25" s="2"/>
      <c r="B25" s="1"/>
      <c r="J25" s="2"/>
      <c r="K25" s="1"/>
    </row>
    <row r="26" spans="1:17">
      <c r="A26" s="5" t="s">
        <v>14</v>
      </c>
      <c r="B26" s="1"/>
      <c r="J26" s="2"/>
      <c r="K26" s="1"/>
    </row>
    <row r="27" spans="1:17">
      <c r="A27" s="2" t="s">
        <v>7</v>
      </c>
      <c r="B27" s="1" t="e">
        <f>SUMPRODUCT((B3:B14&lt;=$C$20)*(B4:B15&gt;$C$20),(B4:B15))</f>
        <v>#N/A</v>
      </c>
      <c r="C27" t="e">
        <f>VLOOKUP($B$27,$B$5:$H$15,2,FALSE)</f>
        <v>#N/A</v>
      </c>
      <c r="D27" t="e">
        <f>VLOOKUP($B$27,$B$5:$H$15,3,FALSE)</f>
        <v>#N/A</v>
      </c>
      <c r="E27" t="e">
        <f>VLOOKUP($B$27,$B$5:$H$15,4,FALSE)</f>
        <v>#N/A</v>
      </c>
      <c r="F27" t="e">
        <f>VLOOKUP($B$27,$B$5:$H$15,5,FALSE)</f>
        <v>#N/A</v>
      </c>
      <c r="G27" t="e">
        <f>VLOOKUP($B$27,$B$5:$H$15,6,FALSE)</f>
        <v>#N/A</v>
      </c>
      <c r="H27" t="e">
        <f>VLOOKUP($B$27,$B$5:$H$15,7,FALSE)</f>
        <v>#N/A</v>
      </c>
      <c r="J27" s="2"/>
    </row>
    <row r="28" spans="1:17">
      <c r="A28" s="2" t="s">
        <v>10</v>
      </c>
      <c r="B28" s="1"/>
      <c r="C28" t="e">
        <f>VLOOKUP($B$27,$K$5:$Q$15,2,FALSE)</f>
        <v>#N/A</v>
      </c>
      <c r="D28" t="e">
        <f>VLOOKUP($B$27,$K$5:$Q$15,3,FALSE)</f>
        <v>#N/A</v>
      </c>
      <c r="E28" t="e">
        <f>VLOOKUP($B$27,$K$5:$Q$15,4,FALSE)</f>
        <v>#N/A</v>
      </c>
      <c r="F28" t="e">
        <f>VLOOKUP($B$27,$K$5:$Q$15,5,FALSE)</f>
        <v>#N/A</v>
      </c>
      <c r="G28" t="e">
        <f>VLOOKUP($B$27,$K$5:$Q$15,6,FALSE)</f>
        <v>#N/A</v>
      </c>
      <c r="H28" t="e">
        <f>VLOOKUP($B$27,$K$5:$Q$15,7,FALSE)</f>
        <v>#N/A</v>
      </c>
      <c r="J28" s="2"/>
      <c r="K28" s="1"/>
    </row>
    <row r="29" spans="1:17">
      <c r="A29" s="2" t="s">
        <v>6</v>
      </c>
      <c r="B29" t="e">
        <f ca="1">OFFSET(A27,0,MATCH(goal_3,$B$3:$H$3,FALSE))</f>
        <v>#N/A</v>
      </c>
      <c r="C29" t="e">
        <f ca="1">OFFSET(A27,0,MATCH(goal_3,$B$3:$H$3,FALSE)+1)</f>
        <v>#N/A</v>
      </c>
      <c r="D29" t="e">
        <f ca="1">CONCATENATE(TEXT(ROUND($B$29,2)*100,"0")," - ",TEXT(ROUND($C$29,2),"0%"))</f>
        <v>#N/A</v>
      </c>
    </row>
    <row r="30" spans="1:17">
      <c r="A30" s="2" t="s">
        <v>9</v>
      </c>
      <c r="B30" t="e">
        <f ca="1">OFFSET(A28,0,MATCH(goal_3,$K$3:$Q$3,FALSE))</f>
        <v>#N/A</v>
      </c>
      <c r="C30" t="e">
        <f ca="1">OFFSET(A28,0,MATCH(goal_3,$K$3:$Q$3,FALSE)+1)</f>
        <v>#N/A</v>
      </c>
      <c r="D30" t="e">
        <f ca="1">CONCATENATE(TEXT(ROUND($B$30,2)*100,"0")," - ",TEXT(ROUND($C$30,2),"0%"))</f>
        <v>#N/A</v>
      </c>
    </row>
  </sheetData>
  <sheetProtection algorithmName="SHA-512" hashValue="lzgDlxW6iU5B17d2VNZflCMd3Vv/EiBvuC0tjMnTkil98ytW9UWFY0L627aruY5HJb+9m9yXKKkvaq3d25ov8g==" saltValue="e0Mm9Q6C6TyXDb/o7Neb4g=="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O10" sqref="O10"/>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2"/>
      <c r="E4" s="42"/>
      <c r="F4" s="42"/>
      <c r="G4" s="42"/>
      <c r="H4" s="4"/>
      <c r="K4" s="4">
        <v>0</v>
      </c>
      <c r="L4" s="4"/>
      <c r="M4" s="42"/>
      <c r="N4" s="42"/>
      <c r="O4" s="42"/>
      <c r="P4" s="42"/>
      <c r="Q4" s="4"/>
    </row>
    <row r="5" spans="1:17">
      <c r="B5" s="4">
        <v>0.3</v>
      </c>
      <c r="C5" s="4">
        <v>0</v>
      </c>
      <c r="D5" s="4">
        <v>0.22500000000000001</v>
      </c>
      <c r="E5" s="4">
        <v>0.28571428571428498</v>
      </c>
      <c r="F5" s="4">
        <v>0.36923076923076897</v>
      </c>
      <c r="G5" s="4">
        <v>0.44615384615384601</v>
      </c>
      <c r="H5" s="3">
        <v>1</v>
      </c>
      <c r="I5" s="1"/>
      <c r="K5" s="4">
        <v>0.3</v>
      </c>
      <c r="L5" s="4">
        <v>0</v>
      </c>
      <c r="M5" s="4">
        <v>0.2</v>
      </c>
      <c r="N5" s="4">
        <v>0.26190476190476097</v>
      </c>
      <c r="O5" s="4">
        <v>0.31661442006269502</v>
      </c>
      <c r="P5" s="4">
        <v>0.38636363636363602</v>
      </c>
      <c r="Q5" s="3">
        <v>1</v>
      </c>
    </row>
    <row r="6" spans="1:17">
      <c r="B6" s="4">
        <v>0.4</v>
      </c>
      <c r="C6" s="4">
        <v>0</v>
      </c>
      <c r="D6" s="4">
        <v>0.36842105263157798</v>
      </c>
      <c r="E6" s="4">
        <v>0.405797101449275</v>
      </c>
      <c r="F6" s="4">
        <v>0.47727272727272702</v>
      </c>
      <c r="G6" s="4">
        <v>0.50819672131147497</v>
      </c>
      <c r="H6" s="3">
        <v>1</v>
      </c>
      <c r="I6" s="1"/>
      <c r="K6" s="4">
        <v>0.4</v>
      </c>
      <c r="L6" s="4">
        <v>0</v>
      </c>
      <c r="M6" s="4">
        <v>0.32558139534883701</v>
      </c>
      <c r="N6" s="4">
        <v>0.36111111111111099</v>
      </c>
      <c r="O6" s="4">
        <v>0.38709677419354799</v>
      </c>
      <c r="P6" s="4">
        <v>0.43859649122806998</v>
      </c>
      <c r="Q6" s="3">
        <v>1</v>
      </c>
    </row>
    <row r="7" spans="1:17">
      <c r="B7" s="4">
        <v>0.45</v>
      </c>
      <c r="C7" s="4">
        <v>0</v>
      </c>
      <c r="D7" s="4">
        <v>0.40625</v>
      </c>
      <c r="E7" s="4">
        <v>0.50847457627118597</v>
      </c>
      <c r="F7" s="4">
        <v>0.54545454545454497</v>
      </c>
      <c r="G7" s="4">
        <v>0.61616161616161602</v>
      </c>
      <c r="H7" s="3">
        <v>1</v>
      </c>
      <c r="I7" s="1"/>
      <c r="K7" s="4">
        <v>0.45</v>
      </c>
      <c r="L7" s="4">
        <v>0</v>
      </c>
      <c r="M7" s="4">
        <v>0.36</v>
      </c>
      <c r="N7" s="4">
        <v>0.43689320388349501</v>
      </c>
      <c r="O7" s="4">
        <v>0.47692307692307601</v>
      </c>
      <c r="P7" s="4">
        <v>0.51063829787234005</v>
      </c>
      <c r="Q7" s="3">
        <v>1</v>
      </c>
    </row>
    <row r="8" spans="1:17">
      <c r="B8" s="4">
        <v>0.5</v>
      </c>
      <c r="C8" s="4">
        <v>0</v>
      </c>
      <c r="D8" s="4">
        <v>0.512820512820512</v>
      </c>
      <c r="E8" s="4">
        <v>0.54666666666666597</v>
      </c>
      <c r="F8" s="4">
        <v>0.58064516129032195</v>
      </c>
      <c r="G8" s="4">
        <v>0.625</v>
      </c>
      <c r="H8" s="3">
        <v>1</v>
      </c>
      <c r="I8" s="1"/>
      <c r="K8" s="4">
        <v>0.5</v>
      </c>
      <c r="L8" s="4">
        <v>0</v>
      </c>
      <c r="M8" s="4">
        <v>0.44444444444444398</v>
      </c>
      <c r="N8" s="4">
        <v>0.483870967741935</v>
      </c>
      <c r="O8" s="4">
        <v>0.52222222222222203</v>
      </c>
      <c r="P8" s="4">
        <v>0.58974358974358898</v>
      </c>
      <c r="Q8" s="3">
        <v>1</v>
      </c>
    </row>
    <row r="9" spans="1:17">
      <c r="B9" s="4">
        <v>0.55000000000000004</v>
      </c>
      <c r="C9" s="4">
        <v>0</v>
      </c>
      <c r="D9" s="4">
        <v>0.52</v>
      </c>
      <c r="E9" s="4">
        <v>0.56976744186046502</v>
      </c>
      <c r="F9" s="4">
        <v>0.61538461538461497</v>
      </c>
      <c r="G9" s="4">
        <v>0.68235294117647005</v>
      </c>
      <c r="H9" s="3">
        <v>1</v>
      </c>
      <c r="I9" s="1"/>
      <c r="K9" s="4">
        <v>0.55000000000000004</v>
      </c>
      <c r="L9" s="4">
        <v>0</v>
      </c>
      <c r="M9" s="4">
        <v>0.46762589928057502</v>
      </c>
      <c r="N9" s="4">
        <v>0.54081632653061196</v>
      </c>
      <c r="O9" s="4">
        <v>0.589622641509433</v>
      </c>
      <c r="P9" s="4">
        <v>0.625</v>
      </c>
      <c r="Q9" s="3">
        <v>1</v>
      </c>
    </row>
    <row r="10" spans="1:17">
      <c r="B10" s="4">
        <v>0.6</v>
      </c>
      <c r="C10" s="4">
        <v>0</v>
      </c>
      <c r="D10" s="4">
        <v>0.61538461538461497</v>
      </c>
      <c r="E10" s="4">
        <v>0.64</v>
      </c>
      <c r="F10" s="4">
        <v>0.68548387096774099</v>
      </c>
      <c r="G10" s="4">
        <v>0.73750000000000004</v>
      </c>
      <c r="H10" s="3">
        <v>1</v>
      </c>
      <c r="I10" s="1"/>
      <c r="K10" s="4">
        <v>0.6</v>
      </c>
      <c r="L10" s="4">
        <v>0</v>
      </c>
      <c r="M10" s="4">
        <v>0.50632911392405</v>
      </c>
      <c r="N10" s="4">
        <v>0.56097560975609695</v>
      </c>
      <c r="O10" s="4">
        <v>0.6</v>
      </c>
      <c r="P10" s="4">
        <v>0.65853658536585302</v>
      </c>
      <c r="Q10" s="3">
        <v>1</v>
      </c>
    </row>
    <row r="11" spans="1:17">
      <c r="B11" s="4">
        <v>0.7</v>
      </c>
      <c r="C11" s="4">
        <v>0</v>
      </c>
      <c r="D11" s="4">
        <v>0.64615384615384597</v>
      </c>
      <c r="E11" s="4">
        <v>0.69047619047619002</v>
      </c>
      <c r="F11" s="4">
        <v>0.72340425531914798</v>
      </c>
      <c r="G11" s="4">
        <v>0.78048780487804803</v>
      </c>
      <c r="H11" s="3">
        <v>1</v>
      </c>
      <c r="I11" s="1"/>
      <c r="K11" s="4">
        <v>0.7</v>
      </c>
      <c r="L11" s="4">
        <v>0</v>
      </c>
      <c r="M11" s="4">
        <v>0.60674157303370702</v>
      </c>
      <c r="N11" s="4">
        <v>0.64705882352941102</v>
      </c>
      <c r="O11" s="4">
        <v>0.68518518518518501</v>
      </c>
      <c r="P11" s="4">
        <v>0.72499999999999998</v>
      </c>
      <c r="Q11" s="3">
        <v>1</v>
      </c>
    </row>
    <row r="12" spans="1:17">
      <c r="B12" s="4">
        <v>0.8</v>
      </c>
      <c r="C12" s="4">
        <v>0</v>
      </c>
      <c r="D12" s="4">
        <v>0.74193548387096697</v>
      </c>
      <c r="E12" s="4">
        <v>0.77319587628865905</v>
      </c>
      <c r="F12" s="4">
        <v>0.80555555555555503</v>
      </c>
      <c r="G12" s="4">
        <v>0.84615384615384603</v>
      </c>
      <c r="H12" s="3">
        <v>1</v>
      </c>
      <c r="I12" s="1"/>
      <c r="K12" s="4">
        <v>0.8</v>
      </c>
      <c r="L12" s="4">
        <v>0</v>
      </c>
      <c r="M12" s="4">
        <v>0.69318181818181801</v>
      </c>
      <c r="N12" s="4">
        <v>0.74509803921568596</v>
      </c>
      <c r="O12" s="4">
        <v>0.77669902912621303</v>
      </c>
      <c r="P12" s="4">
        <v>0.820359281437125</v>
      </c>
      <c r="Q12" s="3">
        <v>1</v>
      </c>
    </row>
    <row r="13" spans="1:17">
      <c r="B13" s="4">
        <v>1</v>
      </c>
      <c r="C13" s="4">
        <v>0</v>
      </c>
      <c r="D13" s="4">
        <v>0.83950617283950602</v>
      </c>
      <c r="E13" s="4">
        <v>0.86746987951807197</v>
      </c>
      <c r="F13" s="4">
        <v>0.89898989898989801</v>
      </c>
      <c r="G13" s="4">
        <v>0.91666666666666596</v>
      </c>
      <c r="H13" s="3">
        <v>1</v>
      </c>
      <c r="I13" s="1"/>
      <c r="K13" s="4">
        <v>1</v>
      </c>
      <c r="L13" s="4">
        <v>0</v>
      </c>
      <c r="M13" s="4">
        <v>0.79104477611940205</v>
      </c>
      <c r="N13" s="4">
        <v>0.84466019417475702</v>
      </c>
      <c r="O13" s="4">
        <v>0.87878787878787801</v>
      </c>
      <c r="P13" s="4">
        <v>0.890625</v>
      </c>
      <c r="Q13" s="3">
        <v>1</v>
      </c>
    </row>
    <row r="14" spans="1:17">
      <c r="B14" s="6"/>
      <c r="C14" s="6"/>
      <c r="D14" s="6"/>
      <c r="E14" s="6"/>
      <c r="F14" s="6"/>
      <c r="G14" s="6"/>
      <c r="H14" s="7"/>
      <c r="I14" s="1"/>
      <c r="K14" s="6"/>
      <c r="L14" s="6"/>
      <c r="M14" s="6"/>
      <c r="N14" s="6"/>
      <c r="O14" s="6"/>
      <c r="P14" s="6"/>
      <c r="Q14" s="7"/>
    </row>
    <row r="15" spans="1:17">
      <c r="A15" t="s">
        <v>15</v>
      </c>
      <c r="B15" t="e">
        <f>IF(BOY_4="",NA(),BOY_4)</f>
        <v>#N/A</v>
      </c>
      <c r="C15" t="e">
        <f>IF(OR(B15="",B15&lt;0,B15&gt;1),NA(),IF(B15=1,0.999,B15))</f>
        <v>#N/A</v>
      </c>
      <c r="I15" s="1"/>
      <c r="K15" s="6"/>
      <c r="L15" s="6"/>
      <c r="M15" s="6"/>
      <c r="N15" s="6"/>
      <c r="O15" s="6"/>
      <c r="P15" s="6"/>
      <c r="Q15" s="7"/>
    </row>
    <row r="16" spans="1:17">
      <c r="A16" t="s">
        <v>16</v>
      </c>
      <c r="B16" t="e">
        <f>IF(EOY_4="",NA(),EOY_4)</f>
        <v>#N/A</v>
      </c>
      <c r="C16" t="e">
        <f>IF(OR(B16="",B16&lt;0,B16&gt;1),NA(),IF(B16=1,0.999,B16))</f>
        <v>#N/A</v>
      </c>
      <c r="I16" s="1"/>
      <c r="K16" s="6"/>
      <c r="L16" s="6"/>
      <c r="M16" s="6"/>
      <c r="N16" s="6"/>
      <c r="O16" s="6"/>
      <c r="P16" s="6"/>
      <c r="Q16" s="7"/>
    </row>
    <row r="17" spans="1:17">
      <c r="A17" t="s">
        <v>17</v>
      </c>
      <c r="B17" t="e">
        <f>IF(goal_BOY_4="",NA(),goal_BOY_4)</f>
        <v>#N/A</v>
      </c>
      <c r="C17" t="e">
        <f>IF(OR(B17="",B17&lt;0,B17&gt;1),NA(),IF(B17=1,0.999,B17))</f>
        <v>#N/A</v>
      </c>
      <c r="I17" s="1"/>
      <c r="K17" s="6"/>
      <c r="L17" s="6"/>
      <c r="M17" s="6"/>
      <c r="N17" s="6"/>
      <c r="O17" s="6"/>
      <c r="P17" s="6"/>
      <c r="Q17" s="7"/>
    </row>
    <row r="19" spans="1:17">
      <c r="A19" s="5" t="s">
        <v>13</v>
      </c>
    </row>
    <row r="20" spans="1:17">
      <c r="A20" s="2" t="s">
        <v>7</v>
      </c>
      <c r="B20" s="1" t="e">
        <f>SUMPRODUCT((B3:B12&lt;=$C$15)*(B4:B13&gt;$C$15),(B4:B13))</f>
        <v>#N/A</v>
      </c>
      <c r="C20" t="e">
        <f>VLOOKUP($B$20,$B$5:$H$13,2,FALSE)</f>
        <v>#N/A</v>
      </c>
      <c r="D20" t="e">
        <f>ROUND(VLOOKUP($B$20,$B$5:$H$13,3,FALSE),2)</f>
        <v>#N/A</v>
      </c>
      <c r="E20" t="e">
        <f>ROUND(VLOOKUP($B$20,$B$5:$H$13,4,FALSE),2)</f>
        <v>#N/A</v>
      </c>
      <c r="F20" t="e">
        <f>ROUND(VLOOKUP($B$20,$B$5:$H$13,5,FALSE),2)</f>
        <v>#N/A</v>
      </c>
      <c r="G20" t="e">
        <f>ROUND(VLOOKUP($B$20,$B$5:$H$13,6,FALSE),2)</f>
        <v>#N/A</v>
      </c>
      <c r="H20" t="e">
        <f>VLOOKUP($B$20,$B$5:$H$13,7,FALSE)</f>
        <v>#N/A</v>
      </c>
      <c r="J20" s="2"/>
    </row>
    <row r="21" spans="1:17">
      <c r="A21" s="2" t="s">
        <v>8</v>
      </c>
      <c r="B21" s="1" t="e">
        <f ca="1">OFFSET(A3,0,SUMPRODUCT((C20:G20&lt;=$C$16)*(D20:H20&gt;$C$16),COLUMN(B20:F20)))</f>
        <v>#N/A</v>
      </c>
      <c r="J21" s="2"/>
      <c r="K21" s="1"/>
    </row>
    <row r="22" spans="1:17">
      <c r="A22" s="2"/>
      <c r="B22" s="1"/>
      <c r="J22" s="2"/>
      <c r="K22" s="1"/>
    </row>
    <row r="23" spans="1:17">
      <c r="A23" s="5" t="s">
        <v>14</v>
      </c>
      <c r="B23" s="1"/>
      <c r="J23" s="2"/>
      <c r="K23" s="1"/>
    </row>
    <row r="24" spans="1:17">
      <c r="A24" s="2" t="s">
        <v>7</v>
      </c>
      <c r="B24" s="1" t="e">
        <f>SUMPRODUCT((B3:B12&lt;=$C$17)*(B4:B13&gt;$C$17),(B4:B13))</f>
        <v>#N/A</v>
      </c>
      <c r="C24" t="e">
        <f>VLOOKUP($B$24,$B$5:$H$13,2,FALSE)</f>
        <v>#N/A</v>
      </c>
      <c r="D24" t="e">
        <f>VLOOKUP($B$24,$B$5:$H$13,3,FALSE)</f>
        <v>#N/A</v>
      </c>
      <c r="E24" t="e">
        <f>VLOOKUP($B$24,$B$5:$H$13,4,FALSE)</f>
        <v>#N/A</v>
      </c>
      <c r="F24" t="e">
        <f>VLOOKUP($B$24,$B$5:$H$13,5,FALSE)</f>
        <v>#N/A</v>
      </c>
      <c r="G24" t="e">
        <f>VLOOKUP($B$24,$B$5:$H$13,6,FALSE)</f>
        <v>#N/A</v>
      </c>
      <c r="H24" t="e">
        <f>VLOOKUP($B$24,$B$5:$H$13,7,FALSE)</f>
        <v>#N/A</v>
      </c>
      <c r="J24" s="2"/>
    </row>
    <row r="25" spans="1:17">
      <c r="A25" s="2" t="s">
        <v>10</v>
      </c>
      <c r="B25" s="1"/>
      <c r="C25" t="e">
        <f>VLOOKUP($B$24,$K$5:$Q$13,2,FALSE)</f>
        <v>#N/A</v>
      </c>
      <c r="D25" t="e">
        <f>VLOOKUP($B$24,$K$5:$Q$13,3,FALSE)</f>
        <v>#N/A</v>
      </c>
      <c r="E25" t="e">
        <f>VLOOKUP($B$24,$K$5:$Q$13,4,FALSE)</f>
        <v>#N/A</v>
      </c>
      <c r="F25" t="e">
        <f>VLOOKUP($B$24,$K$5:$Q$13,5,FALSE)</f>
        <v>#N/A</v>
      </c>
      <c r="G25" t="e">
        <f>VLOOKUP($B$24,$K$5:$Q$13,6,FALSE)</f>
        <v>#N/A</v>
      </c>
      <c r="H25" t="e">
        <f>VLOOKUP($B$24,$K$5:$Q$13,7,FALSE)</f>
        <v>#N/A</v>
      </c>
      <c r="J25" s="2"/>
      <c r="K25" s="1"/>
    </row>
    <row r="26" spans="1:17">
      <c r="A26" s="2" t="s">
        <v>6</v>
      </c>
      <c r="B26" t="e">
        <f ca="1">OFFSET(A24,0,MATCH(goal_4,$B$3:$H$3,FALSE))</f>
        <v>#N/A</v>
      </c>
      <c r="C26" t="e">
        <f ca="1">OFFSET(A24,0,MATCH(goal_4,$B$3:$H$3,FALSE)+1)</f>
        <v>#N/A</v>
      </c>
      <c r="D26" t="e">
        <f ca="1">CONCATENATE(TEXT(ROUND($B$26,2)*100,"0")," - ",TEXT(ROUND($C$26,2),"0%"))</f>
        <v>#N/A</v>
      </c>
    </row>
    <row r="27" spans="1:17">
      <c r="A27" s="2" t="s">
        <v>9</v>
      </c>
      <c r="B27" t="e">
        <f ca="1">OFFSET(A25,0,MATCH(goal_4,$K$3:$Q$3,FALSE))</f>
        <v>#N/A</v>
      </c>
      <c r="C27" t="e">
        <f ca="1">OFFSET(A25,0,MATCH(goal_4,$K$3:$Q$3,FALSE)+1)</f>
        <v>#N/A</v>
      </c>
      <c r="D27" t="e">
        <f ca="1">CONCATENATE(TEXT(ROUND($B$27,2)*100,"0")," - ",TEXT(ROUND($C$27,2),"0%"))</f>
        <v>#N/A</v>
      </c>
    </row>
  </sheetData>
  <sheetProtection algorithmName="SHA-512" hashValue="bobhc+aNAoDGMFLUjKvURAwP3VlhR1xVlt6dudzfaDP1TBroi/NSlH8LJ4gJLb/vsK8OYqwp0rQcOtt44vlQ+A==" saltValue="UUWiegR5kjmyyp4UGwH+Gg==" spinCount="100000" sheet="1" objects="1" scenario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heetViews>
  <sheetFormatPr defaultColWidth="10.81640625" defaultRowHeight="14.75"/>
  <cols>
    <col min="1" max="2" width="6.5" style="8" customWidth="1"/>
    <col min="3" max="13" width="12.31640625" style="8" customWidth="1"/>
    <col min="14" max="14" width="6.5" style="8" customWidth="1"/>
    <col min="15" max="16384" width="10.81640625" style="8"/>
  </cols>
  <sheetData>
    <row r="1" spans="1:16" ht="23.5">
      <c r="A1" s="19"/>
      <c r="B1" s="69" t="s">
        <v>55</v>
      </c>
      <c r="C1" s="69"/>
      <c r="D1" s="69"/>
      <c r="E1" s="69"/>
      <c r="F1" s="69"/>
      <c r="G1" s="69"/>
      <c r="H1" s="69"/>
      <c r="I1" s="69"/>
      <c r="J1" s="69"/>
      <c r="K1" s="69"/>
      <c r="L1" s="69"/>
      <c r="M1" s="69"/>
      <c r="N1" s="69"/>
      <c r="O1" s="19"/>
      <c r="P1" s="19"/>
    </row>
    <row r="2" spans="1:16" ht="22.25">
      <c r="A2" s="19"/>
      <c r="B2" s="70" t="s">
        <v>54</v>
      </c>
      <c r="C2" s="70"/>
      <c r="D2" s="70"/>
      <c r="E2" s="70"/>
      <c r="F2" s="70"/>
      <c r="G2" s="70"/>
      <c r="H2" s="70"/>
      <c r="I2" s="70"/>
      <c r="J2" s="70"/>
      <c r="K2" s="70"/>
      <c r="L2" s="70"/>
      <c r="M2" s="70"/>
      <c r="N2" s="70"/>
      <c r="O2" s="19"/>
      <c r="P2" s="19"/>
    </row>
    <row r="3" spans="1:16" ht="16.5" customHeight="1">
      <c r="A3" s="19"/>
      <c r="B3" s="20"/>
      <c r="C3" s="20"/>
      <c r="D3" s="20"/>
      <c r="E3" s="20"/>
      <c r="F3" s="20"/>
      <c r="G3" s="20"/>
      <c r="H3" s="20"/>
      <c r="I3" s="20"/>
      <c r="J3" s="20"/>
      <c r="K3" s="20"/>
      <c r="L3" s="20"/>
      <c r="M3" s="20"/>
      <c r="N3" s="20"/>
      <c r="O3" s="19"/>
      <c r="P3" s="19"/>
    </row>
    <row r="4" spans="1:16" ht="47.25" customHeight="1">
      <c r="A4" s="19"/>
      <c r="B4" s="63" t="s">
        <v>61</v>
      </c>
      <c r="C4" s="63"/>
      <c r="D4" s="63"/>
      <c r="E4" s="63"/>
      <c r="F4" s="63"/>
      <c r="G4" s="63"/>
      <c r="H4" s="63"/>
      <c r="I4" s="63"/>
      <c r="J4" s="63"/>
      <c r="K4" s="63"/>
      <c r="L4" s="63"/>
      <c r="M4" s="63"/>
      <c r="N4" s="63"/>
      <c r="O4" s="19"/>
      <c r="P4" s="19"/>
    </row>
    <row r="5" spans="1:16" ht="12.75" customHeight="1">
      <c r="A5" s="19"/>
      <c r="B5" s="63"/>
      <c r="C5" s="63"/>
      <c r="D5" s="63"/>
      <c r="E5" s="63"/>
      <c r="F5" s="63"/>
      <c r="G5" s="63"/>
      <c r="H5" s="63"/>
      <c r="I5" s="63"/>
      <c r="J5" s="63"/>
      <c r="K5" s="63"/>
      <c r="L5" s="63"/>
      <c r="M5" s="63"/>
      <c r="N5" s="63"/>
      <c r="O5" s="19"/>
      <c r="P5" s="19"/>
    </row>
    <row r="6" spans="1:16" ht="15" customHeight="1">
      <c r="A6" s="19"/>
      <c r="B6" s="64" t="s">
        <v>70</v>
      </c>
      <c r="C6" s="64"/>
      <c r="D6" s="64"/>
      <c r="E6" s="64"/>
      <c r="F6" s="64"/>
      <c r="G6" s="64"/>
      <c r="H6" s="64"/>
      <c r="I6" s="64"/>
      <c r="J6" s="64"/>
      <c r="K6" s="64"/>
      <c r="L6" s="64"/>
      <c r="M6" s="64"/>
      <c r="N6" s="64"/>
      <c r="O6" s="19"/>
      <c r="P6" s="19"/>
    </row>
    <row r="7" spans="1:16" ht="74.25" customHeight="1">
      <c r="A7" s="19"/>
      <c r="B7" s="63" t="s">
        <v>71</v>
      </c>
      <c r="C7" s="63"/>
      <c r="D7" s="63"/>
      <c r="E7" s="63"/>
      <c r="F7" s="63"/>
      <c r="G7" s="63"/>
      <c r="H7" s="63"/>
      <c r="I7" s="63"/>
      <c r="J7" s="63"/>
      <c r="K7" s="63"/>
      <c r="L7" s="63"/>
      <c r="M7" s="63"/>
      <c r="N7" s="63"/>
      <c r="O7" s="19"/>
      <c r="P7" s="19"/>
    </row>
    <row r="8" spans="1:16" ht="13.5" customHeight="1">
      <c r="A8" s="19"/>
      <c r="B8" s="21"/>
      <c r="C8" s="21"/>
      <c r="D8" s="21"/>
      <c r="E8" s="21"/>
      <c r="F8" s="21"/>
      <c r="G8" s="21"/>
      <c r="H8" s="21"/>
      <c r="I8" s="21"/>
      <c r="J8" s="21"/>
      <c r="K8" s="21"/>
      <c r="L8" s="21"/>
      <c r="M8" s="21"/>
      <c r="N8" s="21"/>
      <c r="O8" s="19"/>
      <c r="P8" s="19"/>
    </row>
    <row r="9" spans="1:16" ht="16">
      <c r="A9" s="19"/>
      <c r="B9" s="64" t="s">
        <v>72</v>
      </c>
      <c r="C9" s="64"/>
      <c r="D9" s="64"/>
      <c r="E9" s="64"/>
      <c r="F9" s="64"/>
      <c r="G9" s="64"/>
      <c r="H9" s="64"/>
      <c r="I9" s="64"/>
      <c r="J9" s="64"/>
      <c r="K9" s="64"/>
      <c r="L9" s="64"/>
      <c r="M9" s="64"/>
      <c r="N9" s="64"/>
      <c r="O9" s="19"/>
      <c r="P9" s="19"/>
    </row>
    <row r="10" spans="1:16" ht="80" customHeight="1">
      <c r="A10" s="19"/>
      <c r="B10" s="65" t="s">
        <v>73</v>
      </c>
      <c r="C10" s="65"/>
      <c r="D10" s="65"/>
      <c r="E10" s="65"/>
      <c r="F10" s="65"/>
      <c r="G10" s="65"/>
      <c r="H10" s="65"/>
      <c r="I10" s="65"/>
      <c r="J10" s="65"/>
      <c r="K10" s="65"/>
      <c r="L10" s="65"/>
      <c r="M10" s="65"/>
      <c r="N10" s="65"/>
      <c r="O10" s="19"/>
      <c r="P10" s="19"/>
    </row>
    <row r="11" spans="1:16" ht="16">
      <c r="A11" s="19"/>
      <c r="B11" s="22"/>
      <c r="C11" s="22"/>
      <c r="D11" s="22"/>
      <c r="E11" s="22"/>
      <c r="F11" s="22"/>
      <c r="G11" s="22"/>
      <c r="H11" s="22"/>
      <c r="I11" s="22"/>
      <c r="J11" s="22"/>
      <c r="K11" s="22"/>
      <c r="L11" s="22"/>
      <c r="M11" s="22"/>
      <c r="N11" s="22"/>
      <c r="O11" s="19"/>
      <c r="P11" s="19"/>
    </row>
    <row r="12" spans="1:16" ht="48">
      <c r="A12" s="19"/>
      <c r="B12" s="22"/>
      <c r="C12" s="28" t="s">
        <v>32</v>
      </c>
      <c r="D12" s="29" t="s">
        <v>37</v>
      </c>
      <c r="E12" s="23"/>
      <c r="F12" s="28" t="s">
        <v>41</v>
      </c>
      <c r="G12" s="29" t="s">
        <v>37</v>
      </c>
      <c r="H12" s="23"/>
      <c r="I12" s="23"/>
      <c r="J12" s="23"/>
      <c r="K12" s="23"/>
      <c r="L12" s="66"/>
      <c r="M12" s="66"/>
      <c r="N12" s="22"/>
      <c r="O12" s="19"/>
      <c r="P12" s="19"/>
    </row>
    <row r="13" spans="1:16" ht="16">
      <c r="A13" s="19"/>
      <c r="B13" s="22"/>
      <c r="C13" s="24"/>
      <c r="D13" s="24"/>
      <c r="E13" s="23"/>
      <c r="F13" s="23"/>
      <c r="G13" s="23"/>
      <c r="H13" s="23"/>
      <c r="I13" s="23"/>
      <c r="J13" s="23"/>
      <c r="K13" s="23"/>
      <c r="L13" s="25"/>
      <c r="M13" s="25"/>
      <c r="N13" s="22"/>
      <c r="O13" s="19"/>
      <c r="P13" s="19"/>
    </row>
    <row r="14" spans="1:16" ht="16">
      <c r="A14" s="19"/>
      <c r="B14" s="22"/>
      <c r="C14" s="68" t="s">
        <v>38</v>
      </c>
      <c r="D14" s="67" t="s">
        <v>39</v>
      </c>
      <c r="E14" s="67"/>
      <c r="F14" s="67"/>
      <c r="G14" s="67"/>
      <c r="H14" s="67"/>
      <c r="I14" s="67" t="s">
        <v>40</v>
      </c>
      <c r="J14" s="67"/>
      <c r="K14" s="67"/>
      <c r="L14" s="67"/>
      <c r="M14" s="67"/>
      <c r="N14" s="22"/>
      <c r="O14" s="19"/>
      <c r="P14" s="19"/>
    </row>
    <row r="15" spans="1:16" ht="48" customHeight="1">
      <c r="A15" s="19"/>
      <c r="B15" s="22"/>
      <c r="C15" s="68"/>
      <c r="D15" s="47" t="s">
        <v>33</v>
      </c>
      <c r="E15" s="50" t="s">
        <v>19</v>
      </c>
      <c r="F15" s="50" t="s">
        <v>0</v>
      </c>
      <c r="G15" s="51" t="s">
        <v>20</v>
      </c>
      <c r="H15" s="51" t="s">
        <v>34</v>
      </c>
      <c r="I15" s="47" t="s">
        <v>33</v>
      </c>
      <c r="J15" s="50" t="s">
        <v>19</v>
      </c>
      <c r="K15" s="50" t="s">
        <v>0</v>
      </c>
      <c r="L15" s="51" t="s">
        <v>20</v>
      </c>
      <c r="M15" s="51" t="s">
        <v>34</v>
      </c>
      <c r="N15" s="22"/>
      <c r="O15" s="19"/>
      <c r="P15" s="19"/>
    </row>
    <row r="16" spans="1:16" ht="16">
      <c r="A16" s="19"/>
      <c r="B16" s="22"/>
      <c r="C16" s="30" t="str">
        <f ca="1">IFERROR(CONCATENATE(TEXT(INDIRECT("'"&amp;ranges_tab&amp;"'!K4")*100,"0")," - ",TEXT(INDIRECT("'"&amp;ranges_tab&amp;"'!K5"),"0%")),"")</f>
        <v/>
      </c>
      <c r="D16" s="31" t="str">
        <f ca="1">IFERROR(CONCATENATE(TEXT(ROUND(INDIRECT("'"&amp;ranges_tab&amp;"'!L5"),2)*100,"0")," - ",TEXT(ROUND(INDIRECT("'"&amp;ranges_tab&amp;"'!M5"),2),"0%")),"")</f>
        <v/>
      </c>
      <c r="E16" s="31" t="str">
        <f ca="1">IFERROR(CONCATENATE(TEXT(ROUND(INDIRECT("'"&amp;ranges_tab&amp;"'!M5"),2)*100,"0")," - ",TEXT(ROUND(INDIRECT("'"&amp;ranges_tab&amp;"'!N5"),2),"0%")),"")</f>
        <v/>
      </c>
      <c r="F16" s="31" t="str">
        <f ca="1">IFERROR(CONCATENATE(TEXT(ROUND(INDIRECT("'"&amp;ranges_tab&amp;"'!N5"),2)*100,"0")," - ",TEXT(ROUND(INDIRECT("'"&amp;ranges_tab&amp;"'!O5"),2),"0%")),"")</f>
        <v/>
      </c>
      <c r="G16" s="31" t="str">
        <f ca="1">IFERROR(CONCATENATE(TEXT(ROUND(INDIRECT("'"&amp;ranges_tab&amp;"'!O5")*100,2),"0")," - ",TEXT(ROUND(INDIRECT("'"&amp;ranges_tab&amp;"'!P5"),2),"0%")),"")</f>
        <v/>
      </c>
      <c r="H16" s="31" t="str">
        <f ca="1">IFERROR(CONCATENATE(TEXT(ROUND(INDIRECT("'"&amp;ranges_tab&amp;"'!P5"),2)*100,"0")," - ",TEXT(ROUND(INDIRECT("'"&amp;ranges_tab&amp;"'!Q5"),2),"0%")),"")</f>
        <v/>
      </c>
      <c r="I16" s="31" t="str">
        <f ca="1">IFERROR(CONCATENATE(TEXT(ROUND(INDIRECT("'"&amp;ranges_tab&amp;"'!C5"),2)*100,"0")," - ",TEXT(ROUND(INDIRECT("'"&amp;ranges_tab&amp;"'!D5"),2),"0%")),"")</f>
        <v/>
      </c>
      <c r="J16" s="31" t="str">
        <f ca="1">IFERROR(CONCATENATE(TEXT(ROUND(INDIRECT("'"&amp;ranges_tab&amp;"'!D5")*100,2),"0")," - ",TEXT(ROUND(INDIRECT("'"&amp;ranges_tab&amp;"'!E5"),2),"0%")),"")</f>
        <v/>
      </c>
      <c r="K16" s="31" t="str">
        <f ca="1">IFERROR(CONCATENATE(TEXT(ROUND(INDIRECT("'"&amp;ranges_tab&amp;"'!E5")*100,2),"0")," - ",TEXT(ROUND(INDIRECT("'"&amp;ranges_tab&amp;"'!F5"),2),"0%")),"")</f>
        <v/>
      </c>
      <c r="L16" s="31" t="str">
        <f ca="1">IFERROR(CONCATENATE(TEXT(ROUND(INDIRECT("'"&amp;ranges_tab&amp;"'!F5"),2)*100,"0")," - ",TEXT(ROUND(INDIRECT("'"&amp;ranges_tab&amp;"'!G5"),2),"0%")),"")</f>
        <v/>
      </c>
      <c r="M16" s="31" t="str">
        <f ca="1">IFERROR(CONCATENATE(TEXT(ROUND(INDIRECT("'"&amp;ranges_tab&amp;"'!G5"),2)*100,"0")," - ",TEXT(ROUND(INDIRECT("'"&amp;ranges_tab&amp;"'!H5"),2),"0%")),"")</f>
        <v/>
      </c>
      <c r="N16" s="22"/>
      <c r="O16" s="19"/>
      <c r="P16" s="19"/>
    </row>
    <row r="17" spans="1:16" ht="16">
      <c r="A17" s="19"/>
      <c r="B17" s="22"/>
      <c r="C17" s="30" t="str">
        <f ca="1">IFERROR(IF(INDIRECT("'"&amp;ranges_tab&amp;"'!K6")=0,"",CONCATENATE(TEXT(INDIRECT("'"&amp;ranges_tab&amp;"'!K5")*100,"0")," - ",TEXT(INDIRECT("'"&amp;ranges_tab&amp;"'!K6"),"0%"))),"")</f>
        <v/>
      </c>
      <c r="D17" s="31" t="str">
        <f ca="1">IFERROR(CONCATENATE(TEXT(ROUND(INDIRECT("'"&amp;ranges_tab&amp;"'!L6"),2)*100,"0")," - ",TEXT(ROUND(INDIRECT("'"&amp;ranges_tab&amp;"'!M6"),2),"0%")),"")</f>
        <v/>
      </c>
      <c r="E17" s="31" t="str">
        <f ca="1">IFERROR(CONCATENATE(TEXT(ROUND(INDIRECT("'"&amp;ranges_tab&amp;"'!M6"),2)*100,"0")," - ",TEXT(ROUND(INDIRECT("'"&amp;ranges_tab&amp;"'!N6"),2),"0%")),"")</f>
        <v/>
      </c>
      <c r="F17" s="31" t="str">
        <f ca="1">IFERROR(CONCATENATE(TEXT(ROUND(INDIRECT("'"&amp;ranges_tab&amp;"'!N6"),2)*100,"0")," - ",TEXT(ROUND(INDIRECT("'"&amp;ranges_tab&amp;"'!O6"),2),"0%")),"")</f>
        <v/>
      </c>
      <c r="G17" s="31" t="str">
        <f ca="1">IFERROR(CONCATENATE(TEXT(ROUND(INDIRECT("'"&amp;ranges_tab&amp;"'!O6")*100,2),"0")," - ",TEXT(ROUND(INDIRECT("'"&amp;ranges_tab&amp;"'!P6"),2),"0%")),"")</f>
        <v/>
      </c>
      <c r="H17" s="31" t="str">
        <f ca="1">IFERROR(CONCATENATE(TEXT(ROUND(INDIRECT("'"&amp;ranges_tab&amp;"'!P6"),2)*100,"0")," - ",TEXT(ROUND(INDIRECT("'"&amp;ranges_tab&amp;"'!Q6"),2),"0%")),"")</f>
        <v/>
      </c>
      <c r="I17" s="31" t="str">
        <f ca="1">IFERROR(CONCATENATE(TEXT(ROUND(INDIRECT("'"&amp;ranges_tab&amp;"'!C6"),2)*100,"0")," - ",TEXT(ROUND(INDIRECT("'"&amp;ranges_tab&amp;"'!D6"),2),"0%")),"")</f>
        <v/>
      </c>
      <c r="J17" s="31" t="str">
        <f ca="1">IFERROR(CONCATENATE(TEXT(ROUND(INDIRECT("'"&amp;ranges_tab&amp;"'!D6")*100,2),"0")," - ",TEXT(ROUND(INDIRECT("'"&amp;ranges_tab&amp;"'!E6"),2),"0%")),"")</f>
        <v/>
      </c>
      <c r="K17" s="31" t="str">
        <f ca="1">IFERROR(CONCATENATE(TEXT(ROUND(INDIRECT("'"&amp;ranges_tab&amp;"'!E6")*100,2),"0")," - ",TEXT(ROUND(INDIRECT("'"&amp;ranges_tab&amp;"'!F6"),2),"0%")),"")</f>
        <v/>
      </c>
      <c r="L17" s="31" t="str">
        <f ca="1">IFERROR(CONCATENATE(TEXT(ROUND(INDIRECT("'"&amp;ranges_tab&amp;"'!F6"),2)*100,"0")," - ",TEXT(ROUND(INDIRECT("'"&amp;ranges_tab&amp;"'!G6"),2),"0%")),"")</f>
        <v/>
      </c>
      <c r="M17" s="31" t="str">
        <f ca="1">IFERROR(CONCATENATE(TEXT(ROUND(INDIRECT("'"&amp;ranges_tab&amp;"'!G6"),2)*100,"0")," - ",TEXT(ROUND(INDIRECT("'"&amp;ranges_tab&amp;"'!H6"),2),"0%")),"")</f>
        <v/>
      </c>
      <c r="N17" s="22"/>
      <c r="O17" s="19"/>
      <c r="P17" s="19"/>
    </row>
    <row r="18" spans="1:16" ht="16">
      <c r="A18" s="19"/>
      <c r="B18" s="22"/>
      <c r="C18" s="30" t="str">
        <f ca="1">IFERROR(IF(INDIRECT("'"&amp;ranges_tab&amp;"'!K7")=0,"",CONCATENATE(TEXT(INDIRECT("'"&amp;ranges_tab&amp;"'!K6")*100,"0")," - ",TEXT(INDIRECT("'"&amp;ranges_tab&amp;"'!K7"),"0%"))),"")</f>
        <v/>
      </c>
      <c r="D18" s="31" t="str">
        <f ca="1">IFERROR(CONCATENATE(TEXT(ROUND(INDIRECT("'"&amp;ranges_tab&amp;"'!L7"),2)*100,"0")," - ",TEXT(ROUND(INDIRECT("'"&amp;ranges_tab&amp;"'!M7"),2),"0%")),"")</f>
        <v/>
      </c>
      <c r="E18" s="31" t="str">
        <f ca="1">IFERROR(CONCATENATE(TEXT(ROUND(INDIRECT("'"&amp;ranges_tab&amp;"'!M7"),2)*100,"0")," - ",TEXT(ROUND(INDIRECT("'"&amp;ranges_tab&amp;"'!N7"),2),"0%")),"")</f>
        <v/>
      </c>
      <c r="F18" s="31" t="str">
        <f ca="1">IFERROR(CONCATENATE(TEXT(ROUND(INDIRECT("'"&amp;ranges_tab&amp;"'!N7"),2)*100,"0")," - ",TEXT(ROUND(INDIRECT("'"&amp;ranges_tab&amp;"'!O7"),2),"0%")),"")</f>
        <v/>
      </c>
      <c r="G18" s="31" t="str">
        <f ca="1">IFERROR(CONCATENATE(TEXT(ROUND(INDIRECT("'"&amp;ranges_tab&amp;"'!O7")*100,2),"0")," - ",TEXT(ROUND(INDIRECT("'"&amp;ranges_tab&amp;"'!P7"),2),"0%")),"")</f>
        <v/>
      </c>
      <c r="H18" s="31" t="str">
        <f ca="1">IFERROR(CONCATENATE(TEXT(ROUND(INDIRECT("'"&amp;ranges_tab&amp;"'!P7"),2)*100,"0")," - ",TEXT(ROUND(INDIRECT("'"&amp;ranges_tab&amp;"'!Q7"),2),"0%")),"")</f>
        <v/>
      </c>
      <c r="I18" s="31" t="str">
        <f ca="1">IFERROR(CONCATENATE(TEXT(ROUND(INDIRECT("'"&amp;ranges_tab&amp;"'!C7"),2)*100,"0")," - ",TEXT(ROUND(INDIRECT("'"&amp;ranges_tab&amp;"'!D7"),2),"0%")),"")</f>
        <v/>
      </c>
      <c r="J18" s="31" t="str">
        <f ca="1">IFERROR(CONCATENATE(TEXT(ROUND(INDIRECT("'"&amp;ranges_tab&amp;"'!D7")*100,2),"0")," - ",TEXT(ROUND(INDIRECT("'"&amp;ranges_tab&amp;"'!E7"),2),"0%")),"")</f>
        <v/>
      </c>
      <c r="K18" s="31" t="str">
        <f ca="1">IFERROR(CONCATENATE(TEXT(ROUND(INDIRECT("'"&amp;ranges_tab&amp;"'!E7")*100,2),"0")," - ",TEXT(ROUND(INDIRECT("'"&amp;ranges_tab&amp;"'!F7"),2),"0%")),"")</f>
        <v/>
      </c>
      <c r="L18" s="31" t="str">
        <f ca="1">IFERROR(CONCATENATE(TEXT(ROUND(INDIRECT("'"&amp;ranges_tab&amp;"'!F7"),2)*100,"0")," - ",TEXT(ROUND(INDIRECT("'"&amp;ranges_tab&amp;"'!G7"),2),"0%")),"")</f>
        <v/>
      </c>
      <c r="M18" s="31" t="str">
        <f ca="1">IFERROR(CONCATENATE(TEXT(ROUND(INDIRECT("'"&amp;ranges_tab&amp;"'!G7"),2)*100,"0")," - ",TEXT(ROUND(INDIRECT("'"&amp;ranges_tab&amp;"'!H7"),2),"0%")),"")</f>
        <v/>
      </c>
      <c r="N18" s="22"/>
      <c r="O18" s="19"/>
      <c r="P18" s="19"/>
    </row>
    <row r="19" spans="1:16" ht="16">
      <c r="A19" s="19"/>
      <c r="B19" s="22"/>
      <c r="C19" s="30" t="str">
        <f ca="1">IFERROR(IF(INDIRECT("'"&amp;ranges_tab&amp;"'!K8")=0,"",CONCATENATE(TEXT(INDIRECT("'"&amp;ranges_tab&amp;"'!K7")*100,"0")," - ",TEXT(INDIRECT("'"&amp;ranges_tab&amp;"'!K8"),"0%"))),"")</f>
        <v/>
      </c>
      <c r="D19" s="31" t="str">
        <f ca="1">IFERROR(CONCATENATE(TEXT(ROUND(INDIRECT("'"&amp;ranges_tab&amp;"'!L8"),2)*100,"0")," - ",TEXT(ROUND(INDIRECT("'"&amp;ranges_tab&amp;"'!M8"),2),"0%")),"")</f>
        <v/>
      </c>
      <c r="E19" s="31" t="str">
        <f ca="1">IFERROR(CONCATENATE(TEXT(ROUND(INDIRECT("'"&amp;ranges_tab&amp;"'!M8"),2)*100,"0")," - ",TEXT(ROUND(INDIRECT("'"&amp;ranges_tab&amp;"'!N8"),2),"0%")),"")</f>
        <v/>
      </c>
      <c r="F19" s="31" t="str">
        <f ca="1">IFERROR(CONCATENATE(TEXT(ROUND(INDIRECT("'"&amp;ranges_tab&amp;"'!N8"),2)*100,"0")," - ",TEXT(ROUND(INDIRECT("'"&amp;ranges_tab&amp;"'!O8"),2),"0%")),"")</f>
        <v/>
      </c>
      <c r="G19" s="31" t="str">
        <f ca="1">IFERROR(CONCATENATE(TEXT(ROUND(INDIRECT("'"&amp;ranges_tab&amp;"'!O8")*100,2),"0")," - ",TEXT(ROUND(INDIRECT("'"&amp;ranges_tab&amp;"'!P8"),2),"0%")),"")</f>
        <v/>
      </c>
      <c r="H19" s="31" t="str">
        <f ca="1">IFERROR(CONCATENATE(TEXT(ROUND(INDIRECT("'"&amp;ranges_tab&amp;"'!P8"),2)*100,"0")," - ",TEXT(ROUND(INDIRECT("'"&amp;ranges_tab&amp;"'!Q8"),2),"0%")),"")</f>
        <v/>
      </c>
      <c r="I19" s="31" t="str">
        <f ca="1">IFERROR(CONCATENATE(TEXT(ROUND(INDIRECT("'"&amp;ranges_tab&amp;"'!C8"),2)*100,"0")," - ",TEXT(ROUND(INDIRECT("'"&amp;ranges_tab&amp;"'!D8"),2),"0%")),"")</f>
        <v/>
      </c>
      <c r="J19" s="31" t="str">
        <f ca="1">IFERROR(CONCATENATE(TEXT(ROUND(INDIRECT("'"&amp;ranges_tab&amp;"'!D8")*100,2),"0")," - ",TEXT(ROUND(INDIRECT("'"&amp;ranges_tab&amp;"'!E8"),2),"0%")),"")</f>
        <v/>
      </c>
      <c r="K19" s="31" t="str">
        <f ca="1">IFERROR(CONCATENATE(TEXT(ROUND(INDIRECT("'"&amp;ranges_tab&amp;"'!E8")*100,2),"0")," - ",TEXT(ROUND(INDIRECT("'"&amp;ranges_tab&amp;"'!F8"),2),"0%")),"")</f>
        <v/>
      </c>
      <c r="L19" s="31" t="str">
        <f ca="1">IFERROR(CONCATENATE(TEXT(ROUND(INDIRECT("'"&amp;ranges_tab&amp;"'!F8"),2)*100,"0")," - ",TEXT(ROUND(INDIRECT("'"&amp;ranges_tab&amp;"'!G8"),2),"0%")),"")</f>
        <v/>
      </c>
      <c r="M19" s="31" t="str">
        <f ca="1">IFERROR(CONCATENATE(TEXT(ROUND(INDIRECT("'"&amp;ranges_tab&amp;"'!G8"),2)*100,"0")," - ",TEXT(ROUND(INDIRECT("'"&amp;ranges_tab&amp;"'!H8"),2),"0%")),"")</f>
        <v/>
      </c>
      <c r="N19" s="22"/>
      <c r="O19" s="19"/>
      <c r="P19" s="19"/>
    </row>
    <row r="20" spans="1:16" ht="16">
      <c r="A20" s="19"/>
      <c r="B20" s="22"/>
      <c r="C20" s="30" t="str">
        <f ca="1">IFERROR(IF(INDIRECT("'"&amp;ranges_tab&amp;"'!K9")=0,"",CONCATENATE(TEXT(INDIRECT("'"&amp;ranges_tab&amp;"'!K8")*100,"0")," - ",TEXT(INDIRECT("'"&amp;ranges_tab&amp;"'!K9"),"0%"))),"")</f>
        <v/>
      </c>
      <c r="D20" s="31" t="str">
        <f ca="1">IFERROR(CONCATENATE(TEXT(ROUND(INDIRECT("'"&amp;ranges_tab&amp;"'!L9"),2)*100,"0")," - ",TEXT(ROUND(INDIRECT("'"&amp;ranges_tab&amp;"'!M9"),2),"0%")),"")</f>
        <v/>
      </c>
      <c r="E20" s="31" t="str">
        <f ca="1">IFERROR(CONCATENATE(TEXT(ROUND(INDIRECT("'"&amp;ranges_tab&amp;"'!M9"),2)*100,"0")," - ",TEXT(ROUND(INDIRECT("'"&amp;ranges_tab&amp;"'!N9"),2),"0%")),"")</f>
        <v/>
      </c>
      <c r="F20" s="31" t="str">
        <f ca="1">IFERROR(CONCATENATE(TEXT(ROUND(INDIRECT("'"&amp;ranges_tab&amp;"'!N9"),2)*100,"0")," - ",TEXT(ROUND(INDIRECT("'"&amp;ranges_tab&amp;"'!O9"),2),"0%")),"")</f>
        <v/>
      </c>
      <c r="G20" s="31" t="str">
        <f ca="1">IFERROR(CONCATENATE(TEXT(ROUND(INDIRECT("'"&amp;ranges_tab&amp;"'!O9")*100,2),"0")," - ",TEXT(ROUND(INDIRECT("'"&amp;ranges_tab&amp;"'!P9"),2),"0%")),"")</f>
        <v/>
      </c>
      <c r="H20" s="31" t="str">
        <f ca="1">IFERROR(CONCATENATE(TEXT(ROUND(INDIRECT("'"&amp;ranges_tab&amp;"'!P9"),2)*100,"0")," - ",TEXT(ROUND(INDIRECT("'"&amp;ranges_tab&amp;"'!Q9"),2),"0%")),"")</f>
        <v/>
      </c>
      <c r="I20" s="31" t="str">
        <f ca="1">IFERROR(CONCATENATE(TEXT(ROUND(INDIRECT("'"&amp;ranges_tab&amp;"'!C9"),2)*100,"0")," - ",TEXT(ROUND(INDIRECT("'"&amp;ranges_tab&amp;"'!D9"),2),"0%")),"")</f>
        <v/>
      </c>
      <c r="J20" s="31" t="str">
        <f ca="1">IFERROR(CONCATENATE(TEXT(ROUND(INDIRECT("'"&amp;ranges_tab&amp;"'!D9")*100,2),"0")," - ",TEXT(ROUND(INDIRECT("'"&amp;ranges_tab&amp;"'!E9"),2),"0%")),"")</f>
        <v/>
      </c>
      <c r="K20" s="31" t="str">
        <f ca="1">IFERROR(CONCATENATE(TEXT(ROUND(INDIRECT("'"&amp;ranges_tab&amp;"'!E9")*100,2),"0")," - ",TEXT(ROUND(INDIRECT("'"&amp;ranges_tab&amp;"'!F9"),2),"0%")),"")</f>
        <v/>
      </c>
      <c r="L20" s="31" t="str">
        <f ca="1">IFERROR(CONCATENATE(TEXT(ROUND(INDIRECT("'"&amp;ranges_tab&amp;"'!F9"),2)*100,"0")," - ",TEXT(ROUND(INDIRECT("'"&amp;ranges_tab&amp;"'!G9"),2),"0%")),"")</f>
        <v/>
      </c>
      <c r="M20" s="31" t="str">
        <f ca="1">IFERROR(CONCATENATE(TEXT(ROUND(INDIRECT("'"&amp;ranges_tab&amp;"'!G9"),2)*100,"0")," - ",TEXT(ROUND(INDIRECT("'"&amp;ranges_tab&amp;"'!H9"),2),"0%")),"")</f>
        <v/>
      </c>
      <c r="N20" s="22"/>
      <c r="O20" s="19"/>
      <c r="P20" s="19"/>
    </row>
    <row r="21" spans="1:16" ht="16">
      <c r="A21" s="19"/>
      <c r="B21" s="22"/>
      <c r="C21" s="30" t="str">
        <f ca="1">IFERROR(IF(INDIRECT("'"&amp;ranges_tab&amp;"'!K10")=0,"",CONCATENATE(TEXT(INDIRECT("'"&amp;ranges_tab&amp;"'!K9")*100,"0")," - ",TEXT(INDIRECT("'"&amp;ranges_tab&amp;"'!K10"),"0%"))),"")</f>
        <v/>
      </c>
      <c r="D21" s="31" t="str">
        <f ca="1">IFERROR(CONCATENATE(TEXT(ROUND(INDIRECT("'"&amp;ranges_tab&amp;"'!L10"),2)*100,"0")," - ",TEXT(ROUND(INDIRECT("'"&amp;ranges_tab&amp;"'!M10"),2),"0%")),"")</f>
        <v/>
      </c>
      <c r="E21" s="31" t="str">
        <f ca="1">IFERROR(CONCATENATE(TEXT(ROUND(INDIRECT("'"&amp;ranges_tab&amp;"'!M10"),2)*100,"0")," - ",TEXT(ROUND(INDIRECT("'"&amp;ranges_tab&amp;"'!N10"),2),"0%")),"")</f>
        <v/>
      </c>
      <c r="F21" s="31" t="str">
        <f ca="1">IFERROR(CONCATENATE(TEXT(ROUND(INDIRECT("'"&amp;ranges_tab&amp;"'!N10"),2)*100,"0")," - ",TEXT(ROUND(INDIRECT("'"&amp;ranges_tab&amp;"'!O10"),2),"0%")),"")</f>
        <v/>
      </c>
      <c r="G21" s="31" t="str">
        <f ca="1">IFERROR(CONCATENATE(TEXT(ROUND(INDIRECT("'"&amp;ranges_tab&amp;"'!O10")*100,2),"0")," - ",TEXT(ROUND(INDIRECT("'"&amp;ranges_tab&amp;"'!P10"),2),"0%")),"")</f>
        <v/>
      </c>
      <c r="H21" s="31" t="str">
        <f ca="1">IFERROR(CONCATENATE(TEXT(ROUND(INDIRECT("'"&amp;ranges_tab&amp;"'!P10"),2)*100,"0")," - ",TEXT(ROUND(INDIRECT("'"&amp;ranges_tab&amp;"'!Q10"),2),"0%")),"")</f>
        <v/>
      </c>
      <c r="I21" s="31" t="str">
        <f ca="1">IFERROR(CONCATENATE(TEXT(ROUND(INDIRECT("'"&amp;ranges_tab&amp;"'!C10"),2)*100,"0")," - ",TEXT(ROUND(INDIRECT("'"&amp;ranges_tab&amp;"'!D10"),2),"0%")),"")</f>
        <v/>
      </c>
      <c r="J21" s="31" t="str">
        <f ca="1">IFERROR(CONCATENATE(TEXT(ROUND(INDIRECT("'"&amp;ranges_tab&amp;"'!D10")*100,2),"0")," - ",TEXT(ROUND(INDIRECT("'"&amp;ranges_tab&amp;"'!E10"),2),"0%")),"")</f>
        <v/>
      </c>
      <c r="K21" s="31" t="str">
        <f ca="1">IFERROR(CONCATENATE(TEXT(ROUND(INDIRECT("'"&amp;ranges_tab&amp;"'!E10")*100,2),"0")," - ",TEXT(ROUND(INDIRECT("'"&amp;ranges_tab&amp;"'!F10"),2),"0%")),"")</f>
        <v/>
      </c>
      <c r="L21" s="31" t="str">
        <f ca="1">IFERROR(CONCATENATE(TEXT(ROUND(INDIRECT("'"&amp;ranges_tab&amp;"'!F10"),2)*100,"0")," - ",TEXT(ROUND(INDIRECT("'"&amp;ranges_tab&amp;"'!G10"),2),"0%")),"")</f>
        <v/>
      </c>
      <c r="M21" s="31" t="str">
        <f ca="1">IFERROR(CONCATENATE(TEXT(ROUND(INDIRECT("'"&amp;ranges_tab&amp;"'!G10"),2)*100,"0")," - ",TEXT(ROUND(INDIRECT("'"&amp;ranges_tab&amp;"'!H10"),2),"0%")),"")</f>
        <v/>
      </c>
      <c r="N21" s="22"/>
      <c r="O21" s="19"/>
      <c r="P21" s="19"/>
    </row>
    <row r="22" spans="1:16" ht="16">
      <c r="A22" s="19"/>
      <c r="B22" s="22"/>
      <c r="C22" s="30" t="str">
        <f ca="1">IFERROR(IF(INDIRECT("'"&amp;ranges_tab&amp;"'!K11")=0,"",CONCATENATE(TEXT(INDIRECT("'"&amp;ranges_tab&amp;"'!K10")*100,"0")," - ",TEXT(INDIRECT("'"&amp;ranges_tab&amp;"'!K11"),"0%"))),"")</f>
        <v/>
      </c>
      <c r="D22" s="31" t="str">
        <f ca="1">IFERROR(CONCATENATE(TEXT(ROUND(INDIRECT("'"&amp;ranges_tab&amp;"'!L11"),2)*100,"0")," - ",TEXT(ROUND(INDIRECT("'"&amp;ranges_tab&amp;"'!M11"),2),"0%")),"")</f>
        <v/>
      </c>
      <c r="E22" s="31" t="str">
        <f ca="1">IFERROR(CONCATENATE(TEXT(ROUND(INDIRECT("'"&amp;ranges_tab&amp;"'!M11"),2)*100,"0")," - ",TEXT(ROUND(INDIRECT("'"&amp;ranges_tab&amp;"'!N11"),2),"0%")),"")</f>
        <v/>
      </c>
      <c r="F22" s="31" t="str">
        <f ca="1">IFERROR(CONCATENATE(TEXT(ROUND(INDIRECT("'"&amp;ranges_tab&amp;"'!N11"),2)*100,"0")," - ",TEXT(ROUND(INDIRECT("'"&amp;ranges_tab&amp;"'!O11"),2),"0%")),"")</f>
        <v/>
      </c>
      <c r="G22" s="31" t="str">
        <f ca="1">IFERROR(CONCATENATE(TEXT(ROUND(INDIRECT("'"&amp;ranges_tab&amp;"'!O11")*100,2),"0")," - ",TEXT(ROUND(INDIRECT("'"&amp;ranges_tab&amp;"'!P11"),2),"0%")),"")</f>
        <v/>
      </c>
      <c r="H22" s="31" t="str">
        <f ca="1">IFERROR(CONCATENATE(TEXT(ROUND(INDIRECT("'"&amp;ranges_tab&amp;"'!P11"),2)*100,"0")," - ",TEXT(ROUND(INDIRECT("'"&amp;ranges_tab&amp;"'!Q11"),2),"0%")),"")</f>
        <v/>
      </c>
      <c r="I22" s="31" t="str">
        <f ca="1">IFERROR(CONCATENATE(TEXT(ROUND(INDIRECT("'"&amp;ranges_tab&amp;"'!C11"),2)*100,"0")," - ",TEXT(ROUND(INDIRECT("'"&amp;ranges_tab&amp;"'!D11"),2),"0%")),"")</f>
        <v/>
      </c>
      <c r="J22" s="31" t="str">
        <f ca="1">IFERROR(CONCATENATE(TEXT(ROUND(INDIRECT("'"&amp;ranges_tab&amp;"'!D11")*100,2),"0")," - ",TEXT(ROUND(INDIRECT("'"&amp;ranges_tab&amp;"'!E11"),2),"0%")),"")</f>
        <v/>
      </c>
      <c r="K22" s="31" t="str">
        <f ca="1">IFERROR(CONCATENATE(TEXT(ROUND(INDIRECT("'"&amp;ranges_tab&amp;"'!E11")*100,2),"0")," - ",TEXT(ROUND(INDIRECT("'"&amp;ranges_tab&amp;"'!F11"),2),"0%")),"")</f>
        <v/>
      </c>
      <c r="L22" s="31" t="str">
        <f ca="1">IFERROR(CONCATENATE(TEXT(ROUND(INDIRECT("'"&amp;ranges_tab&amp;"'!F11"),2)*100,"0")," - ",TEXT(ROUND(INDIRECT("'"&amp;ranges_tab&amp;"'!G11"),2),"0%")),"")</f>
        <v/>
      </c>
      <c r="M22" s="31" t="str">
        <f ca="1">IFERROR(CONCATENATE(TEXT(ROUND(INDIRECT("'"&amp;ranges_tab&amp;"'!G11"),2)*100,"0")," - ",TEXT(ROUND(INDIRECT("'"&amp;ranges_tab&amp;"'!H11"),2),"0%")),"")</f>
        <v/>
      </c>
      <c r="N22" s="22"/>
      <c r="O22" s="19"/>
      <c r="P22" s="19"/>
    </row>
    <row r="23" spans="1:16" ht="16">
      <c r="A23" s="19"/>
      <c r="B23" s="22"/>
      <c r="C23" s="30" t="str">
        <f ca="1">IFERROR(IF(INDIRECT("'"&amp;ranges_tab&amp;"'!K12")=0,"",CONCATENATE(TEXT(INDIRECT("'"&amp;ranges_tab&amp;"'!K11")*100,"0")," - ",TEXT(INDIRECT("'"&amp;ranges_tab&amp;"'!K12"),"0%"))),"")</f>
        <v/>
      </c>
      <c r="D23" s="31" t="str">
        <f ca="1">IFERROR(CONCATENATE(TEXT(ROUND(INDIRECT("'"&amp;ranges_tab&amp;"'!L12"),2)*100,"0")," - ",TEXT(ROUND(INDIRECT("'"&amp;ranges_tab&amp;"'!M12"),2),"0%")),"")</f>
        <v/>
      </c>
      <c r="E23" s="31" t="str">
        <f ca="1">IFERROR(CONCATENATE(TEXT(ROUND(INDIRECT("'"&amp;ranges_tab&amp;"'!M12"),2)*100,"0")," - ",TEXT(ROUND(INDIRECT("'"&amp;ranges_tab&amp;"'!N12"),2),"0%")),"")</f>
        <v/>
      </c>
      <c r="F23" s="31" t="str">
        <f ca="1">IFERROR(CONCATENATE(TEXT(ROUND(INDIRECT("'"&amp;ranges_tab&amp;"'!N12"),2)*100,"0")," - ",TEXT(ROUND(INDIRECT("'"&amp;ranges_tab&amp;"'!O12"),2),"0%")),"")</f>
        <v/>
      </c>
      <c r="G23" s="31" t="str">
        <f ca="1">IFERROR(CONCATENATE(TEXT(ROUND(INDIRECT("'"&amp;ranges_tab&amp;"'!O12")*100,2),"0")," - ",TEXT(ROUND(INDIRECT("'"&amp;ranges_tab&amp;"'!P12"),2),"0%")),"")</f>
        <v/>
      </c>
      <c r="H23" s="31" t="str">
        <f ca="1">IFERROR(CONCATENATE(TEXT(ROUND(INDIRECT("'"&amp;ranges_tab&amp;"'!P12"),2)*100,"0")," - ",TEXT(ROUND(INDIRECT("'"&amp;ranges_tab&amp;"'!Q12"),2),"0%")),"")</f>
        <v/>
      </c>
      <c r="I23" s="31" t="str">
        <f ca="1">IFERROR(CONCATENATE(TEXT(ROUND(INDIRECT("'"&amp;ranges_tab&amp;"'!C12"),2)*100,"0")," - ",TEXT(ROUND(INDIRECT("'"&amp;ranges_tab&amp;"'!D12"),2),"0%")),"")</f>
        <v/>
      </c>
      <c r="J23" s="31" t="str">
        <f ca="1">IFERROR(CONCATENATE(TEXT(ROUND(INDIRECT("'"&amp;ranges_tab&amp;"'!D12")*100,2),"0")," - ",TEXT(ROUND(INDIRECT("'"&amp;ranges_tab&amp;"'!E12"),2),"0%")),"")</f>
        <v/>
      </c>
      <c r="K23" s="31" t="str">
        <f ca="1">IFERROR(CONCATENATE(TEXT(ROUND(INDIRECT("'"&amp;ranges_tab&amp;"'!E12")*100,2),"0")," - ",TEXT(ROUND(INDIRECT("'"&amp;ranges_tab&amp;"'!F12"),2),"0%")),"")</f>
        <v/>
      </c>
      <c r="L23" s="31" t="str">
        <f ca="1">IFERROR(CONCATENATE(TEXT(ROUND(INDIRECT("'"&amp;ranges_tab&amp;"'!F12"),2)*100,"0")," - ",TEXT(ROUND(INDIRECT("'"&amp;ranges_tab&amp;"'!G12"),2),"0%")),"")</f>
        <v/>
      </c>
      <c r="M23" s="31" t="str">
        <f ca="1">IFERROR(CONCATENATE(TEXT(ROUND(INDIRECT("'"&amp;ranges_tab&amp;"'!G12"),2)*100,"0")," - ",TEXT(ROUND(INDIRECT("'"&amp;ranges_tab&amp;"'!H12"),2),"0%")),"")</f>
        <v/>
      </c>
      <c r="N23" s="22"/>
      <c r="O23" s="19"/>
      <c r="P23" s="19"/>
    </row>
    <row r="24" spans="1:16" ht="16">
      <c r="A24" s="19"/>
      <c r="B24" s="22"/>
      <c r="C24" s="30" t="str">
        <f ca="1">IFERROR(IF(INDIRECT("'"&amp;ranges_tab&amp;"'!K13")=0,"",CONCATENATE(TEXT(INDIRECT("'"&amp;ranges_tab&amp;"'!K12")*100,"0")," - ",TEXT(INDIRECT("'"&amp;ranges_tab&amp;"'!K13"),"0%"))),"")</f>
        <v/>
      </c>
      <c r="D24" s="31" t="str">
        <f ca="1">IFERROR(IF(INDIRECT("'"&amp;ranges_tab&amp;"'!M13")=0,"",CONCATENATE(TEXT(ROUND(INDIRECT("'"&amp;ranges_tab&amp;"'!L13"),2)*100,"0")," - ",TEXT(ROUND(INDIRECT("'"&amp;ranges_tab&amp;"'!M13"),2),"0%"))),"")</f>
        <v/>
      </c>
      <c r="E24" s="31" t="str">
        <f ca="1">IFERROR(IF(INDIRECT("'"&amp;ranges_tab&amp;"'!M13")=0,"",CONCATENATE(TEXT(ROUND(INDIRECT("'"&amp;ranges_tab&amp;"'!M13"),2)*100,"0")," - ",TEXT(ROUND(INDIRECT("'"&amp;ranges_tab&amp;"'!N13"),2),"0%"))),"")</f>
        <v/>
      </c>
      <c r="F24" s="31" t="str">
        <f ca="1">IFERROR(IF(INDIRECT("'"&amp;ranges_tab&amp;"'!N13")=0,"",CONCATENATE(TEXT(ROUND(INDIRECT("'"&amp;ranges_tab&amp;"'!N13"),2)*100,"0")," - ",TEXT(ROUND(INDIRECT("'"&amp;ranges_tab&amp;"'!O13"),2),"0%"))),"")</f>
        <v/>
      </c>
      <c r="G24" s="31" t="str">
        <f ca="1">IFERROR(IF(INDIRECT("'"&amp;ranges_tab&amp;"'!O13")=0,"",CONCATENATE(TEXT(ROUND(INDIRECT("'"&amp;ranges_tab&amp;"'!O13"),2)*100,"0")," - ",TEXT(ROUND(INDIRECT("'"&amp;ranges_tab&amp;"'!P13"),2),"0%"))),"")</f>
        <v/>
      </c>
      <c r="H24" s="31" t="str">
        <f ca="1">IFERROR(IF(INDIRECT("'"&amp;ranges_tab&amp;"'!P13")=0,"",CONCATENATE(TEXT(ROUND(INDIRECT("'"&amp;ranges_tab&amp;"'!P13"),2)*100,"0")," - ",TEXT(ROUND(INDIRECT("'"&amp;ranges_tab&amp;"'!Q13"),2),"0%"))),"")</f>
        <v/>
      </c>
      <c r="I24" s="31" t="str">
        <f ca="1">IFERROR(IF(INDIRECT("'"&amp;ranges_tab&amp;"'!D13")=0,"",CONCATENATE(TEXT(ROUND(INDIRECT("'"&amp;ranges_tab&amp;"'!C13"),2)*100,"0")," - ",TEXT(ROUND(INDIRECT("'"&amp;ranges_tab&amp;"'!D13"),2),"0%"))),"")</f>
        <v/>
      </c>
      <c r="J24" s="31" t="str">
        <f ca="1">IFERROR(IF(INDIRECT("'"&amp;ranges_tab&amp;"'!D13")=0,"",CONCATENATE(TEXT(ROUND(INDIRECT("'"&amp;ranges_tab&amp;"'!D13"),2)*100,"0")," - ",TEXT(ROUND(INDIRECT("'"&amp;ranges_tab&amp;"'!E13"),2),"0%"))),"")</f>
        <v/>
      </c>
      <c r="K24" s="31" t="str">
        <f ca="1">IFERROR(IF(INDIRECT("'"&amp;ranges_tab&amp;"'!E13")=0,"",CONCATENATE(TEXT(ROUND(INDIRECT("'"&amp;ranges_tab&amp;"'!E13"),2)*100,"0")," - ",TEXT(ROUND(INDIRECT("'"&amp;ranges_tab&amp;"'!F13"),2),"0%"))),"")</f>
        <v/>
      </c>
      <c r="L24" s="31" t="str">
        <f ca="1">IFERROR(IF(INDIRECT("'"&amp;ranges_tab&amp;"'!F13")=0,"",CONCATENATE(TEXT(ROUND(INDIRECT("'"&amp;ranges_tab&amp;"'!F13"),2)*100,"0")," - ",TEXT(ROUND(INDIRECT("'"&amp;ranges_tab&amp;"'!G13"),2),"0%"))),"")</f>
        <v/>
      </c>
      <c r="M24" s="31" t="str">
        <f ca="1">IFERROR(IF(INDIRECT("'"&amp;ranges_tab&amp;"'!G13")=0,"",CONCATENATE(TEXT(ROUND(INDIRECT("'"&amp;ranges_tab&amp;"'!G13"),2)*100,"0")," - ",TEXT(ROUND(INDIRECT("'"&amp;ranges_tab&amp;"'!H13"),2),"0%"))),"")</f>
        <v/>
      </c>
      <c r="N24" s="22"/>
      <c r="O24" s="19"/>
      <c r="P24" s="19"/>
    </row>
    <row r="25" spans="1:16" ht="16">
      <c r="A25" s="19"/>
      <c r="B25" s="22"/>
      <c r="C25" s="30" t="str">
        <f ca="1">IFERROR(IF(INDIRECT("'"&amp;ranges_tab&amp;"'!K14")=0,"",CONCATENATE(TEXT(INDIRECT("'"&amp;ranges_tab&amp;"'!K13")*100,"0")," - ",TEXT(INDIRECT("'"&amp;ranges_tab&amp;"'!K14"),"0%"))),"")</f>
        <v/>
      </c>
      <c r="D25" s="31" t="str">
        <f ca="1">IFERROR(IF(INDIRECT("'"&amp;ranges_tab&amp;"'!M14")=0,"",CONCATENATE(TEXT(ROUND(INDIRECT("'"&amp;ranges_tab&amp;"'!L14"),2)*100,"0")," - ",TEXT(ROUND(INDIRECT("'"&amp;ranges_tab&amp;"'!M14"),2),"0%"))),"")</f>
        <v/>
      </c>
      <c r="E25" s="31" t="str">
        <f ca="1">IFERROR(IF(INDIRECT("'"&amp;ranges_tab&amp;"'!M14")=0,"",CONCATENATE(TEXT(ROUND(INDIRECT("'"&amp;ranges_tab&amp;"'!M14"),2)*100,"0")," - ",TEXT(ROUND(INDIRECT("'"&amp;ranges_tab&amp;"'!N14"),2),"0%"))),"")</f>
        <v/>
      </c>
      <c r="F25" s="31" t="str">
        <f ca="1">IFERROR(IF(INDIRECT("'"&amp;ranges_tab&amp;"'!N14")=0,"",CONCATENATE(TEXT(ROUND(INDIRECT("'"&amp;ranges_tab&amp;"'!N14"),2)*100,"0")," - ",TEXT(ROUND(INDIRECT("'"&amp;ranges_tab&amp;"'!O14"),2),"0%"))),"")</f>
        <v/>
      </c>
      <c r="G25" s="31" t="str">
        <f ca="1">IFERROR(IF(INDIRECT("'"&amp;ranges_tab&amp;"'!O14")=0,"",CONCATENATE(TEXT(ROUND(INDIRECT("'"&amp;ranges_tab&amp;"'!O14"),2)*100,"0")," - ",TEXT(ROUND(INDIRECT("'"&amp;ranges_tab&amp;"'!P14"),2),"0%"))),"")</f>
        <v/>
      </c>
      <c r="H25" s="31" t="str">
        <f ca="1">IFERROR(IF(INDIRECT("'"&amp;ranges_tab&amp;"'!P14")=0,"",CONCATENATE(TEXT(ROUND(INDIRECT("'"&amp;ranges_tab&amp;"'!P14"),2)*100,"0")," - ",TEXT(ROUND(INDIRECT("'"&amp;ranges_tab&amp;"'!Q14"),2),"0%"))),"")</f>
        <v/>
      </c>
      <c r="I25" s="31" t="str">
        <f ca="1">IFERROR(IF(INDIRECT("'"&amp;ranges_tab&amp;"'!D14")=0,"",CONCATENATE(TEXT(ROUND(INDIRECT("'"&amp;ranges_tab&amp;"'!C14"),2)*100,"0")," - ",TEXT(ROUND(INDIRECT("'"&amp;ranges_tab&amp;"'!D14"),2),"0%"))),"")</f>
        <v/>
      </c>
      <c r="J25" s="31" t="str">
        <f ca="1">IFERROR(IF(INDIRECT("'"&amp;ranges_tab&amp;"'!D14")=0,"",CONCATENATE(TEXT(ROUND(INDIRECT("'"&amp;ranges_tab&amp;"'!D14"),2)*100,"0")," - ",TEXT(ROUND(INDIRECT("'"&amp;ranges_tab&amp;"'!E14"),2),"0%"))),"")</f>
        <v/>
      </c>
      <c r="K25" s="31" t="str">
        <f ca="1">IFERROR(IF(INDIRECT("'"&amp;ranges_tab&amp;"'!E14")=0,"",CONCATENATE(TEXT(ROUND(INDIRECT("'"&amp;ranges_tab&amp;"'!E14"),2)*100,"0")," - ",TEXT(ROUND(INDIRECT("'"&amp;ranges_tab&amp;"'!F14"),2),"0%"))),"")</f>
        <v/>
      </c>
      <c r="L25" s="31" t="str">
        <f ca="1">IFERROR(IF(INDIRECT("'"&amp;ranges_tab&amp;"'!F14")=0,"",CONCATENATE(TEXT(ROUND(INDIRECT("'"&amp;ranges_tab&amp;"'!F14"),2)*100,"0")," - ",TEXT(ROUND(INDIRECT("'"&amp;ranges_tab&amp;"'!G14"),2),"0%"))),"")</f>
        <v/>
      </c>
      <c r="M25" s="31" t="str">
        <f ca="1">IFERROR(IF(INDIRECT("'"&amp;ranges_tab&amp;"'!G14")=0,"",CONCATENATE(TEXT(ROUND(INDIRECT("'"&amp;ranges_tab&amp;"'!G14"),2)*100,"0")," - ",TEXT(ROUND(INDIRECT("'"&amp;ranges_tab&amp;"'!H14"),2),"0%"))),"")</f>
        <v/>
      </c>
      <c r="N25" s="22"/>
      <c r="O25" s="19"/>
      <c r="P25" s="19"/>
    </row>
    <row r="26" spans="1:16" ht="16">
      <c r="A26" s="19"/>
      <c r="B26" s="22"/>
      <c r="C26" s="30" t="str">
        <f ca="1">IFERROR(IF(INDIRECT("'"&amp;ranges_tab&amp;"'!K15")=0,"",CONCATENATE(TEXT(INDIRECT("'"&amp;ranges_tab&amp;"'!K14")*100,"0")," - ",TEXT(INDIRECT("'"&amp;ranges_tab&amp;"'!K15"),"0%"))),"")</f>
        <v/>
      </c>
      <c r="D26" s="31" t="str">
        <f ca="1">IFERROR(IF(INDIRECT("'"&amp;ranges_tab&amp;"'!M15")=0,"",CONCATENATE(TEXT(ROUND(INDIRECT("'"&amp;ranges_tab&amp;"'!L15"),2)*100,"0")," - ",TEXT(ROUND(INDIRECT("'"&amp;ranges_tab&amp;"'!M15"),2),"0%"))),"")</f>
        <v/>
      </c>
      <c r="E26" s="31" t="str">
        <f ca="1">IFERROR(IF(INDIRECT("'"&amp;ranges_tab&amp;"'!M15")=0,"",CONCATENATE(TEXT(ROUND(INDIRECT("'"&amp;ranges_tab&amp;"'!M15"),2)*100,"0")," - ",TEXT(ROUND(INDIRECT("'"&amp;ranges_tab&amp;"'!N15"),2),"0%"))),"")</f>
        <v/>
      </c>
      <c r="F26" s="31" t="str">
        <f ca="1">IFERROR(IF(INDIRECT("'"&amp;ranges_tab&amp;"'!N15")=0,"",CONCATENATE(TEXT(ROUND(INDIRECT("'"&amp;ranges_tab&amp;"'!N15"),2)*100,"0")," - ",TEXT(ROUND(INDIRECT("'"&amp;ranges_tab&amp;"'!O15"),2),"0%"))),"")</f>
        <v/>
      </c>
      <c r="G26" s="31" t="str">
        <f ca="1">IFERROR(IF(INDIRECT("'"&amp;ranges_tab&amp;"'!O15")=0,"",CONCATENATE(TEXT(ROUND(INDIRECT("'"&amp;ranges_tab&amp;"'!O15"),2)*100,"0")," - ",TEXT(ROUND(INDIRECT("'"&amp;ranges_tab&amp;"'!P15"),2),"0%"))),"")</f>
        <v/>
      </c>
      <c r="H26" s="31" t="str">
        <f ca="1">IFERROR(IF(INDIRECT("'"&amp;ranges_tab&amp;"'!P15")=0,"",CONCATENATE(TEXT(ROUND(INDIRECT("'"&amp;ranges_tab&amp;"'!P15"),2)*100,"0")," - ",TEXT(ROUND(INDIRECT("'"&amp;ranges_tab&amp;"'!Q15"),2),"0%"))),"")</f>
        <v/>
      </c>
      <c r="I26" s="31" t="str">
        <f ca="1">IFERROR(IF(INDIRECT("'"&amp;ranges_tab&amp;"'!D15")=0,"",CONCATENATE(TEXT(ROUND(INDIRECT("'"&amp;ranges_tab&amp;"'!C15"),2)*100,"0")," - ",TEXT(ROUND(INDIRECT("'"&amp;ranges_tab&amp;"'!D15"),2),"0%"))),"")</f>
        <v/>
      </c>
      <c r="J26" s="31" t="str">
        <f ca="1">IFERROR(IF(INDIRECT("'"&amp;ranges_tab&amp;"'!D15")=0,"",CONCATENATE(TEXT(ROUND(INDIRECT("'"&amp;ranges_tab&amp;"'!D15"),2)*100,"0")," - ",TEXT(ROUND(INDIRECT("'"&amp;ranges_tab&amp;"'!E15"),2),"0%"))),"")</f>
        <v/>
      </c>
      <c r="K26" s="31" t="str">
        <f ca="1">IFERROR(IF(INDIRECT("'"&amp;ranges_tab&amp;"'!E15")=0,"",CONCATENATE(TEXT(ROUND(INDIRECT("'"&amp;ranges_tab&amp;"'!E15"),2)*100,"0")," - ",TEXT(ROUND(INDIRECT("'"&amp;ranges_tab&amp;"'!F15"),2),"0%"))),"")</f>
        <v/>
      </c>
      <c r="L26" s="31" t="str">
        <f ca="1">IFERROR(IF(INDIRECT("'"&amp;ranges_tab&amp;"'!F15")=0,"",CONCATENATE(TEXT(ROUND(INDIRECT("'"&amp;ranges_tab&amp;"'!F15"),2)*100,"0")," - ",TEXT(ROUND(INDIRECT("'"&amp;ranges_tab&amp;"'!G15"),2),"0%"))),"")</f>
        <v/>
      </c>
      <c r="M26" s="31" t="str">
        <f ca="1">IFERROR(IF(INDIRECT("'"&amp;ranges_tab&amp;"'!G15")=0,"",CONCATENATE(TEXT(ROUND(INDIRECT("'"&amp;ranges_tab&amp;"'!G15"),2)*100,"0")," - ",TEXT(ROUND(INDIRECT("'"&amp;ranges_tab&amp;"'!H15"),2),"0%"))),"")</f>
        <v/>
      </c>
      <c r="N26" s="22"/>
      <c r="O26" s="19"/>
      <c r="P26" s="19"/>
    </row>
    <row r="27" spans="1:16" ht="16">
      <c r="A27" s="19"/>
      <c r="B27" s="22"/>
      <c r="C27" s="30"/>
      <c r="D27" s="31"/>
      <c r="E27" s="31"/>
      <c r="F27" s="31"/>
      <c r="G27" s="31"/>
      <c r="H27" s="31"/>
      <c r="I27" s="31"/>
      <c r="J27" s="31"/>
      <c r="K27" s="31"/>
      <c r="L27" s="31"/>
      <c r="M27" s="31"/>
      <c r="N27" s="22"/>
      <c r="O27" s="19"/>
      <c r="P27" s="19"/>
    </row>
    <row r="28" spans="1:16" ht="16">
      <c r="A28" s="19"/>
      <c r="B28" s="22"/>
      <c r="C28" s="30"/>
      <c r="D28" s="31"/>
      <c r="E28" s="31"/>
      <c r="F28" s="31"/>
      <c r="G28" s="31"/>
      <c r="H28" s="31"/>
      <c r="I28" s="31"/>
      <c r="J28" s="31"/>
      <c r="K28" s="31"/>
      <c r="L28" s="31"/>
      <c r="M28" s="31"/>
      <c r="N28" s="22"/>
      <c r="O28" s="19"/>
      <c r="P28" s="19"/>
    </row>
    <row r="29" spans="1:16" ht="16">
      <c r="A29" s="19"/>
      <c r="B29" s="22"/>
      <c r="C29" s="43"/>
      <c r="D29" s="31"/>
      <c r="E29" s="31"/>
      <c r="F29" s="31"/>
      <c r="G29" s="31"/>
      <c r="H29" s="31"/>
      <c r="I29" s="31"/>
      <c r="J29" s="31"/>
      <c r="K29" s="31"/>
      <c r="L29" s="31"/>
      <c r="M29" s="31"/>
      <c r="N29" s="22"/>
      <c r="O29" s="19"/>
      <c r="P29" s="19"/>
    </row>
    <row r="30" spans="1:16" ht="16">
      <c r="A30" s="19"/>
      <c r="B30" s="22"/>
      <c r="C30" s="43"/>
      <c r="D30" s="31"/>
      <c r="E30" s="31"/>
      <c r="F30" s="31"/>
      <c r="G30" s="31"/>
      <c r="H30" s="31"/>
      <c r="I30" s="31"/>
      <c r="J30" s="31"/>
      <c r="K30" s="31"/>
      <c r="L30" s="31"/>
      <c r="M30" s="31"/>
      <c r="N30" s="22"/>
      <c r="O30" s="19"/>
      <c r="P30" s="19"/>
    </row>
    <row r="31" spans="1:16" ht="16">
      <c r="A31" s="19"/>
      <c r="B31" s="22"/>
      <c r="C31" s="43"/>
      <c r="D31" s="31"/>
      <c r="E31" s="31"/>
      <c r="F31" s="31"/>
      <c r="G31" s="31"/>
      <c r="H31" s="31"/>
      <c r="I31" s="31"/>
      <c r="J31" s="31"/>
      <c r="K31" s="31"/>
      <c r="L31" s="31"/>
      <c r="M31" s="31"/>
      <c r="N31" s="22"/>
      <c r="O31" s="19"/>
      <c r="P31" s="19"/>
    </row>
    <row r="32" spans="1:16" ht="16">
      <c r="A32" s="19"/>
      <c r="B32" s="22"/>
      <c r="C32" s="43"/>
      <c r="D32" s="31"/>
      <c r="E32" s="31"/>
      <c r="F32" s="31"/>
      <c r="G32" s="31"/>
      <c r="H32" s="31"/>
      <c r="I32" s="31"/>
      <c r="J32" s="31"/>
      <c r="K32" s="31"/>
      <c r="L32" s="31"/>
      <c r="M32" s="31"/>
      <c r="N32" s="22"/>
      <c r="O32" s="19"/>
      <c r="P32" s="19"/>
    </row>
    <row r="33" spans="1:16" ht="16">
      <c r="A33" s="19"/>
      <c r="B33" s="22"/>
      <c r="C33" s="30"/>
      <c r="D33" s="31"/>
      <c r="E33" s="31"/>
      <c r="F33" s="31"/>
      <c r="G33" s="31"/>
      <c r="H33" s="31"/>
      <c r="I33" s="31"/>
      <c r="J33" s="31"/>
      <c r="K33" s="31"/>
      <c r="L33" s="31"/>
      <c r="M33" s="31"/>
      <c r="N33" s="22"/>
      <c r="O33" s="19"/>
      <c r="P33" s="19"/>
    </row>
    <row r="34" spans="1:16" ht="16">
      <c r="A34" s="19"/>
      <c r="B34" s="22"/>
      <c r="C34" s="22"/>
      <c r="D34" s="22"/>
      <c r="E34" s="22"/>
      <c r="F34" s="22"/>
      <c r="G34" s="22"/>
      <c r="H34" s="22"/>
      <c r="I34" s="22"/>
      <c r="J34" s="22"/>
      <c r="K34" s="22"/>
      <c r="L34" s="22"/>
      <c r="M34" s="22"/>
      <c r="N34" s="22"/>
      <c r="O34" s="19"/>
      <c r="P34" s="19"/>
    </row>
    <row r="35" spans="1:16" ht="16">
      <c r="A35" s="19"/>
      <c r="B35" s="26"/>
      <c r="C35" s="62" t="s">
        <v>42</v>
      </c>
      <c r="D35" s="62"/>
      <c r="E35" s="62"/>
      <c r="F35" s="62"/>
      <c r="G35" s="62"/>
      <c r="H35" s="62"/>
      <c r="I35" s="62"/>
      <c r="J35" s="62"/>
      <c r="K35" s="62"/>
      <c r="L35" s="62"/>
      <c r="M35" s="62"/>
      <c r="N35" s="26"/>
      <c r="O35" s="19"/>
      <c r="P35" s="19"/>
    </row>
    <row r="36" spans="1:16" ht="16">
      <c r="A36" s="19"/>
      <c r="B36" s="26"/>
      <c r="C36" s="26"/>
      <c r="D36" s="26"/>
      <c r="E36" s="26"/>
      <c r="F36" s="26"/>
      <c r="G36" s="26"/>
      <c r="H36" s="26"/>
      <c r="I36" s="26"/>
      <c r="J36" s="26"/>
      <c r="K36" s="26"/>
      <c r="L36" s="26"/>
      <c r="M36" s="26"/>
      <c r="N36" s="26"/>
      <c r="O36" s="19"/>
      <c r="P36" s="19"/>
    </row>
    <row r="37" spans="1:16" ht="16">
      <c r="A37" s="19"/>
      <c r="B37" s="27"/>
      <c r="C37" s="27"/>
      <c r="D37" s="27"/>
      <c r="E37" s="27"/>
      <c r="F37" s="27"/>
      <c r="G37" s="27"/>
      <c r="H37" s="27"/>
      <c r="I37" s="27"/>
      <c r="J37" s="27"/>
      <c r="K37" s="27"/>
      <c r="L37" s="27"/>
      <c r="M37" s="27"/>
      <c r="N37" s="27"/>
      <c r="O37" s="19"/>
      <c r="P37" s="19"/>
    </row>
    <row r="38" spans="1:16" ht="16">
      <c r="A38" s="19"/>
      <c r="B38" s="27"/>
      <c r="C38" s="27"/>
      <c r="D38" s="27"/>
      <c r="E38" s="27"/>
      <c r="F38" s="27"/>
      <c r="G38" s="27"/>
      <c r="H38" s="27"/>
      <c r="I38" s="27"/>
      <c r="J38" s="27"/>
      <c r="K38" s="27"/>
      <c r="L38" s="27"/>
      <c r="M38" s="27"/>
      <c r="N38" s="27"/>
      <c r="O38" s="19"/>
      <c r="P38" s="19"/>
    </row>
    <row r="39" spans="1:16">
      <c r="A39" s="19"/>
      <c r="B39" s="19"/>
      <c r="C39" s="19"/>
      <c r="D39" s="19"/>
      <c r="E39" s="19"/>
      <c r="F39" s="19"/>
      <c r="G39" s="19"/>
      <c r="H39" s="19"/>
      <c r="I39" s="19"/>
      <c r="J39" s="19"/>
      <c r="K39" s="19"/>
      <c r="L39" s="19"/>
      <c r="M39" s="19"/>
      <c r="N39" s="19"/>
      <c r="O39" s="19"/>
      <c r="P39" s="19"/>
    </row>
  </sheetData>
  <sheetProtection algorithmName="SHA-512" hashValue="cvGJFusomnJjNvpKhD9eqgr/8Jtu3nePzTUd3CtaQQGj1J73V+5ir4hke2E0q6kkqXA4cQ4SzDzdl30KvOzTgw==" saltValue="mRTb/4XvKTSbpY21+10dPg==" spinCount="100000" sheet="1" objects="1" scenarios="1"/>
  <mergeCells count="13">
    <mergeCell ref="B1:N1"/>
    <mergeCell ref="B2:N2"/>
    <mergeCell ref="B4:N4"/>
    <mergeCell ref="B6:N6"/>
    <mergeCell ref="B7:N7"/>
    <mergeCell ref="C35:M35"/>
    <mergeCell ref="B5:N5"/>
    <mergeCell ref="B9:N9"/>
    <mergeCell ref="B10:N10"/>
    <mergeCell ref="L12:M12"/>
    <mergeCell ref="D14:H14"/>
    <mergeCell ref="I14:M14"/>
    <mergeCell ref="C14:C15"/>
  </mergeCells>
  <conditionalFormatting sqref="C16:C33">
    <cfRule type="notContainsBlanks" dxfId="5" priority="18">
      <formula>LEN(TRIM(C16))&gt;0</formula>
    </cfRule>
  </conditionalFormatting>
  <conditionalFormatting sqref="F15:F33 K15:K33">
    <cfRule type="notContainsBlanks" dxfId="4" priority="21">
      <formula>LEN(TRIM(F15))&gt;0</formula>
    </cfRule>
  </conditionalFormatting>
  <conditionalFormatting sqref="D15:D33 I15:I33">
    <cfRule type="notContainsBlanks" dxfId="3" priority="25">
      <formula>LEN(TRIM(D15))&gt;0</formula>
    </cfRule>
  </conditionalFormatting>
  <conditionalFormatting sqref="E15:E33 J15:J33">
    <cfRule type="notContainsBlanks" dxfId="2" priority="22">
      <formula>LEN(TRIM(E15))&gt;0</formula>
    </cfRule>
  </conditionalFormatting>
  <conditionalFormatting sqref="G15:G33 L15:L33">
    <cfRule type="notContainsBlanks" dxfId="1" priority="20">
      <formula>LEN(TRIM(G15))&gt;0</formula>
    </cfRule>
  </conditionalFormatting>
  <conditionalFormatting sqref="H15:H33 M15:M33">
    <cfRule type="notContainsBlanks" dxfId="0" priority="19">
      <formula>LEN(TRIM(H15))&gt;0</formula>
    </cfRule>
  </conditionalFormatting>
  <printOptions horizontalCentered="1" verticalCentered="1"/>
  <pageMargins left="0.5" right="0.5" top="0.75" bottom="0.75" header="0.3" footer="0.3"/>
  <pageSetup scale="6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validation'!$C$1:$C$3</xm:f>
          </x14:formula1>
          <xm:sqref>G12</xm:sqref>
        </x14:dataValidation>
        <x14:dataValidation type="list" allowBlank="1" showInputMessage="1" showErrorMessage="1">
          <x14:formula1>
            <xm:f>'Data validation'!$A$1:$A$11</xm:f>
          </x14:formula1>
          <xm:sqref>D12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L22" sqref="L22"/>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4">
        <v>0</v>
      </c>
      <c r="D5" s="4">
        <v>0.19642857142857101</v>
      </c>
      <c r="E5" s="4">
        <v>0.23529411764705799</v>
      </c>
      <c r="F5" s="4">
        <v>0.28571428571428498</v>
      </c>
      <c r="G5" s="4">
        <v>0.31818181818181801</v>
      </c>
      <c r="H5" s="3">
        <v>1</v>
      </c>
      <c r="I5" s="1"/>
      <c r="K5" s="4">
        <v>0.2</v>
      </c>
      <c r="L5" s="4">
        <v>0</v>
      </c>
      <c r="M5" s="4">
        <v>0.16129032258064499</v>
      </c>
      <c r="N5" s="4">
        <v>0.196721311475409</v>
      </c>
      <c r="O5" s="4">
        <v>0.25</v>
      </c>
      <c r="P5" s="4">
        <v>0.27500000000000002</v>
      </c>
      <c r="Q5" s="3">
        <v>1</v>
      </c>
    </row>
    <row r="6" spans="1:17">
      <c r="B6" s="4">
        <v>0.3</v>
      </c>
      <c r="C6" s="4">
        <v>0</v>
      </c>
      <c r="D6" s="4">
        <v>0.308823529411764</v>
      </c>
      <c r="E6" s="4">
        <v>0.38095238095237999</v>
      </c>
      <c r="F6" s="4">
        <v>0.46</v>
      </c>
      <c r="G6" s="4">
        <v>0.51923076923076905</v>
      </c>
      <c r="H6" s="3">
        <v>1</v>
      </c>
      <c r="I6" s="1"/>
      <c r="K6" s="4">
        <v>0.3</v>
      </c>
      <c r="L6" s="4">
        <v>0</v>
      </c>
      <c r="M6" s="4">
        <v>0.26315789473684198</v>
      </c>
      <c r="N6" s="4">
        <v>0.33333333333333298</v>
      </c>
      <c r="O6" s="4">
        <v>0.41071428571428498</v>
      </c>
      <c r="P6" s="4">
        <v>0.5</v>
      </c>
      <c r="Q6" s="3">
        <v>1</v>
      </c>
    </row>
    <row r="7" spans="1:17">
      <c r="B7" s="4">
        <v>0.4</v>
      </c>
      <c r="C7" s="4">
        <v>0</v>
      </c>
      <c r="D7" s="4">
        <v>0.4</v>
      </c>
      <c r="E7" s="4">
        <v>0.44642857142857101</v>
      </c>
      <c r="F7" s="4">
        <v>0.47761194029850701</v>
      </c>
      <c r="G7" s="4">
        <v>0.53125</v>
      </c>
      <c r="H7" s="3">
        <v>1</v>
      </c>
      <c r="I7" s="1"/>
      <c r="K7" s="4">
        <v>0.4</v>
      </c>
      <c r="L7" s="4">
        <v>0</v>
      </c>
      <c r="M7" s="4">
        <v>0.371428571428571</v>
      </c>
      <c r="N7" s="4">
        <v>0.41111111111111098</v>
      </c>
      <c r="O7" s="4">
        <v>0.45744680851063801</v>
      </c>
      <c r="P7" s="4">
        <v>0.51249999999999996</v>
      </c>
      <c r="Q7" s="3">
        <v>1</v>
      </c>
    </row>
    <row r="8" spans="1:17">
      <c r="B8" s="4">
        <v>0.45</v>
      </c>
      <c r="C8" s="4">
        <v>0</v>
      </c>
      <c r="D8" s="4">
        <v>0.47826086956521702</v>
      </c>
      <c r="E8" s="4">
        <v>0.52222222222222203</v>
      </c>
      <c r="F8" s="4">
        <v>0.54761904761904701</v>
      </c>
      <c r="G8" s="4">
        <v>0.61386138613861296</v>
      </c>
      <c r="H8" s="3">
        <v>1</v>
      </c>
      <c r="I8" s="1"/>
      <c r="K8" s="4">
        <v>0.45</v>
      </c>
      <c r="L8" s="4">
        <v>0</v>
      </c>
      <c r="M8" s="4">
        <v>0.45283018867924502</v>
      </c>
      <c r="N8" s="4">
        <v>0.483333333333333</v>
      </c>
      <c r="O8" s="4">
        <v>0.52222222222222203</v>
      </c>
      <c r="P8" s="4">
        <v>0.58823529411764697</v>
      </c>
      <c r="Q8" s="3">
        <v>1</v>
      </c>
    </row>
    <row r="9" spans="1:17">
      <c r="B9" s="4">
        <v>0.5</v>
      </c>
      <c r="C9" s="4">
        <v>0</v>
      </c>
      <c r="D9" s="4">
        <v>0.52500000000000002</v>
      </c>
      <c r="E9" s="4">
        <v>0.58333333333333304</v>
      </c>
      <c r="F9" s="4">
        <v>0.62264150943396201</v>
      </c>
      <c r="G9" s="4">
        <v>0.66666666666666596</v>
      </c>
      <c r="H9" s="3">
        <v>1</v>
      </c>
      <c r="I9" s="1"/>
      <c r="K9" s="4">
        <v>0.5</v>
      </c>
      <c r="L9" s="4">
        <v>0</v>
      </c>
      <c r="M9" s="4">
        <v>0.51315789473684204</v>
      </c>
      <c r="N9" s="4">
        <v>0.55384615384615299</v>
      </c>
      <c r="O9" s="4">
        <v>0.59154929577464699</v>
      </c>
      <c r="P9" s="4">
        <v>0.620253164556962</v>
      </c>
      <c r="Q9" s="3">
        <v>1</v>
      </c>
    </row>
    <row r="10" spans="1:17">
      <c r="B10" s="4">
        <v>0.55000000000000004</v>
      </c>
      <c r="C10" s="4">
        <v>0</v>
      </c>
      <c r="D10" s="4">
        <v>0.527272727272727</v>
      </c>
      <c r="E10" s="4">
        <v>0.57894736842105199</v>
      </c>
      <c r="F10" s="4">
        <v>0.62264150943396201</v>
      </c>
      <c r="G10" s="4">
        <v>0.686746987951807</v>
      </c>
      <c r="H10" s="3">
        <v>1</v>
      </c>
      <c r="I10" s="1"/>
      <c r="K10" s="4">
        <v>0.55000000000000004</v>
      </c>
      <c r="L10" s="4">
        <v>0</v>
      </c>
      <c r="M10" s="4">
        <v>0.524752475247524</v>
      </c>
      <c r="N10" s="4">
        <v>0.56060606060606</v>
      </c>
      <c r="O10" s="4">
        <v>0.58823529411764697</v>
      </c>
      <c r="P10" s="4">
        <v>0.67142857142857104</v>
      </c>
      <c r="Q10" s="3">
        <v>1</v>
      </c>
    </row>
    <row r="11" spans="1:17">
      <c r="B11" s="4">
        <v>0.6</v>
      </c>
      <c r="C11" s="4">
        <v>0</v>
      </c>
      <c r="D11" s="4">
        <v>0.62222222222222201</v>
      </c>
      <c r="E11" s="4">
        <v>0.680851063829787</v>
      </c>
      <c r="F11" s="4">
        <v>0.72413793103448199</v>
      </c>
      <c r="G11" s="4">
        <v>0.77083333333333304</v>
      </c>
      <c r="H11" s="3">
        <v>1</v>
      </c>
      <c r="I11" s="1"/>
      <c r="K11" s="4">
        <v>0.6</v>
      </c>
      <c r="L11" s="4">
        <v>0</v>
      </c>
      <c r="M11" s="4">
        <v>0.58974358974358898</v>
      </c>
      <c r="N11" s="4">
        <v>0.65789473684210498</v>
      </c>
      <c r="O11" s="4">
        <v>0.70588235294117596</v>
      </c>
      <c r="P11" s="4">
        <v>0.74444444444444402</v>
      </c>
      <c r="Q11" s="3">
        <v>1</v>
      </c>
    </row>
    <row r="12" spans="1:17">
      <c r="B12" s="4">
        <v>0.7</v>
      </c>
      <c r="C12" s="4">
        <v>0</v>
      </c>
      <c r="D12" s="4">
        <v>0.64705882352941102</v>
      </c>
      <c r="E12" s="4">
        <v>0.70652173913043403</v>
      </c>
      <c r="F12" s="4">
        <v>0.75</v>
      </c>
      <c r="G12" s="4">
        <v>0.78048780487804803</v>
      </c>
      <c r="H12" s="3">
        <v>1</v>
      </c>
      <c r="I12" s="1"/>
      <c r="K12" s="4">
        <v>0.7</v>
      </c>
      <c r="L12" s="4">
        <v>0</v>
      </c>
      <c r="M12" s="4">
        <v>0.65</v>
      </c>
      <c r="N12" s="4">
        <v>0.680851063829787</v>
      </c>
      <c r="O12" s="4">
        <v>0.72527472527472503</v>
      </c>
      <c r="P12" s="4">
        <v>0.76635514018691497</v>
      </c>
      <c r="Q12" s="3">
        <v>1</v>
      </c>
    </row>
    <row r="13" spans="1:17">
      <c r="B13" s="4">
        <v>0.8</v>
      </c>
      <c r="C13" s="4">
        <v>0</v>
      </c>
      <c r="D13" s="4">
        <v>0.74137931034482696</v>
      </c>
      <c r="E13" s="4">
        <v>0.78021978021978</v>
      </c>
      <c r="F13" s="4">
        <v>0.82758620689655105</v>
      </c>
      <c r="G13" s="4">
        <v>0.88372093023255804</v>
      </c>
      <c r="H13" s="3">
        <v>1</v>
      </c>
      <c r="I13" s="1"/>
      <c r="K13" s="4">
        <v>0.8</v>
      </c>
      <c r="L13" s="4">
        <v>0</v>
      </c>
      <c r="M13" s="4">
        <v>0.75490196078431304</v>
      </c>
      <c r="N13" s="4">
        <v>0.79104477611940205</v>
      </c>
      <c r="O13" s="4">
        <v>0.8125</v>
      </c>
      <c r="P13" s="4">
        <v>0.85526315789473595</v>
      </c>
      <c r="Q13" s="3">
        <v>1</v>
      </c>
    </row>
    <row r="14" spans="1:17">
      <c r="B14" s="4">
        <v>1</v>
      </c>
      <c r="C14" s="4">
        <v>0</v>
      </c>
      <c r="D14" s="4">
        <v>0.84166666666666601</v>
      </c>
      <c r="E14" s="4">
        <v>0.85135135135135098</v>
      </c>
      <c r="F14" s="4">
        <v>0.86363636363636298</v>
      </c>
      <c r="G14" s="4">
        <v>0.87804878048780399</v>
      </c>
      <c r="H14" s="3">
        <v>1</v>
      </c>
      <c r="I14" s="1"/>
      <c r="K14" s="4">
        <v>1</v>
      </c>
      <c r="L14" s="4">
        <v>0</v>
      </c>
      <c r="M14" s="4">
        <v>0.78378378378378299</v>
      </c>
      <c r="N14" s="4">
        <v>0.80851063829787195</v>
      </c>
      <c r="O14" s="4">
        <v>0.84415584415584399</v>
      </c>
      <c r="P14" s="4">
        <v>0.875</v>
      </c>
      <c r="Q14" s="3">
        <v>1</v>
      </c>
    </row>
    <row r="15" spans="1:17">
      <c r="B15" s="6"/>
      <c r="C15" s="6"/>
      <c r="D15" s="6"/>
      <c r="E15" s="6"/>
      <c r="F15" s="6"/>
      <c r="G15" s="6"/>
      <c r="H15" s="7"/>
      <c r="I15" s="1"/>
      <c r="K15" s="6"/>
      <c r="L15" s="6"/>
      <c r="M15" s="6"/>
      <c r="N15" s="6"/>
      <c r="O15" s="6"/>
      <c r="P15" s="6"/>
      <c r="Q15" s="7"/>
    </row>
    <row r="16" spans="1:17">
      <c r="A16" t="s">
        <v>15</v>
      </c>
      <c r="B16" t="e">
        <f>IF(BOY_5="",NA(),BOY_5)</f>
        <v>#N/A</v>
      </c>
      <c r="C16" t="e">
        <f>IF(OR(B16="",B16&lt;0,B16&gt;1),NA(),IF(B16=1,0.999,B16))</f>
        <v>#N/A</v>
      </c>
      <c r="I16" s="1"/>
      <c r="K16" s="6"/>
      <c r="L16" s="6"/>
      <c r="M16" s="6"/>
      <c r="N16" s="6"/>
      <c r="O16" s="6"/>
      <c r="P16" s="6"/>
      <c r="Q16" s="7"/>
    </row>
    <row r="17" spans="1:17">
      <c r="A17" t="s">
        <v>16</v>
      </c>
      <c r="B17" t="e">
        <f>IF(EOY_5="",NA(),EOY_5)</f>
        <v>#N/A</v>
      </c>
      <c r="C17" t="e">
        <f>IF(OR(B17="",B17&lt;0,B17&gt;1),NA(),IF(B17=1,0.999,B17))</f>
        <v>#N/A</v>
      </c>
      <c r="I17" s="1"/>
      <c r="K17" s="6"/>
      <c r="L17" s="6"/>
      <c r="M17" s="6"/>
      <c r="N17" s="6"/>
      <c r="O17" s="6"/>
      <c r="P17" s="6"/>
      <c r="Q17" s="7"/>
    </row>
    <row r="18" spans="1:17">
      <c r="A18" t="s">
        <v>17</v>
      </c>
      <c r="B18" t="e">
        <f>IF(goal_BOY_5="",NA(),goal_BOY_5)</f>
        <v>#N/A</v>
      </c>
      <c r="C18" t="e">
        <f>IF(OR(B18="",B18&lt;0,B18&gt;1),NA(),IF(B18=1,0.999,B18))</f>
        <v>#N/A</v>
      </c>
      <c r="I18" s="1"/>
      <c r="K18" s="6"/>
      <c r="L18" s="6"/>
      <c r="M18" s="6"/>
      <c r="N18" s="6"/>
      <c r="O18" s="6"/>
      <c r="P18" s="6"/>
      <c r="Q18" s="7"/>
    </row>
    <row r="20" spans="1:17">
      <c r="A20" s="5" t="s">
        <v>13</v>
      </c>
    </row>
    <row r="21" spans="1:17">
      <c r="A21" s="2" t="s">
        <v>7</v>
      </c>
      <c r="B21" s="1" t="e">
        <f>SUMPRODUCT((B3:B13&lt;=$C$16)*(B4:B14&gt;$C$16),(B4:B14))</f>
        <v>#N/A</v>
      </c>
      <c r="C21" t="e">
        <f>VLOOKUP($B$21,$B$5:$H$14,2,FALSE)</f>
        <v>#N/A</v>
      </c>
      <c r="D21" t="e">
        <f>ROUND(VLOOKUP($B$21,$B$5:$H$14,3,FALSE),2)</f>
        <v>#N/A</v>
      </c>
      <c r="E21" t="e">
        <f>ROUND(VLOOKUP($B$21,$B$5:$H$14,4,FALSE),2)</f>
        <v>#N/A</v>
      </c>
      <c r="F21" t="e">
        <f>ROUND(VLOOKUP($B$21,$B$5:$H$14,5,FALSE),2)</f>
        <v>#N/A</v>
      </c>
      <c r="G21" t="e">
        <f>ROUND(VLOOKUP($B$21,$B$5:$H$14,6,FALSE),2)</f>
        <v>#N/A</v>
      </c>
      <c r="H21" t="e">
        <f>VLOOKUP($B$21,$B$5:$H$14,7,FALSE)</f>
        <v>#N/A</v>
      </c>
      <c r="J21" s="2"/>
    </row>
    <row r="22" spans="1:17">
      <c r="A22" s="2" t="s">
        <v>8</v>
      </c>
      <c r="B22" s="1" t="e">
        <f ca="1">OFFSET(A3,0,SUMPRODUCT((C21:G21&lt;=$C$17)*(D21:H21&gt;$C$17),COLUMN(B21:F21)))</f>
        <v>#N/A</v>
      </c>
      <c r="J22" s="2"/>
      <c r="K22" s="1"/>
    </row>
    <row r="23" spans="1:17">
      <c r="A23" s="2"/>
      <c r="B23" s="1"/>
      <c r="J23" s="2"/>
      <c r="K23" s="1"/>
    </row>
    <row r="24" spans="1:17">
      <c r="A24" s="5" t="s">
        <v>14</v>
      </c>
      <c r="B24" s="1"/>
      <c r="J24" s="2"/>
      <c r="K24" s="1"/>
    </row>
    <row r="25" spans="1:17">
      <c r="A25" s="2" t="s">
        <v>7</v>
      </c>
      <c r="B25" s="1" t="e">
        <f>SUMPRODUCT((B3:B13&lt;=$C$18)*(B4:B14&gt;$C$18),(B4:B14))</f>
        <v>#N/A</v>
      </c>
      <c r="C25" t="e">
        <f>VLOOKUP($B$25,$B$5:$H$14,2,FALSE)</f>
        <v>#N/A</v>
      </c>
      <c r="D25" t="e">
        <f>VLOOKUP($B$25,$B$5:$H$14,3,FALSE)</f>
        <v>#N/A</v>
      </c>
      <c r="E25" t="e">
        <f>VLOOKUP($B$25,$B$5:$H$14,4,FALSE)</f>
        <v>#N/A</v>
      </c>
      <c r="F25" t="e">
        <f>VLOOKUP($B$25,$B$5:$H$14,5,FALSE)</f>
        <v>#N/A</v>
      </c>
      <c r="G25" t="e">
        <f>VLOOKUP($B$25,$B$5:$H$14,6,FALSE)</f>
        <v>#N/A</v>
      </c>
      <c r="H25" t="e">
        <f>VLOOKUP($B$25,$B$5:$H$14,7,FALSE)</f>
        <v>#N/A</v>
      </c>
      <c r="J25" s="2"/>
    </row>
    <row r="26" spans="1:17">
      <c r="A26" s="2" t="s">
        <v>10</v>
      </c>
      <c r="B26" s="1"/>
      <c r="C26" t="e">
        <f>VLOOKUP($B$25,$K$5:$Q$14,2,FALSE)</f>
        <v>#N/A</v>
      </c>
      <c r="D26" t="e">
        <f>VLOOKUP($B$25,$K$5:$Q$14,3,FALSE)</f>
        <v>#N/A</v>
      </c>
      <c r="E26" t="e">
        <f>VLOOKUP($B$25,$K$5:$Q$14,4,FALSE)</f>
        <v>#N/A</v>
      </c>
      <c r="F26" t="e">
        <f>VLOOKUP($B$25,$K$5:$Q$14,5,FALSE)</f>
        <v>#N/A</v>
      </c>
      <c r="G26" t="e">
        <f>VLOOKUP($B$25,$K$5:$Q$14,6,FALSE)</f>
        <v>#N/A</v>
      </c>
      <c r="H26" t="e">
        <f>VLOOKUP($B$25,$K$5:$Q$14,7,FALSE)</f>
        <v>#N/A</v>
      </c>
      <c r="J26" s="2"/>
      <c r="K26" s="1"/>
    </row>
    <row r="27" spans="1:17">
      <c r="A27" s="2" t="s">
        <v>6</v>
      </c>
      <c r="B27" t="e">
        <f ca="1">OFFSET(A25,0,MATCH(goal_5,$B$3:$H$3,FALSE))</f>
        <v>#N/A</v>
      </c>
      <c r="C27" t="e">
        <f ca="1">OFFSET(A25,0,MATCH(goal_5,$B$3:$H$3,FALSE)+1)</f>
        <v>#N/A</v>
      </c>
      <c r="D27" t="e">
        <f ca="1">CONCATENATE(TEXT(ROUND($B$27,2)*100,"0")," - ",TEXT(ROUND($C$27,2),"0%"))</f>
        <v>#N/A</v>
      </c>
    </row>
    <row r="28" spans="1:17">
      <c r="A28" s="2" t="s">
        <v>9</v>
      </c>
      <c r="B28" t="e">
        <f ca="1">OFFSET(A26,0,MATCH(goal_5,$K$3:$Q$3,FALSE))</f>
        <v>#N/A</v>
      </c>
      <c r="C28" t="e">
        <f ca="1">OFFSET(A26,0,MATCH(goal_5,$K$3:$Q$3,FALSE)+1)</f>
        <v>#N/A</v>
      </c>
      <c r="D28" t="e">
        <f ca="1">CONCATENATE(TEXT(ROUND($B$28,2)*100,"0")," - ",TEXT(ROUND($C$28,2),"0%"))</f>
        <v>#N/A</v>
      </c>
    </row>
  </sheetData>
  <sheetProtection algorithmName="SHA-512" hashValue="5REOnITdL81ZtTzAxxZETswv+dYvk0JV1Zr5LWxSagOTi2eE1F8jLjBqpNydvXtWgxkkY8qpPHD4SLciyFWQtw==" saltValue="1UCq99aNp2SDaFjvNe/0og==" spinCount="100000" sheet="1" objects="1" scenarios="1"/>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D32" sqref="D32"/>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18</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0.27710843373493899</v>
      </c>
      <c r="E5" s="4">
        <v>0.36</v>
      </c>
      <c r="F5" s="4">
        <v>0.434108527131782</v>
      </c>
      <c r="G5" s="4">
        <v>0.53691275167785202</v>
      </c>
      <c r="H5" s="4">
        <v>1</v>
      </c>
      <c r="K5" s="4">
        <v>0.2</v>
      </c>
      <c r="L5" s="4"/>
      <c r="M5" s="4">
        <v>0.16352201257861601</v>
      </c>
      <c r="N5" s="4">
        <v>0.22222222222222199</v>
      </c>
      <c r="O5" s="4">
        <v>0.27586206896551702</v>
      </c>
      <c r="P5" s="4">
        <v>0.34736842105263099</v>
      </c>
      <c r="Q5" s="4">
        <v>1</v>
      </c>
    </row>
    <row r="6" spans="2:17">
      <c r="B6" s="4">
        <v>0.3</v>
      </c>
      <c r="C6" s="4">
        <v>0</v>
      </c>
      <c r="D6" s="4">
        <v>0.35384615384615298</v>
      </c>
      <c r="E6" s="4">
        <v>0.44155844155844098</v>
      </c>
      <c r="F6" s="4">
        <v>0.5</v>
      </c>
      <c r="G6" s="4">
        <v>0.55882352941176405</v>
      </c>
      <c r="H6" s="3">
        <v>1</v>
      </c>
      <c r="I6" s="1"/>
      <c r="K6" s="4">
        <v>0.3</v>
      </c>
      <c r="L6" s="4">
        <v>0</v>
      </c>
      <c r="M6" s="4">
        <v>0.23684210526315699</v>
      </c>
      <c r="N6" s="4">
        <v>0.295336787564766</v>
      </c>
      <c r="O6" s="4">
        <v>0.34117647058823503</v>
      </c>
      <c r="P6" s="4">
        <v>0.421875</v>
      </c>
      <c r="Q6" s="3">
        <v>1</v>
      </c>
    </row>
    <row r="7" spans="2:17">
      <c r="B7" s="4">
        <v>0.4</v>
      </c>
      <c r="C7" s="4">
        <v>0</v>
      </c>
      <c r="D7" s="4">
        <v>0.45544554455445502</v>
      </c>
      <c r="E7" s="4">
        <v>0.52586206896551702</v>
      </c>
      <c r="F7" s="4">
        <v>0.58750000000000002</v>
      </c>
      <c r="G7" s="4">
        <v>0.64827586206896504</v>
      </c>
      <c r="H7" s="3">
        <v>1</v>
      </c>
      <c r="I7" s="1"/>
      <c r="K7" s="4">
        <v>0.4</v>
      </c>
      <c r="L7" s="4">
        <v>0</v>
      </c>
      <c r="M7" s="4">
        <v>0.33928571428571402</v>
      </c>
      <c r="N7" s="4">
        <v>0.40939597315436199</v>
      </c>
      <c r="O7" s="4">
        <v>0.47142857142857097</v>
      </c>
      <c r="P7" s="4">
        <v>0.535433070866141</v>
      </c>
      <c r="Q7" s="3">
        <v>1</v>
      </c>
    </row>
    <row r="8" spans="2:17">
      <c r="B8" s="4">
        <v>0.5</v>
      </c>
      <c r="C8" s="4">
        <v>0</v>
      </c>
      <c r="D8" s="4">
        <v>0.53932584269662898</v>
      </c>
      <c r="E8" s="4">
        <v>0.60365853658536495</v>
      </c>
      <c r="F8" s="4">
        <v>0.65789473684210498</v>
      </c>
      <c r="G8" s="4">
        <v>0.70967741935483797</v>
      </c>
      <c r="H8" s="3">
        <v>1</v>
      </c>
      <c r="I8" s="1"/>
      <c r="K8" s="4">
        <v>0.5</v>
      </c>
      <c r="L8" s="4">
        <v>0</v>
      </c>
      <c r="M8" s="4">
        <v>0.43333333333333302</v>
      </c>
      <c r="N8" s="4">
        <v>0.49193548387096703</v>
      </c>
      <c r="O8" s="4">
        <v>0.55128205128205099</v>
      </c>
      <c r="P8" s="4">
        <v>0.60714285714285698</v>
      </c>
      <c r="Q8" s="3">
        <v>1</v>
      </c>
    </row>
    <row r="9" spans="2:17">
      <c r="B9" s="4">
        <v>0.6</v>
      </c>
      <c r="C9" s="4">
        <v>0</v>
      </c>
      <c r="D9" s="4">
        <v>0.586666666666666</v>
      </c>
      <c r="E9" s="4">
        <v>0.64912280701754299</v>
      </c>
      <c r="F9" s="4">
        <v>0.70422535211267601</v>
      </c>
      <c r="G9" s="4">
        <v>0.77294685990338097</v>
      </c>
      <c r="H9" s="3">
        <v>1</v>
      </c>
      <c r="I9" s="1"/>
      <c r="K9" s="4">
        <v>0.6</v>
      </c>
      <c r="L9" s="4">
        <v>0</v>
      </c>
      <c r="M9" s="4">
        <v>0.5</v>
      </c>
      <c r="N9" s="4">
        <v>0.57281553398058205</v>
      </c>
      <c r="O9" s="4">
        <v>0.62204724409448797</v>
      </c>
      <c r="P9" s="4">
        <v>0.68918918918918903</v>
      </c>
      <c r="Q9" s="3">
        <v>1</v>
      </c>
    </row>
    <row r="10" spans="2:17">
      <c r="B10" s="4">
        <v>0.7</v>
      </c>
      <c r="C10" s="4">
        <v>0</v>
      </c>
      <c r="D10" s="4">
        <v>0.62580645161290305</v>
      </c>
      <c r="E10" s="4">
        <v>0.68292682926829196</v>
      </c>
      <c r="F10" s="4">
        <v>0.74537037037037002</v>
      </c>
      <c r="G10" s="4">
        <v>0.78651685393258397</v>
      </c>
      <c r="H10" s="3">
        <v>1</v>
      </c>
      <c r="I10" s="1"/>
      <c r="K10" s="4">
        <v>0.7</v>
      </c>
      <c r="L10" s="4">
        <v>0</v>
      </c>
      <c r="M10" s="4">
        <v>0.56603773584905603</v>
      </c>
      <c r="N10" s="4">
        <v>0.63709677419354804</v>
      </c>
      <c r="O10" s="4">
        <v>0.68452380952380898</v>
      </c>
      <c r="P10" s="4">
        <v>0.73846153846153795</v>
      </c>
      <c r="Q10" s="3">
        <v>1</v>
      </c>
    </row>
    <row r="11" spans="2:17">
      <c r="B11" s="4">
        <v>0.8</v>
      </c>
      <c r="C11" s="4">
        <v>0</v>
      </c>
      <c r="D11" s="4">
        <v>0.64367816091954</v>
      </c>
      <c r="E11" s="4">
        <v>0.72064777327935203</v>
      </c>
      <c r="F11" s="4">
        <v>0.79032258064516103</v>
      </c>
      <c r="G11" s="4">
        <v>0.84466019417475702</v>
      </c>
      <c r="H11" s="3">
        <v>1</v>
      </c>
      <c r="I11" s="1"/>
      <c r="K11" s="4">
        <v>0.8</v>
      </c>
      <c r="L11" s="4">
        <v>0</v>
      </c>
      <c r="M11" s="4">
        <v>0.62926829268292594</v>
      </c>
      <c r="N11" s="4">
        <v>0.70454545454545403</v>
      </c>
      <c r="O11" s="4">
        <v>0.75789473684210495</v>
      </c>
      <c r="P11" s="4">
        <v>0.79807692307692302</v>
      </c>
      <c r="Q11" s="3">
        <v>1</v>
      </c>
    </row>
    <row r="12" spans="2:17">
      <c r="B12" s="4">
        <v>1</v>
      </c>
      <c r="C12" s="4">
        <v>0</v>
      </c>
      <c r="D12" s="4">
        <v>0.77064220183486198</v>
      </c>
      <c r="E12" s="4">
        <v>0.82644628099173501</v>
      </c>
      <c r="F12" s="4">
        <v>0.83597883597883504</v>
      </c>
      <c r="G12" s="4">
        <v>0.90510948905109401</v>
      </c>
      <c r="H12" s="3">
        <v>1</v>
      </c>
      <c r="I12" s="1"/>
      <c r="K12" s="4">
        <v>1</v>
      </c>
      <c r="L12" s="4">
        <v>0</v>
      </c>
      <c r="M12" s="4">
        <v>0.72950819672131095</v>
      </c>
      <c r="N12" s="4">
        <v>0.76969696969696899</v>
      </c>
      <c r="O12" s="4">
        <v>0.8</v>
      </c>
      <c r="P12" s="4">
        <v>0.86861313868613099</v>
      </c>
      <c r="Q12" s="3">
        <v>1</v>
      </c>
    </row>
    <row r="13" spans="2:17">
      <c r="B13" s="6"/>
      <c r="C13" s="6"/>
      <c r="D13" s="6"/>
      <c r="E13" s="6"/>
      <c r="F13" s="6"/>
      <c r="G13" s="6"/>
      <c r="H13" s="7"/>
      <c r="I13" s="1"/>
      <c r="K13" s="6"/>
      <c r="L13" s="6"/>
      <c r="M13" s="6"/>
      <c r="N13" s="6"/>
      <c r="O13" s="6"/>
      <c r="P13" s="6"/>
      <c r="Q13" s="7"/>
    </row>
    <row r="14" spans="2:17">
      <c r="B14" s="6"/>
      <c r="C14" s="6"/>
      <c r="D14" s="6"/>
      <c r="E14" s="6"/>
      <c r="F14" s="6"/>
      <c r="G14" s="6"/>
      <c r="H14" s="7"/>
      <c r="I14" s="1"/>
      <c r="K14" s="6"/>
      <c r="L14" s="6"/>
      <c r="M14" s="6"/>
      <c r="N14" s="6"/>
      <c r="O14" s="6"/>
      <c r="P14" s="6"/>
      <c r="Q14" s="7"/>
    </row>
    <row r="15" spans="2:17">
      <c r="B15" s="6"/>
      <c r="C15" s="6"/>
      <c r="D15" s="6"/>
      <c r="E15" s="6"/>
      <c r="F15" s="6"/>
      <c r="G15" s="6"/>
      <c r="H15" s="7"/>
      <c r="I15" s="1"/>
      <c r="K15" s="6"/>
      <c r="L15" s="6"/>
      <c r="M15" s="6"/>
      <c r="N15" s="6"/>
      <c r="O15" s="6"/>
      <c r="P15" s="6"/>
      <c r="Q15" s="7"/>
    </row>
    <row r="16" spans="2:17">
      <c r="B16" s="6"/>
      <c r="C16" s="6"/>
      <c r="D16" s="6"/>
      <c r="E16" s="6"/>
      <c r="F16" s="6"/>
      <c r="G16" s="6"/>
      <c r="H16" s="7"/>
      <c r="I16" s="1"/>
      <c r="K16" s="6"/>
      <c r="L16" s="6"/>
      <c r="M16" s="6"/>
      <c r="N16" s="6"/>
      <c r="O16" s="6"/>
      <c r="P16" s="6"/>
      <c r="Q16"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SUMPRODUCT((B3:B11&lt;=$C$17)*(B4:B12&gt;$C$17),(B4:B12))</f>
        <v>#N/A</v>
      </c>
      <c r="C22" t="e">
        <f>VLOOKUP($B$22,$B$5:$H$12,2,FALSE)</f>
        <v>#N/A</v>
      </c>
      <c r="D22" t="e">
        <f>ROUND(VLOOKUP($B$22,$B$5:$H$12,3,FALSE),2)</f>
        <v>#N/A</v>
      </c>
      <c r="E22" t="e">
        <f>ROUND(VLOOKUP($B$22,$B$5:$H$12,4,FALSE),2)</f>
        <v>#N/A</v>
      </c>
      <c r="F22" t="e">
        <f>ROUND(VLOOKUP($B$22,$B$5:$H$12,5,FALSE),2)</f>
        <v>#N/A</v>
      </c>
      <c r="G22" t="e">
        <f>ROUND(VLOOKUP($B$22,$B$5:$H$12,6,FALSE),2)</f>
        <v>#N/A</v>
      </c>
      <c r="H22" t="e">
        <f>VLOOKUP($B$22,$B$5:$H$12,7,FALSE)</f>
        <v>#N/A</v>
      </c>
      <c r="K22" s="1"/>
    </row>
    <row r="23" spans="1:11">
      <c r="A23" s="2" t="s">
        <v>8</v>
      </c>
      <c r="B23" s="1" t="e">
        <f ca="1">OFFSET(A3,0,SUMPRODUCT((C22:G22&lt;=$C$18)*(D22:H22&gt;$C$18),COLUMN(B22:F22)))</f>
        <v>#N/A</v>
      </c>
      <c r="J23" s="2"/>
      <c r="K23" s="1"/>
    </row>
    <row r="24" spans="1:11">
      <c r="A24" s="2"/>
      <c r="B24" s="1"/>
      <c r="J24" s="2"/>
      <c r="K24" s="1"/>
    </row>
    <row r="25" spans="1:11">
      <c r="A25" s="5" t="s">
        <v>14</v>
      </c>
      <c r="B25" s="1"/>
      <c r="J25" s="2"/>
    </row>
    <row r="26" spans="1:11">
      <c r="A26" s="2" t="s">
        <v>7</v>
      </c>
      <c r="B26" s="1" t="e">
        <f>SUMPRODUCT((B3:B11&lt;=$C$19)*(B4:B12&gt;$C$19),(B4:B12))</f>
        <v>#N/A</v>
      </c>
      <c r="C26" t="e">
        <f>VLOOKUP($B$26,$B$5:$H$12,2,FALSE)</f>
        <v>#N/A</v>
      </c>
      <c r="D26" t="e">
        <f>VLOOKUP($B$26,$B$5:$H$12,3,FALSE)</f>
        <v>#N/A</v>
      </c>
      <c r="E26" t="e">
        <f>VLOOKUP($B$26,$B$5:$H$12,4,FALSE)</f>
        <v>#N/A</v>
      </c>
      <c r="F26" t="e">
        <f>VLOOKUP($B$26,$B$5:$H$12,5,FALSE)</f>
        <v>#N/A</v>
      </c>
      <c r="G26" t="e">
        <f>VLOOKUP($B$26,$B$5:$H$12,6,FALSE)</f>
        <v>#N/A</v>
      </c>
      <c r="H26" t="e">
        <f>VLOOKUP($B$26,$B$5:$H$12,7,FALSE)</f>
        <v>#N/A</v>
      </c>
      <c r="J26" s="2"/>
      <c r="K26" s="1"/>
    </row>
    <row r="27" spans="1:11">
      <c r="A27" s="2" t="s">
        <v>10</v>
      </c>
      <c r="B27" s="1"/>
      <c r="C27" t="e">
        <f>VLOOKUP($B$26,$K$5:$Q$12,2,FALSE)</f>
        <v>#N/A</v>
      </c>
      <c r="D27" t="e">
        <f>VLOOKUP($B$26,$K$5:$Q$12,3,FALSE)</f>
        <v>#N/A</v>
      </c>
      <c r="E27" t="e">
        <f>VLOOKUP($B$26,$K$5:$Q$12,4,FALSE)</f>
        <v>#N/A</v>
      </c>
      <c r="F27" t="e">
        <f>VLOOKUP($B$26,$K$5:$Q$12,5,FALSE)</f>
        <v>#N/A</v>
      </c>
      <c r="G27" t="e">
        <f>VLOOKUP($B$26,$K$5:$Q$12,6,FALSE)</f>
        <v>#N/A</v>
      </c>
      <c r="H27" t="e">
        <f>VLOOKUP($B$26,$K$5:$Q$12,7,FALSE)</f>
        <v>#N/A</v>
      </c>
      <c r="J27" s="2"/>
    </row>
    <row r="28" spans="1:11">
      <c r="A28" s="2" t="s">
        <v>6</v>
      </c>
      <c r="B28" t="e">
        <f ca="1">OFFSET(A26,0,MATCH(goal_agg,$B$3:$H$3,FALSE))</f>
        <v>#N/A</v>
      </c>
      <c r="C28" t="e">
        <f ca="1">OFFSET(A26,0,MATCH(goal_agg,$B$3:$H$3,FALSE)+1)</f>
        <v>#N/A</v>
      </c>
      <c r="D28" t="e">
        <f ca="1">CONCATENATE(TEXT(ROUND($B$28,2)*100,"0")," - ",TEXT(ROUND($C$28,2),"0%"))</f>
        <v>#N/A</v>
      </c>
      <c r="J28" s="2"/>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2+8jhUB1Xe12rEmXT4zyUjQYWRX397csSxZX/aHGtE3VGQ9CZmKNu5HCblaIRABRFL+tIhKewryEWxLK4QwUmg==" saltValue="BlSvRmX4kMwqlpVjNgpmAg==" spinCount="100000" sheet="1" objects="1" scenarios="1"/>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workbookViewId="0">
      <selection activeCell="G25" sqref="G25"/>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0.19642857142857101</v>
      </c>
      <c r="E5" s="4">
        <v>0.234848484848484</v>
      </c>
      <c r="F5" s="4">
        <v>0.302752293577981</v>
      </c>
      <c r="G5" s="4">
        <v>0.359375</v>
      </c>
      <c r="H5" s="4">
        <v>1</v>
      </c>
      <c r="K5" s="4">
        <v>0.2</v>
      </c>
      <c r="L5" s="4">
        <v>0</v>
      </c>
      <c r="M5" s="4">
        <v>0.130653266331658</v>
      </c>
      <c r="N5" s="4">
        <v>0.16312056737588601</v>
      </c>
      <c r="O5" s="4">
        <v>0.2</v>
      </c>
      <c r="P5" s="4">
        <v>0.27234042553191401</v>
      </c>
      <c r="Q5" s="4">
        <v>1</v>
      </c>
    </row>
    <row r="6" spans="2:17">
      <c r="B6" s="4">
        <v>0.3</v>
      </c>
      <c r="C6" s="4">
        <v>0</v>
      </c>
      <c r="D6" s="4">
        <v>0.32679738562091498</v>
      </c>
      <c r="E6" s="4">
        <v>0.37016574585635298</v>
      </c>
      <c r="F6" s="4">
        <v>0.42</v>
      </c>
      <c r="G6" s="4">
        <v>0.5</v>
      </c>
      <c r="H6" s="3">
        <v>1</v>
      </c>
      <c r="I6" s="1"/>
      <c r="K6" s="4">
        <v>0.3</v>
      </c>
      <c r="L6" s="4">
        <v>0</v>
      </c>
      <c r="M6" s="4">
        <v>0.24489795918367299</v>
      </c>
      <c r="N6" s="4">
        <v>0.28767123287671198</v>
      </c>
      <c r="O6" s="4">
        <v>0.3359375</v>
      </c>
      <c r="P6" s="4">
        <v>0.39568345323741</v>
      </c>
      <c r="Q6" s="3">
        <v>1</v>
      </c>
    </row>
    <row r="7" spans="2:17">
      <c r="B7" s="4">
        <v>0.4</v>
      </c>
      <c r="C7" s="4">
        <v>0</v>
      </c>
      <c r="D7" s="4">
        <v>0.39912280701754299</v>
      </c>
      <c r="E7" s="4">
        <v>0.476190476190476</v>
      </c>
      <c r="F7" s="4">
        <v>0.53216374269005795</v>
      </c>
      <c r="G7" s="4">
        <v>0.58181818181818101</v>
      </c>
      <c r="H7" s="3">
        <v>1</v>
      </c>
      <c r="I7" s="1"/>
      <c r="K7" s="4">
        <v>0.4</v>
      </c>
      <c r="L7" s="4">
        <v>0</v>
      </c>
      <c r="M7" s="4">
        <v>0.33434650455927001</v>
      </c>
      <c r="N7" s="4">
        <v>0.37356321839080397</v>
      </c>
      <c r="O7" s="4">
        <v>0.425414364640883</v>
      </c>
      <c r="P7" s="4">
        <v>0.47783251231527002</v>
      </c>
      <c r="Q7" s="3">
        <v>1</v>
      </c>
    </row>
    <row r="8" spans="2:17">
      <c r="B8" s="4">
        <v>0.45</v>
      </c>
      <c r="C8" s="4">
        <v>0</v>
      </c>
      <c r="D8" s="4">
        <v>0.49342105263157798</v>
      </c>
      <c r="E8" s="4">
        <v>0.53416149068322905</v>
      </c>
      <c r="F8" s="4">
        <v>0.58113207547169798</v>
      </c>
      <c r="G8" s="4">
        <v>0.63173652694610705</v>
      </c>
      <c r="H8" s="3">
        <v>1</v>
      </c>
      <c r="I8" s="1"/>
      <c r="K8" s="4">
        <v>0.45</v>
      </c>
      <c r="L8" s="4">
        <v>0</v>
      </c>
      <c r="M8" s="4">
        <v>0.41176470588235198</v>
      </c>
      <c r="N8" s="4">
        <v>0.46341463414634099</v>
      </c>
      <c r="O8" s="4">
        <v>0.50276243093922601</v>
      </c>
      <c r="P8" s="4">
        <v>0.56015037593984895</v>
      </c>
      <c r="Q8" s="3">
        <v>1</v>
      </c>
    </row>
    <row r="9" spans="2:17">
      <c r="B9" s="4">
        <v>0.5</v>
      </c>
      <c r="C9" s="4">
        <v>0</v>
      </c>
      <c r="D9" s="4">
        <v>0.525316455696202</v>
      </c>
      <c r="E9" s="4">
        <v>0.58333333333333304</v>
      </c>
      <c r="F9" s="4">
        <v>0.63841807909604498</v>
      </c>
      <c r="G9" s="4">
        <v>0.68965517241379304</v>
      </c>
      <c r="H9" s="3">
        <v>1</v>
      </c>
      <c r="I9" s="1"/>
      <c r="K9" s="4">
        <v>0.5</v>
      </c>
      <c r="L9" s="4">
        <v>0</v>
      </c>
      <c r="M9" s="4">
        <v>0.44736842105263103</v>
      </c>
      <c r="N9" s="4">
        <v>0.50326797385620903</v>
      </c>
      <c r="O9" s="4">
        <v>0.546875</v>
      </c>
      <c r="P9" s="4">
        <v>0.59893048128342197</v>
      </c>
      <c r="Q9" s="3">
        <v>1</v>
      </c>
    </row>
    <row r="10" spans="2:17">
      <c r="B10" s="4">
        <v>0.55000000000000004</v>
      </c>
      <c r="C10" s="4">
        <v>0</v>
      </c>
      <c r="D10" s="4">
        <v>0.57377049180327799</v>
      </c>
      <c r="E10" s="4">
        <v>0.61788617886178798</v>
      </c>
      <c r="F10" s="4">
        <v>0.66023166023166002</v>
      </c>
      <c r="G10" s="4">
        <v>0.71376811594202805</v>
      </c>
      <c r="H10" s="3">
        <v>1</v>
      </c>
      <c r="I10" s="1"/>
      <c r="K10" s="4">
        <v>0.55000000000000004</v>
      </c>
      <c r="L10" s="4">
        <v>0</v>
      </c>
      <c r="M10" s="4">
        <v>0.51785714285714202</v>
      </c>
      <c r="N10" s="4">
        <v>0.56621004566209998</v>
      </c>
      <c r="O10" s="4">
        <v>0.60773480662983403</v>
      </c>
      <c r="P10" s="4">
        <v>0.64925373134328301</v>
      </c>
      <c r="Q10" s="3">
        <v>1</v>
      </c>
    </row>
    <row r="11" spans="2:17">
      <c r="B11" s="4">
        <v>0.6</v>
      </c>
      <c r="C11" s="4">
        <v>0</v>
      </c>
      <c r="D11" s="4">
        <v>0.58333333333333304</v>
      </c>
      <c r="E11" s="4">
        <v>0.635568513119533</v>
      </c>
      <c r="F11" s="4">
        <v>0.67910447761194004</v>
      </c>
      <c r="G11" s="4">
        <v>0.74482758620689604</v>
      </c>
      <c r="H11" s="3">
        <v>1</v>
      </c>
      <c r="I11" s="1"/>
      <c r="K11" s="4">
        <v>0.6</v>
      </c>
      <c r="L11" s="4">
        <v>0</v>
      </c>
      <c r="M11" s="4">
        <v>0.52447552447552404</v>
      </c>
      <c r="N11" s="4">
        <v>0.57608695652173902</v>
      </c>
      <c r="O11" s="4">
        <v>0.625</v>
      </c>
      <c r="P11" s="4">
        <v>0.67788461538461497</v>
      </c>
      <c r="Q11" s="3">
        <v>1</v>
      </c>
    </row>
    <row r="12" spans="2:17">
      <c r="B12" s="4">
        <v>0.7</v>
      </c>
      <c r="C12" s="4">
        <v>0</v>
      </c>
      <c r="D12" s="4">
        <v>0.625</v>
      </c>
      <c r="E12" s="4">
        <v>0.68639053254437798</v>
      </c>
      <c r="F12" s="4">
        <v>0.74460431654676196</v>
      </c>
      <c r="G12" s="4">
        <v>0.787755102040816</v>
      </c>
      <c r="H12" s="3">
        <v>1</v>
      </c>
      <c r="I12" s="1"/>
      <c r="K12" s="4">
        <v>0.7</v>
      </c>
      <c r="L12" s="4">
        <v>0</v>
      </c>
      <c r="M12" s="4">
        <v>0.58865248226950295</v>
      </c>
      <c r="N12" s="4">
        <v>0.64666666666666595</v>
      </c>
      <c r="O12" s="4">
        <v>0.69354838709677402</v>
      </c>
      <c r="P12" s="4">
        <v>0.74380165289256095</v>
      </c>
      <c r="Q12" s="3">
        <v>1</v>
      </c>
    </row>
    <row r="13" spans="2:17">
      <c r="B13" s="4">
        <v>0.8</v>
      </c>
      <c r="C13" s="4">
        <v>0</v>
      </c>
      <c r="D13" s="4">
        <v>0.67597765363128404</v>
      </c>
      <c r="E13" s="4">
        <v>0.73758865248226901</v>
      </c>
      <c r="F13" s="4">
        <v>0.76190476190476097</v>
      </c>
      <c r="G13" s="4">
        <v>0.83064516129032195</v>
      </c>
      <c r="H13" s="3">
        <v>1</v>
      </c>
      <c r="I13" s="1"/>
      <c r="K13" s="4">
        <v>0.8</v>
      </c>
      <c r="L13" s="4">
        <v>0</v>
      </c>
      <c r="M13" s="4">
        <v>0.67219917012448105</v>
      </c>
      <c r="N13" s="4">
        <v>0.71428571428571397</v>
      </c>
      <c r="O13" s="4">
        <v>0.75732217573221705</v>
      </c>
      <c r="P13" s="4">
        <v>0.79585798816567999</v>
      </c>
      <c r="Q13" s="3">
        <v>1</v>
      </c>
    </row>
    <row r="14" spans="2:17">
      <c r="B14" s="4">
        <v>0.9</v>
      </c>
      <c r="C14" s="4">
        <v>0</v>
      </c>
      <c r="D14" s="4">
        <v>0.72847682119205204</v>
      </c>
      <c r="E14" s="4">
        <v>0.78658536585365801</v>
      </c>
      <c r="F14" s="4">
        <v>0.83084577114427804</v>
      </c>
      <c r="G14" s="4">
        <v>0.87719298245613997</v>
      </c>
      <c r="H14" s="3">
        <v>1</v>
      </c>
      <c r="I14" s="1"/>
      <c r="K14" s="4">
        <v>0.9</v>
      </c>
      <c r="L14" s="4">
        <v>0</v>
      </c>
      <c r="M14" s="4">
        <v>0.739884393063583</v>
      </c>
      <c r="N14" s="4">
        <v>0.77115987460815005</v>
      </c>
      <c r="O14" s="4">
        <v>0.81407035175879305</v>
      </c>
      <c r="P14" s="4">
        <v>0.86192468619246798</v>
      </c>
      <c r="Q14" s="3">
        <v>1</v>
      </c>
    </row>
    <row r="15" spans="2:17">
      <c r="B15" s="4">
        <v>1</v>
      </c>
      <c r="C15" s="4">
        <v>0</v>
      </c>
      <c r="D15" s="4">
        <v>0.848314606741573</v>
      </c>
      <c r="E15" s="4">
        <v>0.85635359116022003</v>
      </c>
      <c r="F15" s="4">
        <v>0.952380952380952</v>
      </c>
      <c r="G15" s="4">
        <v>0.98870056497175096</v>
      </c>
      <c r="H15" s="3">
        <v>1</v>
      </c>
      <c r="I15" s="1"/>
      <c r="K15" s="4">
        <v>1</v>
      </c>
      <c r="L15" s="4">
        <v>0</v>
      </c>
      <c r="M15" s="4">
        <v>0.79274611398963701</v>
      </c>
      <c r="N15" s="4">
        <v>0.87096774193548299</v>
      </c>
      <c r="O15" s="4">
        <v>0.87709497206703901</v>
      </c>
      <c r="P15" s="4">
        <v>0.972067039106145</v>
      </c>
      <c r="Q15" s="3">
        <v>1</v>
      </c>
    </row>
    <row r="16" spans="2:17">
      <c r="B16" s="6"/>
      <c r="C16" s="6"/>
      <c r="D16" s="6"/>
      <c r="E16" s="6"/>
      <c r="F16" s="6"/>
      <c r="G16" s="6"/>
      <c r="H16" s="7"/>
      <c r="I16" s="1"/>
      <c r="K16" s="6"/>
      <c r="L16" s="6"/>
      <c r="M16" s="6"/>
      <c r="N16" s="6"/>
      <c r="O16" s="6"/>
      <c r="P16" s="6"/>
      <c r="Q16"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SUMPRODUCT((B3:B14&lt;=$C$17)*(B4:B15&gt;$C$17),(B4:B15))</f>
        <v>#N/A</v>
      </c>
      <c r="C22" t="e">
        <f>VLOOKUP($B$22,$B$5:$H$15,2,FALSE)</f>
        <v>#N/A</v>
      </c>
      <c r="D22" t="e">
        <f>ROUND(VLOOKUP($B$22,$B$5:$H$15,3,FALSE),2)</f>
        <v>#N/A</v>
      </c>
      <c r="E22" t="e">
        <f>ROUND(VLOOKUP($B$22,$B$5:$H$15,4,FALSE),2)</f>
        <v>#N/A</v>
      </c>
      <c r="F22" t="e">
        <f>ROUND(VLOOKUP($B$22,$B$5:$H$15,5,FALSE),2)</f>
        <v>#N/A</v>
      </c>
      <c r="G22" t="e">
        <f>ROUND(VLOOKUP($B$22,$B$5:$H$15,6,FALSE),2)</f>
        <v>#N/A</v>
      </c>
      <c r="H22" t="e">
        <f>VLOOKUP($B$22,$B$5:$H$15,7,FALSE)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lO/dpF8WpBfh41niCI34TfHnTLTy6yU9xddCIj90KC69hEDHnXF3K/Vkevass+w5UUdPZjhrtK8f8kBVtcEbJw==" saltValue="BOfWa2DnqssTbfDUl//B9A==" spinCount="100000" sheet="1" objects="1" scenarios="1"/>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workbookViewId="0">
      <selection activeCell="G22" sqref="G22"/>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0.201970443349753</v>
      </c>
      <c r="E5" s="4">
        <v>0.23529411764705799</v>
      </c>
      <c r="F5" s="4">
        <v>0.26490066225165498</v>
      </c>
      <c r="G5" s="4">
        <v>0.301369863013698</v>
      </c>
      <c r="H5" s="4">
        <v>1</v>
      </c>
      <c r="K5" s="4">
        <v>0.2</v>
      </c>
      <c r="L5" s="4">
        <v>0</v>
      </c>
      <c r="M5" s="4">
        <v>0.135245901639344</v>
      </c>
      <c r="N5" s="4">
        <v>0.16393442622950799</v>
      </c>
      <c r="O5" s="4">
        <v>0.210843373493975</v>
      </c>
      <c r="P5" s="4">
        <v>0.22413793103448201</v>
      </c>
      <c r="Q5" s="4">
        <v>1</v>
      </c>
    </row>
    <row r="6" spans="2:17">
      <c r="B6" s="4">
        <v>0.3</v>
      </c>
      <c r="C6" s="4">
        <v>0</v>
      </c>
      <c r="D6" s="4">
        <v>0.335616438356164</v>
      </c>
      <c r="E6" s="4">
        <v>0.36666666666666597</v>
      </c>
      <c r="F6" s="4">
        <v>0.39837398373983701</v>
      </c>
      <c r="G6" s="4">
        <v>0.46188340807174799</v>
      </c>
      <c r="H6" s="3">
        <v>1</v>
      </c>
      <c r="K6" s="4">
        <v>0.3</v>
      </c>
      <c r="L6" s="4">
        <v>0</v>
      </c>
      <c r="M6" s="4">
        <v>0.22310756972111501</v>
      </c>
      <c r="N6" s="4">
        <v>0.27027027027027001</v>
      </c>
      <c r="O6" s="4">
        <v>0.30555555555555503</v>
      </c>
      <c r="P6" s="4">
        <v>0.37668161434977498</v>
      </c>
      <c r="Q6" s="3">
        <v>1</v>
      </c>
    </row>
    <row r="7" spans="2:17">
      <c r="B7" s="4">
        <v>0.4</v>
      </c>
      <c r="C7" s="4">
        <v>0</v>
      </c>
      <c r="D7" s="4">
        <v>0.399014778325123</v>
      </c>
      <c r="E7" s="4">
        <v>0.44680851063829702</v>
      </c>
      <c r="F7" s="4">
        <v>0.502564102564102</v>
      </c>
      <c r="G7" s="4">
        <v>0.55462184873949505</v>
      </c>
      <c r="H7" s="3">
        <v>1</v>
      </c>
      <c r="I7" s="1"/>
      <c r="K7" s="4">
        <v>0.4</v>
      </c>
      <c r="L7" s="4">
        <v>0</v>
      </c>
      <c r="M7" s="4">
        <v>0.32885906040268398</v>
      </c>
      <c r="N7" s="4">
        <v>0.36864406779661002</v>
      </c>
      <c r="O7" s="4">
        <v>0.404878048780487</v>
      </c>
      <c r="P7" s="4">
        <v>0.45911949685534498</v>
      </c>
      <c r="Q7" s="3">
        <v>1</v>
      </c>
    </row>
    <row r="8" spans="2:17">
      <c r="B8" s="4">
        <v>0.45</v>
      </c>
      <c r="C8" s="4">
        <v>0</v>
      </c>
      <c r="D8" s="4">
        <v>0.47659574468085097</v>
      </c>
      <c r="E8" s="4">
        <v>0.52694610778443096</v>
      </c>
      <c r="F8" s="4">
        <v>0.56034482758620596</v>
      </c>
      <c r="G8" s="4">
        <v>0.60975609756097504</v>
      </c>
      <c r="H8" s="3">
        <v>1</v>
      </c>
      <c r="I8" s="1"/>
      <c r="K8" s="4">
        <v>0.45</v>
      </c>
      <c r="L8" s="4">
        <v>0</v>
      </c>
      <c r="M8" s="4">
        <v>0.39204545454545398</v>
      </c>
      <c r="N8" s="4">
        <v>0.4375</v>
      </c>
      <c r="O8" s="4">
        <v>0.475972540045766</v>
      </c>
      <c r="P8" s="4">
        <v>0.53110047846889896</v>
      </c>
      <c r="Q8" s="3">
        <v>1</v>
      </c>
    </row>
    <row r="9" spans="2:17">
      <c r="B9" s="4">
        <v>0.5</v>
      </c>
      <c r="C9" s="4">
        <v>0</v>
      </c>
      <c r="D9" s="4">
        <v>0.52534562211981495</v>
      </c>
      <c r="E9" s="4">
        <v>0.56074766355140104</v>
      </c>
      <c r="F9" s="4">
        <v>0.60727272727272696</v>
      </c>
      <c r="G9" s="4">
        <v>0.661087866108786</v>
      </c>
      <c r="H9" s="3">
        <v>1</v>
      </c>
      <c r="I9" s="1"/>
      <c r="K9" s="4">
        <v>0.5</v>
      </c>
      <c r="L9" s="4">
        <v>0</v>
      </c>
      <c r="M9" s="4">
        <v>0.44852941176470501</v>
      </c>
      <c r="N9" s="4">
        <v>0.49576271186440601</v>
      </c>
      <c r="O9" s="4">
        <v>0.52709359605911299</v>
      </c>
      <c r="P9" s="4">
        <v>0.574007220216606</v>
      </c>
      <c r="Q9" s="3">
        <v>1</v>
      </c>
    </row>
    <row r="10" spans="2:17">
      <c r="B10" s="4">
        <v>0.55000000000000004</v>
      </c>
      <c r="C10" s="4">
        <v>0</v>
      </c>
      <c r="D10" s="4">
        <v>0.57534246575342396</v>
      </c>
      <c r="E10" s="4">
        <v>0.61290322580645096</v>
      </c>
      <c r="F10" s="4">
        <v>0.65269461077844304</v>
      </c>
      <c r="G10" s="4">
        <v>0.69189189189189104</v>
      </c>
      <c r="H10" s="3">
        <v>1</v>
      </c>
      <c r="I10" s="1"/>
      <c r="K10" s="4">
        <v>0.55000000000000004</v>
      </c>
      <c r="L10" s="4">
        <v>0</v>
      </c>
      <c r="M10" s="4">
        <v>0.50557620817843796</v>
      </c>
      <c r="N10" s="4">
        <v>0.55913978494623595</v>
      </c>
      <c r="O10" s="4">
        <v>0.58421052631578896</v>
      </c>
      <c r="P10" s="4">
        <v>0.62096774193548299</v>
      </c>
      <c r="Q10" s="3">
        <v>1</v>
      </c>
    </row>
    <row r="11" spans="2:17">
      <c r="B11" s="4">
        <v>0.6</v>
      </c>
      <c r="C11" s="4">
        <v>0</v>
      </c>
      <c r="D11" s="4">
        <v>0.60679611650485399</v>
      </c>
      <c r="E11" s="4">
        <v>0.64497041420118295</v>
      </c>
      <c r="F11" s="4">
        <v>0.68729641693811006</v>
      </c>
      <c r="G11" s="4">
        <v>0.73333333333333295</v>
      </c>
      <c r="H11" s="3">
        <v>1</v>
      </c>
      <c r="I11" s="1"/>
      <c r="K11" s="4">
        <v>0.6</v>
      </c>
      <c r="L11" s="4">
        <v>0</v>
      </c>
      <c r="M11" s="4">
        <v>0.53600000000000003</v>
      </c>
      <c r="N11" s="4">
        <v>0.58525345622119795</v>
      </c>
      <c r="O11" s="4">
        <v>0.62209302325581295</v>
      </c>
      <c r="P11" s="4">
        <v>0.68</v>
      </c>
      <c r="Q11" s="3">
        <v>1</v>
      </c>
    </row>
    <row r="12" spans="2:17">
      <c r="B12" s="4">
        <v>0.7</v>
      </c>
      <c r="C12" s="4">
        <v>0</v>
      </c>
      <c r="D12" s="4">
        <v>0.64263322884012497</v>
      </c>
      <c r="E12" s="4">
        <v>0.68848167539267002</v>
      </c>
      <c r="F12" s="4">
        <v>0.734615384615384</v>
      </c>
      <c r="G12" s="4">
        <v>0.78703703703703698</v>
      </c>
      <c r="H12" s="3">
        <v>1</v>
      </c>
      <c r="I12" s="1"/>
      <c r="K12" s="4">
        <v>0.7</v>
      </c>
      <c r="L12" s="4">
        <v>0</v>
      </c>
      <c r="M12" s="4">
        <v>0.59090909090909005</v>
      </c>
      <c r="N12" s="4">
        <v>0.64986737400530503</v>
      </c>
      <c r="O12" s="4">
        <v>0.69435215946843798</v>
      </c>
      <c r="P12" s="4">
        <v>0.729970326409495</v>
      </c>
      <c r="Q12" s="3">
        <v>1</v>
      </c>
    </row>
    <row r="13" spans="2:17">
      <c r="B13" s="4">
        <v>0.8</v>
      </c>
      <c r="C13" s="4">
        <v>0</v>
      </c>
      <c r="D13" s="4">
        <v>0.706806282722513</v>
      </c>
      <c r="E13" s="4">
        <v>0.75</v>
      </c>
      <c r="F13" s="4">
        <v>0.78010471204188403</v>
      </c>
      <c r="G13" s="4">
        <v>0.83695652173913004</v>
      </c>
      <c r="H13" s="3">
        <v>1</v>
      </c>
      <c r="I13" s="1"/>
      <c r="K13" s="4">
        <v>0.8</v>
      </c>
      <c r="L13" s="4">
        <v>0</v>
      </c>
      <c r="M13" s="4">
        <v>0.68192219679633803</v>
      </c>
      <c r="N13" s="4">
        <v>0.71527777777777701</v>
      </c>
      <c r="O13" s="4">
        <v>0.75806451612903203</v>
      </c>
      <c r="P13" s="4">
        <v>0.793333333333333</v>
      </c>
      <c r="Q13" s="3">
        <v>1</v>
      </c>
    </row>
    <row r="14" spans="2:17">
      <c r="B14" s="4">
        <v>0.9</v>
      </c>
      <c r="C14" s="4">
        <v>0</v>
      </c>
      <c r="D14" s="4">
        <v>0.77122641509433898</v>
      </c>
      <c r="E14" s="4">
        <v>0.80379746835443</v>
      </c>
      <c r="F14" s="4">
        <v>0.84482758620689602</v>
      </c>
      <c r="G14" s="4">
        <v>0.87692307692307603</v>
      </c>
      <c r="H14" s="3">
        <v>1</v>
      </c>
      <c r="I14" s="1"/>
      <c r="K14" s="4">
        <v>0.9</v>
      </c>
      <c r="L14" s="4">
        <v>0</v>
      </c>
      <c r="M14" s="4">
        <v>0.75490196078431304</v>
      </c>
      <c r="N14" s="4">
        <v>0.79472140762463295</v>
      </c>
      <c r="O14" s="4">
        <v>0.8075</v>
      </c>
      <c r="P14" s="4">
        <v>0.85074626865671599</v>
      </c>
      <c r="Q14" s="3">
        <v>1</v>
      </c>
    </row>
    <row r="15" spans="2:17">
      <c r="B15" s="4">
        <v>1</v>
      </c>
      <c r="C15" s="4">
        <v>0</v>
      </c>
      <c r="D15" s="4">
        <v>0.87136929460580903</v>
      </c>
      <c r="E15" s="4">
        <v>0.89864864864864802</v>
      </c>
      <c r="F15" s="4">
        <v>0.97444089456868999</v>
      </c>
      <c r="G15" s="4">
        <v>0.99156118143459904</v>
      </c>
      <c r="H15" s="3">
        <v>1</v>
      </c>
      <c r="I15" s="1"/>
      <c r="K15" s="4">
        <v>1</v>
      </c>
      <c r="L15" s="4">
        <v>0</v>
      </c>
      <c r="M15" s="4">
        <v>0.838842975206611</v>
      </c>
      <c r="N15" s="4">
        <v>0.86394557823129203</v>
      </c>
      <c r="O15" s="4">
        <v>0.92993630573248398</v>
      </c>
      <c r="P15" s="4">
        <v>0.97907949790794901</v>
      </c>
      <c r="Q15" s="3">
        <v>1</v>
      </c>
    </row>
    <row r="16" spans="2:17">
      <c r="B16" s="6"/>
      <c r="C16" s="6"/>
      <c r="D16" s="6"/>
      <c r="E16" s="6"/>
      <c r="F16" s="6"/>
      <c r="G16" s="6"/>
      <c r="H16" s="7"/>
      <c r="I16" s="1"/>
      <c r="K16" s="6"/>
      <c r="L16" s="6"/>
      <c r="M16" s="6"/>
      <c r="N16" s="6"/>
      <c r="O16" s="6"/>
      <c r="P16" s="6"/>
      <c r="Q16"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SUMPRODUCT((B3:B14&lt;=$C$17)*(B4:B15&gt;$C$17),(B4:B15))</f>
        <v>#N/A</v>
      </c>
      <c r="C22" t="e">
        <f>VLOOKUP($B$22,$B$5:$H$15,2,FALSE)</f>
        <v>#N/A</v>
      </c>
      <c r="D22" t="e">
        <f>ROUND(VLOOKUP($B$22,$B$5:$H$15,3,FALSE),2)</f>
        <v>#N/A</v>
      </c>
      <c r="E22" t="e">
        <f>ROUND(VLOOKUP($B$22,$B$5:$H$15,4,FALSE),2)</f>
        <v>#N/A</v>
      </c>
      <c r="F22" t="e">
        <f>ROUND(VLOOKUP($B$22,$B$5:$H$15,5,FALSE),2)</f>
        <v>#N/A</v>
      </c>
      <c r="G22" t="e">
        <f>ROUND(VLOOKUP($B$22,$B$5:$H$15,6,FALSE),2)</f>
        <v>#N/A</v>
      </c>
      <c r="H22" t="e">
        <f>VLOOKUP($B$22,$B$5:$H$15,7,FALSE)</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Tkc/5y1eVH3361UATTbOnjKPaZcx4nFa03hAIVjZHA+FcRKOEqLqS4wq1qLqmYFJd+XmPiR5Ankk5HWNRFx9Lw==" saltValue="0EgYl/tPk0x8DA9swsBgh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A16" sqref="A16"/>
    </sheetView>
  </sheetViews>
  <sheetFormatPr defaultColWidth="8.81640625" defaultRowHeight="14.75"/>
  <cols>
    <col min="1" max="1" width="18.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0.3</v>
      </c>
      <c r="C5" s="4">
        <v>0</v>
      </c>
      <c r="D5" s="4">
        <v>0.23015873015873001</v>
      </c>
      <c r="E5" s="4">
        <v>0.29064039408866899</v>
      </c>
      <c r="F5" s="4">
        <v>0.31736526946107702</v>
      </c>
      <c r="G5" s="4">
        <v>0.35384615384615298</v>
      </c>
      <c r="H5" s="3">
        <v>1</v>
      </c>
      <c r="I5" s="1"/>
      <c r="K5" s="4">
        <v>0.3</v>
      </c>
      <c r="L5" s="4">
        <v>0</v>
      </c>
      <c r="M5" s="4">
        <v>0.2109375</v>
      </c>
      <c r="N5" s="4">
        <v>0.253846153846153</v>
      </c>
      <c r="O5" s="4">
        <v>0.269230769230769</v>
      </c>
      <c r="P5" s="4">
        <v>0.31521739130434701</v>
      </c>
      <c r="Q5" s="3">
        <v>1</v>
      </c>
    </row>
    <row r="6" spans="2:17">
      <c r="B6" s="4">
        <v>0.4</v>
      </c>
      <c r="C6" s="4">
        <v>0</v>
      </c>
      <c r="D6" s="4">
        <v>0.37988826815642401</v>
      </c>
      <c r="E6" s="4">
        <v>0.416243654822335</v>
      </c>
      <c r="F6" s="4">
        <v>0.460465116279069</v>
      </c>
      <c r="G6" s="4">
        <v>0.50724637681159401</v>
      </c>
      <c r="H6" s="3">
        <v>1</v>
      </c>
      <c r="I6" s="1"/>
      <c r="K6" s="4">
        <v>0.4</v>
      </c>
      <c r="L6" s="4">
        <v>0</v>
      </c>
      <c r="M6" s="4">
        <v>0.33796296296296202</v>
      </c>
      <c r="N6" s="4">
        <v>0.37226277372262701</v>
      </c>
      <c r="O6" s="4">
        <v>0.40625</v>
      </c>
      <c r="P6" s="4">
        <v>0.44186046511627902</v>
      </c>
      <c r="Q6" s="3">
        <v>1</v>
      </c>
    </row>
    <row r="7" spans="2:17">
      <c r="B7" s="4">
        <v>0.45</v>
      </c>
      <c r="C7" s="4">
        <v>0</v>
      </c>
      <c r="D7" s="4">
        <v>0.444915254237288</v>
      </c>
      <c r="E7" s="4">
        <v>0.48979591836734598</v>
      </c>
      <c r="F7" s="4">
        <v>0.51569506726457304</v>
      </c>
      <c r="G7" s="4">
        <v>0.56880733944954098</v>
      </c>
      <c r="H7" s="3">
        <v>1</v>
      </c>
      <c r="I7" s="1"/>
      <c r="K7" s="4">
        <v>0.45</v>
      </c>
      <c r="L7" s="4">
        <v>0</v>
      </c>
      <c r="M7" s="4">
        <v>0.41085271317829403</v>
      </c>
      <c r="N7" s="4">
        <v>0.44444444444444398</v>
      </c>
      <c r="O7" s="4">
        <v>0.47413793103448199</v>
      </c>
      <c r="P7" s="4">
        <v>0.51724137931034397</v>
      </c>
      <c r="Q7" s="3">
        <v>1</v>
      </c>
    </row>
    <row r="8" spans="2:17">
      <c r="B8" s="4">
        <v>0.5</v>
      </c>
      <c r="C8" s="4">
        <v>0</v>
      </c>
      <c r="D8" s="4">
        <v>0.495652173913043</v>
      </c>
      <c r="E8" s="4">
        <v>0.53913043478260803</v>
      </c>
      <c r="F8" s="4">
        <v>0.58181818181818101</v>
      </c>
      <c r="G8" s="4">
        <v>0.625</v>
      </c>
      <c r="H8" s="3">
        <v>1</v>
      </c>
      <c r="I8" s="1"/>
      <c r="K8" s="4">
        <v>0.5</v>
      </c>
      <c r="L8" s="4">
        <v>0</v>
      </c>
      <c r="M8" s="4">
        <v>0.467153284671532</v>
      </c>
      <c r="N8" s="4">
        <v>0.506493506493506</v>
      </c>
      <c r="O8" s="4">
        <v>0.53683035714285698</v>
      </c>
      <c r="P8" s="4">
        <v>0.580838323353293</v>
      </c>
      <c r="Q8" s="3">
        <v>1</v>
      </c>
    </row>
    <row r="9" spans="2:17">
      <c r="B9" s="4">
        <v>0.55000000000000004</v>
      </c>
      <c r="C9" s="4">
        <v>0</v>
      </c>
      <c r="D9" s="4">
        <v>0.53571428571428503</v>
      </c>
      <c r="E9" s="4">
        <v>0.57499999999999996</v>
      </c>
      <c r="F9" s="4">
        <v>0.61650485436893199</v>
      </c>
      <c r="G9" s="4">
        <v>0.66329966329966294</v>
      </c>
      <c r="H9" s="3">
        <v>1</v>
      </c>
      <c r="I9" s="1"/>
      <c r="K9" s="4">
        <v>0.55000000000000004</v>
      </c>
      <c r="L9" s="4">
        <v>0</v>
      </c>
      <c r="M9" s="4">
        <v>0.51479289940828399</v>
      </c>
      <c r="N9" s="4">
        <v>0.54515050167224</v>
      </c>
      <c r="O9" s="4">
        <v>0.57333333333333303</v>
      </c>
      <c r="P9" s="4">
        <v>0.61165048543689304</v>
      </c>
      <c r="Q9" s="3">
        <v>1</v>
      </c>
    </row>
    <row r="10" spans="2:17">
      <c r="B10" s="4">
        <v>0.6</v>
      </c>
      <c r="C10" s="4">
        <v>0</v>
      </c>
      <c r="D10" s="4">
        <v>0.58992805755395605</v>
      </c>
      <c r="E10" s="4">
        <v>0.62809917355371903</v>
      </c>
      <c r="F10" s="4">
        <v>0.66080402010050199</v>
      </c>
      <c r="G10" s="4">
        <v>0.70344827586206804</v>
      </c>
      <c r="H10" s="3">
        <v>1</v>
      </c>
      <c r="I10" s="1"/>
      <c r="K10" s="4">
        <v>0.6</v>
      </c>
      <c r="L10" s="4">
        <v>0</v>
      </c>
      <c r="M10" s="4">
        <v>0.559055118110236</v>
      </c>
      <c r="N10" s="4">
        <v>0.598101265822784</v>
      </c>
      <c r="O10" s="4">
        <v>0.63333333333333297</v>
      </c>
      <c r="P10" s="4">
        <v>0.67032967032966995</v>
      </c>
      <c r="Q10" s="3">
        <v>1</v>
      </c>
    </row>
    <row r="11" spans="2:17">
      <c r="B11" s="4">
        <v>0.7</v>
      </c>
      <c r="C11" s="4">
        <v>0</v>
      </c>
      <c r="D11" s="4">
        <v>0.64102564102564097</v>
      </c>
      <c r="E11" s="4">
        <v>0.68705035971223005</v>
      </c>
      <c r="F11" s="4">
        <v>0.73076923076922995</v>
      </c>
      <c r="G11" s="4">
        <v>0.76724137931034397</v>
      </c>
      <c r="H11" s="3">
        <v>1</v>
      </c>
      <c r="I11" s="1"/>
      <c r="K11" s="4">
        <v>0.7</v>
      </c>
      <c r="L11" s="4">
        <v>0</v>
      </c>
      <c r="M11" s="4">
        <v>0.60992907801418395</v>
      </c>
      <c r="N11" s="4">
        <v>0.65975103734439799</v>
      </c>
      <c r="O11" s="4">
        <v>0.703125</v>
      </c>
      <c r="P11" s="4">
        <v>0.739884393063583</v>
      </c>
      <c r="Q11" s="3">
        <v>1</v>
      </c>
    </row>
    <row r="12" spans="2:17">
      <c r="B12" s="4">
        <v>0.8</v>
      </c>
      <c r="C12" s="4">
        <v>0</v>
      </c>
      <c r="D12" s="4">
        <v>0.70503597122302097</v>
      </c>
      <c r="E12" s="4">
        <v>0.75</v>
      </c>
      <c r="F12" s="4">
        <v>0.78767123287671204</v>
      </c>
      <c r="G12" s="4">
        <v>0.83225806451612905</v>
      </c>
      <c r="H12" s="3">
        <v>1</v>
      </c>
      <c r="I12" s="1"/>
      <c r="K12" s="4">
        <v>0.8</v>
      </c>
      <c r="L12" s="4">
        <v>0</v>
      </c>
      <c r="M12" s="4">
        <v>0.70322580645161203</v>
      </c>
      <c r="N12" s="4">
        <v>0.73958333333333304</v>
      </c>
      <c r="O12" s="4">
        <v>0.77456647398843903</v>
      </c>
      <c r="P12" s="4">
        <v>0.818652849740932</v>
      </c>
      <c r="Q12" s="3">
        <v>1</v>
      </c>
    </row>
    <row r="13" spans="2:17">
      <c r="B13" s="4">
        <v>1</v>
      </c>
      <c r="C13" s="4">
        <v>0</v>
      </c>
      <c r="D13" s="4">
        <v>0.77911646586345296</v>
      </c>
      <c r="E13" s="4">
        <v>0.82702702702702702</v>
      </c>
      <c r="F13" s="4">
        <v>0.862222222222222</v>
      </c>
      <c r="G13" s="4">
        <v>0.90308370044052799</v>
      </c>
      <c r="H13" s="3">
        <v>1</v>
      </c>
      <c r="I13" s="1"/>
      <c r="K13" s="4">
        <v>1</v>
      </c>
      <c r="L13" s="4">
        <v>0</v>
      </c>
      <c r="M13" s="4">
        <v>0.766917293233082</v>
      </c>
      <c r="N13" s="4">
        <v>0.80983606557376997</v>
      </c>
      <c r="O13" s="4">
        <v>0.85425101214574795</v>
      </c>
      <c r="P13" s="4">
        <v>0.88546255506607896</v>
      </c>
      <c r="Q13" s="3">
        <v>1</v>
      </c>
    </row>
    <row r="14" spans="2:17">
      <c r="B14" s="6"/>
      <c r="C14" s="6"/>
      <c r="D14" s="6"/>
      <c r="E14" s="6"/>
      <c r="F14" s="6"/>
      <c r="G14" s="6"/>
      <c r="H14" s="7"/>
      <c r="I14" s="1"/>
      <c r="K14" s="6"/>
      <c r="L14" s="6"/>
      <c r="M14" s="6"/>
      <c r="N14" s="6"/>
      <c r="O14" s="6"/>
      <c r="P14" s="6"/>
      <c r="Q14" s="7"/>
    </row>
    <row r="15" spans="2:17">
      <c r="B15" s="6"/>
      <c r="C15" s="6"/>
      <c r="D15" s="6"/>
      <c r="E15" s="6"/>
      <c r="F15" s="6"/>
      <c r="G15" s="6"/>
      <c r="H15" s="7"/>
      <c r="I15" s="1"/>
      <c r="K15" s="6"/>
      <c r="L15" s="6"/>
      <c r="M15" s="6"/>
      <c r="N15" s="6"/>
      <c r="O15" s="6"/>
      <c r="P15" s="6"/>
      <c r="Q15" s="7"/>
    </row>
    <row r="17" spans="1:11">
      <c r="A17" t="s">
        <v>15</v>
      </c>
      <c r="B17" t="e">
        <f>IF(BOY_agg="",NA(),BOY_agg)</f>
        <v>#N/A</v>
      </c>
      <c r="C17" t="e">
        <f>IF(OR(B17="",B17&lt;0,B17&gt;1),NA(),IF(B17=1,0.999,B17))</f>
        <v>#N/A</v>
      </c>
    </row>
    <row r="18" spans="1:11">
      <c r="A18" t="s">
        <v>16</v>
      </c>
      <c r="B18" t="e">
        <f>IF(EOY_agg="",NA(),EOY_agg)</f>
        <v>#N/A</v>
      </c>
      <c r="C18" t="e">
        <f>IF(OR(B18="",B18&lt;0,B18&gt;1),NA(),IF(B18=1,0.999,B18))</f>
        <v>#N/A</v>
      </c>
    </row>
    <row r="19" spans="1:11">
      <c r="A19" t="s">
        <v>17</v>
      </c>
      <c r="B19" t="e">
        <f>IF(goal_BOY_agg="",NA(),goal_BOY_agg)</f>
        <v>#N/A</v>
      </c>
      <c r="C19" t="e">
        <f>IF(OR(B19="",B19&lt;0,B19&gt;1),NA(),IF(B19=1,0.999,B19))</f>
        <v>#N/A</v>
      </c>
    </row>
    <row r="21" spans="1:11">
      <c r="A21" s="5" t="s">
        <v>13</v>
      </c>
    </row>
    <row r="22" spans="1:11">
      <c r="A22" s="2" t="s">
        <v>7</v>
      </c>
      <c r="B22" s="1" t="e">
        <f>SUMPRODUCT((B3:B12&lt;=$C$17)*(B4:B13&gt;$C$17),(B4:B13))</f>
        <v>#N/A</v>
      </c>
      <c r="C22" t="e">
        <f>VLOOKUP($B$22,$B$5:$H$13,2,FALSE)</f>
        <v>#N/A</v>
      </c>
      <c r="D22" t="e">
        <f>ROUND(VLOOKUP($B$22,$B$5:$H$13,3,FALSE),2)</f>
        <v>#N/A</v>
      </c>
      <c r="E22" t="e">
        <f>ROUND(VLOOKUP($B$22,$B$5:$H$13,4,FALSE),2)</f>
        <v>#N/A</v>
      </c>
      <c r="F22" t="e">
        <f>ROUND(VLOOKUP($B$22,$B$5:$H$13,5,FALSE),2)</f>
        <v>#N/A</v>
      </c>
      <c r="G22" t="e">
        <f>ROUND(VLOOKUP($B$22,$B$5:$H$13,6,FALSE),2)</f>
        <v>#N/A</v>
      </c>
      <c r="H22" t="e">
        <f>ROUND(VLOOKUP($B$22,$B$5:$H$13,7,FALSE),2)</f>
        <v>#N/A</v>
      </c>
      <c r="J22" s="2"/>
    </row>
    <row r="23" spans="1:11">
      <c r="A23" s="2" t="s">
        <v>8</v>
      </c>
      <c r="B23" s="1" t="e">
        <f ca="1">OFFSET(A3,0,SUMPRODUCT((C22:G22&lt;=$C$18)*(D22:H22&gt;$C$18),COLUMN(B22:F22)))</f>
        <v>#N/A</v>
      </c>
      <c r="J23" s="2"/>
      <c r="K23" s="1"/>
    </row>
    <row r="24" spans="1:11">
      <c r="A24" s="2"/>
      <c r="B24" s="1"/>
      <c r="J24" s="2"/>
      <c r="K24" s="1"/>
    </row>
    <row r="25" spans="1:11">
      <c r="A25" s="5" t="s">
        <v>14</v>
      </c>
      <c r="B25" s="1"/>
      <c r="J25" s="2"/>
      <c r="K25" s="1"/>
    </row>
    <row r="26" spans="1:11">
      <c r="A26" s="2" t="s">
        <v>7</v>
      </c>
      <c r="B26" s="1" t="e">
        <f>SUMPRODUCT((B3:B12&lt;=$C$19)*(B4:B13&gt;$C$19),(B4:B13))</f>
        <v>#N/A</v>
      </c>
      <c r="C26" t="e">
        <f>VLOOKUP($B$26,$B$5:$H$13,2,FALSE)</f>
        <v>#N/A</v>
      </c>
      <c r="D26" t="e">
        <f>VLOOKUP($B$26,$B$5:$H$13,3,FALSE)</f>
        <v>#N/A</v>
      </c>
      <c r="E26" t="e">
        <f>VLOOKUP($B$26,$B$5:$H$13,4,FALSE)</f>
        <v>#N/A</v>
      </c>
      <c r="F26" t="e">
        <f>VLOOKUP($B$26,$B$5:$H$13,5,FALSE)</f>
        <v>#N/A</v>
      </c>
      <c r="G26" t="e">
        <f>VLOOKUP($B$26,$B$5:$H$13,6,FALSE)</f>
        <v>#N/A</v>
      </c>
      <c r="H26" t="e">
        <f>VLOOKUP($B$26,$B$5:$H$13,7,FALSE)</f>
        <v>#N/A</v>
      </c>
      <c r="J26" s="2"/>
    </row>
    <row r="27" spans="1:11">
      <c r="A27" s="2" t="s">
        <v>10</v>
      </c>
      <c r="B27" s="1"/>
      <c r="C27" t="e">
        <f>VLOOKUP($B$26,$K$5:$Q$13,2,FALSE)</f>
        <v>#N/A</v>
      </c>
      <c r="D27" t="e">
        <f>VLOOKUP($B$26,$K$5:$Q$13,3,FALSE)</f>
        <v>#N/A</v>
      </c>
      <c r="E27" t="e">
        <f>VLOOKUP($B$26,$K$5:$Q$13,4,FALSE)</f>
        <v>#N/A</v>
      </c>
      <c r="F27" t="e">
        <f>VLOOKUP($B$26,$K$5:$Q$13,5,FALSE)</f>
        <v>#N/A</v>
      </c>
      <c r="G27" t="e">
        <f>VLOOKUP($B$26,$K$5:$Q$13,6,FALSE)</f>
        <v>#N/A</v>
      </c>
      <c r="H27" t="e">
        <f>VLOOKUP($B$26,$K$5:$Q$13,7,FALSE)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9</v>
      </c>
      <c r="B29" t="e">
        <f ca="1">OFFSET(A27,0,MATCH(goal_agg,$K$3:$Q$3,FALSE))</f>
        <v>#N/A</v>
      </c>
      <c r="C29" t="e">
        <f ca="1">OFFSET(A27,0,MATCH(goal_agg,$K$3:$Q$3,FALSE)+1)</f>
        <v>#N/A</v>
      </c>
      <c r="D29" t="e">
        <f ca="1">CONCATENATE(TEXT(ROUND($B$29,2)*100,"0")," - ",TEXT(ROUND($C$29,2),"0%"))</f>
        <v>#N/A</v>
      </c>
    </row>
  </sheetData>
  <sheetProtection algorithmName="SHA-512" hashValue="gPkv0vuz2BkaUsVY+ZKoQIucGOOguuDu42iqoC0yaViUo2GXRvhUycx+FGrIjPzqx6prv5m5+f6PNbdFsA3Ayw==" saltValue="fOGZgzgz7SrbE/hU66WrqA==" spinCount="100000" sheet="1" objects="1" scenarios="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ColWidth="8.81640625" defaultRowHeight="14.75"/>
  <sheetData>
    <row r="1" spans="1:3">
      <c r="A1" t="s">
        <v>37</v>
      </c>
      <c r="B1" s="18" t="s">
        <v>37</v>
      </c>
      <c r="C1" s="18" t="s">
        <v>37</v>
      </c>
    </row>
    <row r="2" spans="1:3">
      <c r="A2" t="s">
        <v>30</v>
      </c>
      <c r="B2" s="18" t="s">
        <v>0</v>
      </c>
      <c r="C2" t="s">
        <v>43</v>
      </c>
    </row>
    <row r="3" spans="1:3">
      <c r="A3" t="s">
        <v>29</v>
      </c>
      <c r="B3" s="18" t="s">
        <v>20</v>
      </c>
      <c r="C3" t="s">
        <v>76</v>
      </c>
    </row>
    <row r="4" spans="1:3">
      <c r="A4" t="s">
        <v>22</v>
      </c>
      <c r="B4" s="18" t="s">
        <v>34</v>
      </c>
    </row>
    <row r="5" spans="1:3">
      <c r="A5" t="s">
        <v>31</v>
      </c>
    </row>
    <row r="6" spans="1:3">
      <c r="A6" t="s">
        <v>23</v>
      </c>
    </row>
    <row r="7" spans="1:3">
      <c r="A7" t="s">
        <v>24</v>
      </c>
    </row>
    <row r="8" spans="1:3">
      <c r="A8" t="s">
        <v>25</v>
      </c>
    </row>
    <row r="9" spans="1:3">
      <c r="A9" t="s">
        <v>26</v>
      </c>
    </row>
    <row r="10" spans="1:3">
      <c r="A10" t="s">
        <v>27</v>
      </c>
    </row>
    <row r="11" spans="1:3">
      <c r="A11" t="s">
        <v>28</v>
      </c>
    </row>
  </sheetData>
  <sheetProtection algorithmName="SHA-512" hashValue="XQ7R721DPVZaAyHPcV8m9IC4gZkHtDhPpuZaNtKdva/MSfFOG3p9tASPMtay5zH+5jK4YErqICHi5V/EI23jfQ==" saltValue="9dSs+moKaM1xCdHCxsVO+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15" sqref="A15"/>
    </sheetView>
  </sheetViews>
  <sheetFormatPr defaultColWidth="8.81640625" defaultRowHeight="14.75"/>
  <sheetData>
    <row r="1" spans="1:2">
      <c r="A1" t="s">
        <v>44</v>
      </c>
      <c r="B1" s="32" t="s">
        <v>97</v>
      </c>
    </row>
    <row r="2" spans="1:2">
      <c r="A2" t="s">
        <v>45</v>
      </c>
      <c r="B2" s="32" t="s">
        <v>100</v>
      </c>
    </row>
    <row r="3" spans="1:2">
      <c r="A3" t="s">
        <v>46</v>
      </c>
      <c r="B3" s="32" t="s">
        <v>101</v>
      </c>
    </row>
    <row r="4" spans="1:2">
      <c r="A4" t="s">
        <v>47</v>
      </c>
      <c r="B4" s="32" t="s">
        <v>104</v>
      </c>
    </row>
    <row r="5" spans="1:2">
      <c r="A5" t="s">
        <v>53</v>
      </c>
      <c r="B5" s="32" t="s">
        <v>77</v>
      </c>
    </row>
    <row r="6" spans="1:2">
      <c r="A6" t="s">
        <v>48</v>
      </c>
      <c r="B6" s="32" t="s">
        <v>82</v>
      </c>
    </row>
    <row r="7" spans="1:2">
      <c r="A7" t="s">
        <v>49</v>
      </c>
      <c r="B7" s="32" t="s">
        <v>83</v>
      </c>
    </row>
    <row r="8" spans="1:2">
      <c r="A8" t="s">
        <v>50</v>
      </c>
      <c r="B8" s="32" t="s">
        <v>88</v>
      </c>
    </row>
    <row r="9" spans="1:2">
      <c r="A9" t="s">
        <v>52</v>
      </c>
      <c r="B9" s="32" t="s">
        <v>91</v>
      </c>
    </row>
    <row r="10" spans="1:2">
      <c r="A10" t="s">
        <v>51</v>
      </c>
      <c r="B10" s="32" t="s">
        <v>92</v>
      </c>
    </row>
    <row r="11" spans="1:2">
      <c r="A11" t="s">
        <v>96</v>
      </c>
      <c r="B11" s="32" t="s">
        <v>95</v>
      </c>
    </row>
    <row r="12" spans="1:2">
      <c r="A12" t="s">
        <v>99</v>
      </c>
      <c r="B12" s="32" t="s">
        <v>98</v>
      </c>
    </row>
    <row r="13" spans="1:2">
      <c r="A13" t="s">
        <v>103</v>
      </c>
      <c r="B13" s="32" t="s">
        <v>102</v>
      </c>
    </row>
    <row r="14" spans="1:2">
      <c r="A14" t="s">
        <v>106</v>
      </c>
      <c r="B14" s="32" t="s">
        <v>105</v>
      </c>
    </row>
    <row r="15" spans="1:2">
      <c r="A15" t="s">
        <v>78</v>
      </c>
      <c r="B15" s="32" t="s">
        <v>79</v>
      </c>
    </row>
    <row r="16" spans="1:2">
      <c r="A16" t="s">
        <v>81</v>
      </c>
      <c r="B16" s="32" t="s">
        <v>80</v>
      </c>
    </row>
    <row r="17" spans="1:2">
      <c r="A17" t="s">
        <v>85</v>
      </c>
      <c r="B17" s="32" t="s">
        <v>84</v>
      </c>
    </row>
    <row r="18" spans="1:2">
      <c r="A18" t="s">
        <v>86</v>
      </c>
      <c r="B18" s="32" t="s">
        <v>87</v>
      </c>
    </row>
    <row r="19" spans="1:2">
      <c r="A19" t="s">
        <v>90</v>
      </c>
      <c r="B19" s="32" t="s">
        <v>89</v>
      </c>
    </row>
    <row r="20" spans="1:2">
      <c r="A20" t="s">
        <v>94</v>
      </c>
      <c r="B20" s="32" t="s">
        <v>93</v>
      </c>
    </row>
  </sheetData>
  <sheetProtection algorithmName="SHA-512" hashValue="Qg2GTdOOATK0qdB6bggosF0EdlCYBbk0jLUWuDGRBQnEAOs36nddTQvoeIWHhw0/8WH3Rc+jLBqOhHzDW5GuUw==" saltValue="rPQU7JIvLuwjXG8pIJbTV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J24" sqref="J24"/>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38">
        <v>0</v>
      </c>
      <c r="D5" s="38">
        <v>0.3</v>
      </c>
      <c r="E5" s="38">
        <v>0.47368421052631499</v>
      </c>
      <c r="F5" s="38">
        <v>0.55223880597014896</v>
      </c>
      <c r="G5" s="38">
        <v>0.65384615384615297</v>
      </c>
      <c r="H5" s="3">
        <v>1</v>
      </c>
      <c r="I5" s="1"/>
      <c r="K5" s="4">
        <v>0.2</v>
      </c>
      <c r="L5" s="4">
        <v>0</v>
      </c>
      <c r="M5" s="38">
        <v>0.10204081632653</v>
      </c>
      <c r="N5" s="38">
        <v>0.17142857142857101</v>
      </c>
      <c r="O5" s="38">
        <v>0.26829268292682901</v>
      </c>
      <c r="P5" s="38">
        <v>0.36</v>
      </c>
      <c r="Q5" s="3">
        <v>1</v>
      </c>
    </row>
    <row r="6" spans="1:17">
      <c r="B6" s="4">
        <v>0.3</v>
      </c>
      <c r="C6" s="38">
        <v>0</v>
      </c>
      <c r="D6" s="38">
        <v>0.33333333333333298</v>
      </c>
      <c r="E6" s="38">
        <v>0.46666666666666601</v>
      </c>
      <c r="F6" s="38">
        <v>0.54545454545454497</v>
      </c>
      <c r="G6" s="38">
        <v>0.69230769230769196</v>
      </c>
      <c r="H6" s="3">
        <v>1</v>
      </c>
      <c r="I6" s="1"/>
      <c r="K6" s="4">
        <v>0.3</v>
      </c>
      <c r="L6" s="4">
        <v>0</v>
      </c>
      <c r="M6" s="38">
        <v>0.155555555555555</v>
      </c>
      <c r="N6" s="38">
        <v>0.25</v>
      </c>
      <c r="O6" s="38">
        <v>0.32352941176470501</v>
      </c>
      <c r="P6" s="38">
        <v>0.45</v>
      </c>
      <c r="Q6" s="3">
        <v>1</v>
      </c>
    </row>
    <row r="7" spans="1:17">
      <c r="B7" s="4">
        <v>0.4</v>
      </c>
      <c r="C7" s="38">
        <v>0</v>
      </c>
      <c r="D7" s="38">
        <v>0.43396226415094302</v>
      </c>
      <c r="E7" s="38">
        <v>0.57777777777777695</v>
      </c>
      <c r="F7" s="38">
        <v>0.64615384615384597</v>
      </c>
      <c r="G7" s="38">
        <v>0.73846153846153795</v>
      </c>
      <c r="H7" s="34">
        <v>1</v>
      </c>
      <c r="I7" s="35"/>
      <c r="J7" s="36"/>
      <c r="K7" s="37">
        <v>0.4</v>
      </c>
      <c r="L7" s="37">
        <v>0</v>
      </c>
      <c r="M7" s="38">
        <v>0.24657534246575299</v>
      </c>
      <c r="N7" s="38">
        <v>0.35714285714285698</v>
      </c>
      <c r="O7" s="38">
        <v>0.441176470588235</v>
      </c>
      <c r="P7" s="38">
        <v>0.55813953488372003</v>
      </c>
      <c r="Q7" s="34">
        <v>1</v>
      </c>
    </row>
    <row r="8" spans="1:17">
      <c r="B8" s="4">
        <v>0.5</v>
      </c>
      <c r="C8" s="38">
        <v>0</v>
      </c>
      <c r="D8" s="38">
        <v>0.51219512195121897</v>
      </c>
      <c r="E8" s="38">
        <v>0.60416666666666596</v>
      </c>
      <c r="F8" s="38">
        <v>0.69736842105263097</v>
      </c>
      <c r="G8" s="38">
        <v>0.78846153846153799</v>
      </c>
      <c r="H8" s="3">
        <v>1</v>
      </c>
      <c r="I8" s="1"/>
      <c r="K8" s="4">
        <v>0.5</v>
      </c>
      <c r="L8" s="4">
        <v>0</v>
      </c>
      <c r="M8" s="38">
        <v>0.32352941176470501</v>
      </c>
      <c r="N8" s="38">
        <v>0.434782608695652</v>
      </c>
      <c r="O8" s="38">
        <v>0.52941176470588203</v>
      </c>
      <c r="P8" s="38">
        <v>0.62962962962962898</v>
      </c>
      <c r="Q8" s="3">
        <v>1</v>
      </c>
    </row>
    <row r="9" spans="1:17">
      <c r="B9" s="4">
        <v>0.6</v>
      </c>
      <c r="C9" s="38">
        <v>0</v>
      </c>
      <c r="D9" s="38">
        <v>0.57142857142857095</v>
      </c>
      <c r="E9" s="38">
        <v>0.67213114754098302</v>
      </c>
      <c r="F9" s="38">
        <v>0.73684210526315697</v>
      </c>
      <c r="G9" s="38">
        <v>0.81578947368420995</v>
      </c>
      <c r="H9" s="3">
        <v>1</v>
      </c>
      <c r="I9" s="1"/>
      <c r="K9" s="4">
        <v>0.6</v>
      </c>
      <c r="L9" s="4">
        <v>0</v>
      </c>
      <c r="M9" s="38">
        <v>0.40983606557377</v>
      </c>
      <c r="N9" s="38">
        <v>0.51351351351351304</v>
      </c>
      <c r="O9" s="38">
        <v>0.58974358974358898</v>
      </c>
      <c r="P9" s="38">
        <v>0.69642857142857095</v>
      </c>
      <c r="Q9" s="3">
        <v>1</v>
      </c>
    </row>
    <row r="10" spans="1:17">
      <c r="B10" s="4">
        <v>0.7</v>
      </c>
      <c r="C10" s="38">
        <v>0</v>
      </c>
      <c r="D10" s="38">
        <v>0.56862745098039202</v>
      </c>
      <c r="E10" s="38">
        <v>0.67</v>
      </c>
      <c r="F10" s="38">
        <v>0.74698795180722799</v>
      </c>
      <c r="G10" s="38">
        <v>0.82539682539682502</v>
      </c>
      <c r="H10" s="3">
        <v>1</v>
      </c>
      <c r="I10" s="1"/>
      <c r="K10" s="4">
        <v>0.7</v>
      </c>
      <c r="L10" s="4">
        <v>0</v>
      </c>
      <c r="M10" s="38">
        <v>0.45801526717557201</v>
      </c>
      <c r="N10" s="38">
        <v>0.54716981132075404</v>
      </c>
      <c r="O10" s="38">
        <v>0.63793103448275801</v>
      </c>
      <c r="P10" s="38">
        <v>0.73267326732673199</v>
      </c>
      <c r="Q10" s="3">
        <v>1</v>
      </c>
    </row>
    <row r="11" spans="1:17">
      <c r="B11" s="4">
        <v>0.8</v>
      </c>
      <c r="C11" s="38">
        <v>0</v>
      </c>
      <c r="D11" s="38">
        <v>0.620253164556962</v>
      </c>
      <c r="E11" s="38">
        <v>0.71212121212121204</v>
      </c>
      <c r="F11" s="38">
        <v>0.78125</v>
      </c>
      <c r="G11" s="38">
        <v>0.85714285714285698</v>
      </c>
      <c r="H11" s="3">
        <v>1</v>
      </c>
      <c r="I11" s="1"/>
      <c r="K11" s="4">
        <v>0.8</v>
      </c>
      <c r="L11" s="4">
        <v>0</v>
      </c>
      <c r="M11" s="38">
        <v>0.52054794520547898</v>
      </c>
      <c r="N11" s="38">
        <v>0.59523809523809501</v>
      </c>
      <c r="O11" s="38">
        <v>0.67441860465116199</v>
      </c>
      <c r="P11" s="38">
        <v>0.75609756097560898</v>
      </c>
      <c r="Q11" s="3">
        <v>1</v>
      </c>
    </row>
    <row r="12" spans="1:17">
      <c r="B12" s="4">
        <v>0.9</v>
      </c>
      <c r="C12" s="38">
        <v>0</v>
      </c>
      <c r="D12" s="38">
        <v>0.68571428571428505</v>
      </c>
      <c r="E12" s="38">
        <v>0.81818181818181801</v>
      </c>
      <c r="F12" s="38">
        <v>0.86746987951807197</v>
      </c>
      <c r="G12" s="38">
        <v>0.90322580645161199</v>
      </c>
      <c r="H12" s="3">
        <v>1</v>
      </c>
      <c r="I12" s="1"/>
      <c r="K12" s="4">
        <v>0.9</v>
      </c>
      <c r="L12" s="4">
        <v>0</v>
      </c>
      <c r="M12" s="38">
        <v>0.62992125984251901</v>
      </c>
      <c r="N12" s="38">
        <v>0.73333333333333295</v>
      </c>
      <c r="O12" s="38">
        <v>0.77966101694915202</v>
      </c>
      <c r="P12" s="38">
        <v>0.81818181818181801</v>
      </c>
      <c r="Q12" s="3">
        <v>1</v>
      </c>
    </row>
    <row r="13" spans="1:17">
      <c r="B13" s="4">
        <v>1</v>
      </c>
      <c r="C13" s="38">
        <v>0</v>
      </c>
      <c r="D13" s="38">
        <v>0.83018867924528295</v>
      </c>
      <c r="E13" s="38">
        <v>0.86764705882352899</v>
      </c>
      <c r="F13" s="38">
        <v>0.92105263157894701</v>
      </c>
      <c r="G13" s="38">
        <v>0.94</v>
      </c>
      <c r="H13" s="3">
        <v>1</v>
      </c>
      <c r="I13" s="1"/>
      <c r="K13" s="39">
        <v>1</v>
      </c>
      <c r="L13" s="39">
        <v>0</v>
      </c>
      <c r="M13" s="38">
        <v>0.75438596491228005</v>
      </c>
      <c r="N13" s="38">
        <v>0.831168831168831</v>
      </c>
      <c r="O13" s="38">
        <v>0.848101265822784</v>
      </c>
      <c r="P13" s="38">
        <v>0.90789473684210498</v>
      </c>
      <c r="Q13" s="3">
        <v>1</v>
      </c>
    </row>
    <row r="14" spans="1:17">
      <c r="B14" s="6"/>
      <c r="C14" s="6"/>
      <c r="D14" s="6"/>
      <c r="E14" s="6"/>
      <c r="F14" s="6"/>
      <c r="G14" s="6"/>
      <c r="H14" s="7"/>
      <c r="I14" s="1"/>
      <c r="K14" s="6"/>
      <c r="L14" s="6"/>
      <c r="M14" s="6"/>
      <c r="N14" s="6"/>
      <c r="O14" s="6"/>
      <c r="P14" s="6"/>
      <c r="Q14" s="7"/>
    </row>
    <row r="15" spans="1:17">
      <c r="A15" t="s">
        <v>15</v>
      </c>
      <c r="B15" t="e">
        <f>IF(BOY_K="",NA(),BOY_K)</f>
        <v>#N/A</v>
      </c>
      <c r="C15" t="e">
        <f>IF(OR(B15="",B15&lt;0,B15&gt;1),NA(),IF(B15=1,0.999,B15))</f>
        <v>#N/A</v>
      </c>
      <c r="I15" s="1"/>
      <c r="K15" s="6"/>
      <c r="L15" s="6"/>
      <c r="M15" s="6"/>
      <c r="N15" s="6"/>
      <c r="O15" s="6"/>
      <c r="P15" s="6"/>
      <c r="Q15" s="7"/>
    </row>
    <row r="16" spans="1:17">
      <c r="A16" t="s">
        <v>16</v>
      </c>
      <c r="B16" t="e">
        <f>IF(EOY_K="",NA(),EOY_K)</f>
        <v>#N/A</v>
      </c>
      <c r="C16" t="e">
        <f>IF(OR(B16="",B16&lt;0,B16&gt;1),NA(),IF(B16=1,0.999,B16))</f>
        <v>#N/A</v>
      </c>
      <c r="I16" s="1"/>
      <c r="K16" s="6"/>
      <c r="L16" s="6"/>
      <c r="M16" s="6"/>
      <c r="N16" s="6"/>
      <c r="O16" s="6"/>
      <c r="P16" s="6"/>
      <c r="Q16" s="7"/>
    </row>
    <row r="17" spans="1:17">
      <c r="A17" t="s">
        <v>17</v>
      </c>
      <c r="B17" t="e">
        <f>IF(goal_BOY_K="",NA(),goal_BOY_K)</f>
        <v>#N/A</v>
      </c>
      <c r="C17" t="e">
        <f>IF(OR(B17="",B17&lt;0,B17&gt;1),NA(),IF(B17=1,0.999,B17))</f>
        <v>#N/A</v>
      </c>
      <c r="I17" s="1"/>
      <c r="K17" s="6"/>
      <c r="L17" s="6"/>
      <c r="M17" s="6"/>
      <c r="N17" s="6"/>
      <c r="O17" s="6"/>
      <c r="P17" s="6"/>
      <c r="Q17" s="7"/>
    </row>
    <row r="19" spans="1:17">
      <c r="A19" s="5" t="s">
        <v>13</v>
      </c>
    </row>
    <row r="20" spans="1:17">
      <c r="A20" s="2" t="s">
        <v>7</v>
      </c>
      <c r="B20" s="1" t="e">
        <f>SUMPRODUCT((B3:B12&lt;=$C$15)*(B4:B13&gt;$C$15),(B4:B13))</f>
        <v>#N/A</v>
      </c>
      <c r="C20" t="e">
        <f>VLOOKUP($B$20,$B$5:$H$13,2,FALSE)</f>
        <v>#N/A</v>
      </c>
      <c r="D20" t="e">
        <f>ROUND(VLOOKUP($B$20,$B$5:$H$13,3,FALSE),2)</f>
        <v>#N/A</v>
      </c>
      <c r="E20" t="e">
        <f>ROUND(VLOOKUP($B$20,$B$5:$H$13,4,FALSE),2)</f>
        <v>#N/A</v>
      </c>
      <c r="F20" t="e">
        <f>ROUND(VLOOKUP($B$20,$B$5:$H$13,5,FALSE),2)</f>
        <v>#N/A</v>
      </c>
      <c r="G20" t="e">
        <f>ROUND(VLOOKUP($B$20,$B$5:$H$13,6,FALSE),2)</f>
        <v>#N/A</v>
      </c>
      <c r="H20" t="e">
        <f>VLOOKUP($B$20,$B$5:$H$13,7,FALSE)</f>
        <v>#N/A</v>
      </c>
      <c r="J20" s="2"/>
    </row>
    <row r="21" spans="1:17">
      <c r="A21" s="2" t="s">
        <v>8</v>
      </c>
      <c r="B21" s="1" t="e">
        <f ca="1">OFFSET(A3,0,SUMPRODUCT((C20:G20&lt;=$C$16)*(D20:H20&gt;$C$16),COLUMN(B20:F20)))</f>
        <v>#N/A</v>
      </c>
      <c r="J21" s="2"/>
      <c r="K21" s="1"/>
    </row>
    <row r="22" spans="1:17">
      <c r="A22" s="2"/>
      <c r="B22" s="1"/>
      <c r="J22" s="2"/>
      <c r="K22" s="1"/>
    </row>
    <row r="23" spans="1:17">
      <c r="A23" s="5" t="s">
        <v>14</v>
      </c>
      <c r="B23" s="1"/>
      <c r="J23" s="2"/>
      <c r="K23" s="1"/>
    </row>
    <row r="24" spans="1:17">
      <c r="A24" s="2" t="s">
        <v>7</v>
      </c>
      <c r="B24" s="1" t="e">
        <f>SUMPRODUCT((B3:B12&lt;=$C$17)*(B4:B13&gt;$C$17),(B4:B13))</f>
        <v>#N/A</v>
      </c>
      <c r="C24" t="e">
        <f>VLOOKUP($B$24,$B$5:$H$13,2,FALSE)</f>
        <v>#N/A</v>
      </c>
      <c r="D24" t="e">
        <f>VLOOKUP($B$24,$B$5:$H$13,3,FALSE)</f>
        <v>#N/A</v>
      </c>
      <c r="E24" t="e">
        <f>VLOOKUP($B$24,$B$5:$H$13,4,FALSE)</f>
        <v>#N/A</v>
      </c>
      <c r="F24" t="e">
        <f>VLOOKUP($B$24,$B$5:$H$13,5,FALSE)</f>
        <v>#N/A</v>
      </c>
      <c r="G24" t="e">
        <f>VLOOKUP($B$24,$B$5:$H$13,6,FALSE)</f>
        <v>#N/A</v>
      </c>
      <c r="H24" t="e">
        <f>VLOOKUP($B$24,$B$5:$H$13,7,FALSE)</f>
        <v>#N/A</v>
      </c>
      <c r="J24" s="2"/>
    </row>
    <row r="25" spans="1:17">
      <c r="A25" s="2" t="s">
        <v>10</v>
      </c>
      <c r="B25" s="1"/>
      <c r="C25" t="e">
        <f>VLOOKUP($B$24,$K$5:$Q$13,2,FALSE)</f>
        <v>#N/A</v>
      </c>
      <c r="D25" t="e">
        <f>VLOOKUP($B$24,$K$5:$Q$13,3,FALSE)</f>
        <v>#N/A</v>
      </c>
      <c r="E25" t="e">
        <f>VLOOKUP($B$24,$K$5:$Q$13,4,FALSE)</f>
        <v>#N/A</v>
      </c>
      <c r="F25" t="e">
        <f>VLOOKUP($B$24,$K$5:$Q$13,5,FALSE)</f>
        <v>#N/A</v>
      </c>
      <c r="G25" t="e">
        <f>VLOOKUP($B$24,$K$5:$Q$13,6,FALSE)</f>
        <v>#N/A</v>
      </c>
      <c r="H25" t="e">
        <f>VLOOKUP($B$24,$K$5:$Q$13,7,FALSE)</f>
        <v>#N/A</v>
      </c>
      <c r="J25" s="2"/>
      <c r="K25" s="1"/>
    </row>
    <row r="26" spans="1:17">
      <c r="A26" s="2" t="s">
        <v>6</v>
      </c>
      <c r="B26" t="e">
        <f ca="1">OFFSET(A24,0,MATCH(goal_K,$B$3:$H$3,FALSE))</f>
        <v>#N/A</v>
      </c>
      <c r="C26" t="e">
        <f ca="1">OFFSET(A24,0,MATCH(goal_K,$B$3:$H$3,FALSE)+1)</f>
        <v>#N/A</v>
      </c>
      <c r="D26" t="e">
        <f ca="1">CONCATENATE(TEXT(ROUND($B$26,2)*100,"0")," - ",TEXT(ROUND($C$26,2),"0%"))</f>
        <v>#N/A</v>
      </c>
    </row>
    <row r="27" spans="1:17">
      <c r="A27" s="2" t="s">
        <v>9</v>
      </c>
      <c r="B27" t="e">
        <f ca="1">OFFSET(A25,0,MATCH(goal_K,$K$3:$Q$3,FALSE))</f>
        <v>#N/A</v>
      </c>
      <c r="C27" t="e">
        <f ca="1">OFFSET(A25,0,MATCH(goal_K,$K$3:$Q$3,FALSE)+1)</f>
        <v>#N/A</v>
      </c>
      <c r="D27" t="e">
        <f ca="1">CONCATENATE(TEXT(ROUND($B$27,2)*100,"0")," - ",TEXT(ROUND($C$27,2),"0%"))</f>
        <v>#N/A</v>
      </c>
    </row>
  </sheetData>
  <sheetProtection algorithmName="SHA-512" hashValue="hTlV98UV/GurbxsJy4qaeJQll5xqceSX5SWrmFbVkRSppHTve2kmIcJ5ZPkLDBcAiDSMraOM6MXjvq5JgF+alw==" saltValue="LWXGoxm5IwxqYtX4n7dzoQ==" spinCount="100000" sheet="1" objects="1" scenarios="1"/>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S22" sqref="S22"/>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0.2</v>
      </c>
      <c r="C5" s="4">
        <v>0</v>
      </c>
      <c r="D5" s="38">
        <v>0.233333333333333</v>
      </c>
      <c r="E5" s="38">
        <v>0.31707317073170699</v>
      </c>
      <c r="F5" s="38">
        <v>0.375</v>
      </c>
      <c r="G5" s="38">
        <v>0.47499999999999998</v>
      </c>
      <c r="H5" s="3">
        <v>1</v>
      </c>
      <c r="I5" s="1"/>
      <c r="K5" s="4">
        <v>0.2</v>
      </c>
      <c r="L5" s="4">
        <v>0</v>
      </c>
      <c r="M5" s="38">
        <v>0.1875</v>
      </c>
      <c r="N5" s="38">
        <v>0.24390243902438999</v>
      </c>
      <c r="O5" s="38">
        <v>0.31147540983606498</v>
      </c>
      <c r="P5" s="38">
        <v>0.39560439560439498</v>
      </c>
      <c r="Q5" s="3">
        <v>1</v>
      </c>
    </row>
    <row r="6" spans="1:17">
      <c r="B6" s="4">
        <v>0.3</v>
      </c>
      <c r="C6" s="4">
        <v>0</v>
      </c>
      <c r="D6" s="38">
        <v>0.35897435897435798</v>
      </c>
      <c r="E6" s="38">
        <v>0.42352941176470499</v>
      </c>
      <c r="F6" s="38">
        <v>0.49275362318840499</v>
      </c>
      <c r="G6" s="38">
        <v>0.57777777777777695</v>
      </c>
      <c r="H6" s="3">
        <v>1</v>
      </c>
      <c r="I6" s="1"/>
      <c r="K6" s="4">
        <v>0.3</v>
      </c>
      <c r="L6" s="4">
        <v>0</v>
      </c>
      <c r="M6" s="38">
        <v>0.30973451327433599</v>
      </c>
      <c r="N6" s="38">
        <v>0.37878787878787801</v>
      </c>
      <c r="O6" s="38">
        <v>0.42499999999999999</v>
      </c>
      <c r="P6" s="38">
        <v>0.49019607843137197</v>
      </c>
      <c r="Q6" s="3">
        <v>1</v>
      </c>
    </row>
    <row r="7" spans="1:17">
      <c r="B7" s="4">
        <v>0.4</v>
      </c>
      <c r="C7" s="4">
        <v>0</v>
      </c>
      <c r="D7" s="38">
        <v>0.42352941176470499</v>
      </c>
      <c r="E7" s="38">
        <v>0.50505050505050497</v>
      </c>
      <c r="F7" s="38">
        <v>0.56716417910447703</v>
      </c>
      <c r="G7" s="38">
        <v>0.63793103448275801</v>
      </c>
      <c r="H7" s="3">
        <v>1</v>
      </c>
      <c r="I7" s="1"/>
      <c r="K7" s="4">
        <v>0.4</v>
      </c>
      <c r="L7" s="4">
        <v>0</v>
      </c>
      <c r="M7" s="38">
        <v>0.371428571428571</v>
      </c>
      <c r="N7" s="38">
        <v>0.43421052631578899</v>
      </c>
      <c r="O7" s="38">
        <v>0.51351351351351304</v>
      </c>
      <c r="P7" s="38">
        <v>0.59055118110236204</v>
      </c>
      <c r="Q7" s="3">
        <v>1</v>
      </c>
    </row>
    <row r="8" spans="1:17">
      <c r="B8" s="4">
        <v>0.45</v>
      </c>
      <c r="C8" s="4">
        <v>0</v>
      </c>
      <c r="D8" s="38">
        <v>0.48148148148148101</v>
      </c>
      <c r="E8" s="38">
        <v>0.54166666666666596</v>
      </c>
      <c r="F8" s="38">
        <v>0.60638297872340396</v>
      </c>
      <c r="G8" s="38">
        <v>0.66666666666666596</v>
      </c>
      <c r="H8" s="3">
        <v>1</v>
      </c>
      <c r="I8" s="1"/>
      <c r="K8" s="4">
        <v>0.45</v>
      </c>
      <c r="L8" s="4">
        <v>0</v>
      </c>
      <c r="M8" s="38">
        <v>0.45555555555555499</v>
      </c>
      <c r="N8" s="38">
        <v>0.50909090909090904</v>
      </c>
      <c r="O8" s="38">
        <v>0.57333333333333303</v>
      </c>
      <c r="P8" s="38">
        <v>0.62790697674418605</v>
      </c>
      <c r="Q8" s="3">
        <v>1</v>
      </c>
    </row>
    <row r="9" spans="1:17">
      <c r="B9" s="4">
        <v>0.5</v>
      </c>
      <c r="C9" s="4">
        <v>0</v>
      </c>
      <c r="D9" s="38">
        <v>0.54285714285714204</v>
      </c>
      <c r="E9" s="38">
        <v>0.59677419354838701</v>
      </c>
      <c r="F9" s="38">
        <v>0.65306122448979498</v>
      </c>
      <c r="G9" s="38">
        <v>0.70270270270270196</v>
      </c>
      <c r="H9" s="3">
        <v>1</v>
      </c>
      <c r="I9" s="1"/>
      <c r="K9" s="4">
        <v>0.5</v>
      </c>
      <c r="L9" s="4">
        <v>0</v>
      </c>
      <c r="M9" s="38">
        <v>0.48780487804877998</v>
      </c>
      <c r="N9" s="38">
        <v>0.54761904761904701</v>
      </c>
      <c r="O9" s="38">
        <v>0.59677419354838701</v>
      </c>
      <c r="P9" s="38">
        <v>0.66153846153846096</v>
      </c>
      <c r="Q9" s="3">
        <v>1</v>
      </c>
    </row>
    <row r="10" spans="1:17">
      <c r="B10" s="4">
        <v>0.55000000000000004</v>
      </c>
      <c r="C10" s="4">
        <v>0</v>
      </c>
      <c r="D10" s="38">
        <v>0.56666666666666599</v>
      </c>
      <c r="E10" s="38">
        <v>0.61682242990654201</v>
      </c>
      <c r="F10" s="38">
        <v>0.66666666666666596</v>
      </c>
      <c r="G10" s="38">
        <v>0.72677595628415304</v>
      </c>
      <c r="H10" s="3">
        <v>1</v>
      </c>
      <c r="I10" s="1"/>
      <c r="K10" s="4">
        <v>0.55000000000000004</v>
      </c>
      <c r="L10" s="4">
        <v>0</v>
      </c>
      <c r="M10" s="38">
        <v>0.49295774647887303</v>
      </c>
      <c r="N10" s="38">
        <v>0.57446808510638203</v>
      </c>
      <c r="O10" s="38">
        <v>0.65116279069767402</v>
      </c>
      <c r="P10" s="38">
        <v>0.72</v>
      </c>
      <c r="Q10" s="3">
        <v>1</v>
      </c>
    </row>
    <row r="11" spans="1:17">
      <c r="B11" s="4">
        <v>0.6</v>
      </c>
      <c r="C11" s="4">
        <v>0</v>
      </c>
      <c r="D11" s="38">
        <v>0.56666666666666599</v>
      </c>
      <c r="E11" s="38">
        <v>0.65217391304347805</v>
      </c>
      <c r="F11" s="38">
        <v>0.694029850746268</v>
      </c>
      <c r="G11" s="38">
        <v>0.772151898734177</v>
      </c>
      <c r="H11" s="3">
        <v>1</v>
      </c>
      <c r="I11" s="1"/>
      <c r="K11" s="4">
        <v>0.6</v>
      </c>
      <c r="L11" s="4">
        <v>0</v>
      </c>
      <c r="M11" s="38">
        <v>0.53333333333333299</v>
      </c>
      <c r="N11" s="38">
        <v>0.61417322834645605</v>
      </c>
      <c r="O11" s="38">
        <v>0.67567567567567499</v>
      </c>
      <c r="P11" s="38">
        <v>0.75</v>
      </c>
      <c r="Q11" s="3">
        <v>1</v>
      </c>
    </row>
    <row r="12" spans="1:17">
      <c r="B12" s="4">
        <v>0.7</v>
      </c>
      <c r="C12" s="4">
        <v>0</v>
      </c>
      <c r="D12" s="38">
        <v>0.60714285714285698</v>
      </c>
      <c r="E12" s="38">
        <v>0.69444444444444398</v>
      </c>
      <c r="F12" s="38">
        <v>0.73333333333333295</v>
      </c>
      <c r="G12" s="38">
        <v>0.79611650485436802</v>
      </c>
      <c r="H12" s="3">
        <v>1</v>
      </c>
      <c r="I12" s="1"/>
      <c r="K12" s="4">
        <v>0.7</v>
      </c>
      <c r="L12" s="4">
        <v>0</v>
      </c>
      <c r="M12" s="38">
        <v>0.59574468085106302</v>
      </c>
      <c r="N12" s="38">
        <v>0.67142857142857104</v>
      </c>
      <c r="O12" s="38">
        <v>0.72499999999999998</v>
      </c>
      <c r="P12" s="38">
        <v>0.79518072289156605</v>
      </c>
      <c r="Q12" s="3">
        <v>1</v>
      </c>
    </row>
    <row r="13" spans="1:17">
      <c r="B13" s="4">
        <v>0.8</v>
      </c>
      <c r="C13" s="4">
        <v>0</v>
      </c>
      <c r="D13" s="38">
        <v>0.658227848101265</v>
      </c>
      <c r="E13" s="38">
        <v>0.71111111111111103</v>
      </c>
      <c r="F13" s="38">
        <v>0.76344086021505297</v>
      </c>
      <c r="G13" s="38">
        <v>0.82105263157894703</v>
      </c>
      <c r="H13" s="3">
        <v>1</v>
      </c>
      <c r="I13" s="1"/>
      <c r="K13" s="4">
        <v>0.8</v>
      </c>
      <c r="L13" s="4">
        <v>0</v>
      </c>
      <c r="M13" s="38">
        <v>0.62745098039215597</v>
      </c>
      <c r="N13" s="38">
        <v>0.69135802469135799</v>
      </c>
      <c r="O13" s="38">
        <v>0.75862068965517204</v>
      </c>
      <c r="P13" s="38">
        <v>0.8125</v>
      </c>
      <c r="Q13" s="3">
        <v>1</v>
      </c>
    </row>
    <row r="14" spans="1:17">
      <c r="B14" s="4">
        <v>1</v>
      </c>
      <c r="C14" s="4">
        <v>0</v>
      </c>
      <c r="D14" s="38">
        <v>0.75</v>
      </c>
      <c r="E14" s="38">
        <v>0.77777777777777701</v>
      </c>
      <c r="F14" s="38">
        <v>0.875</v>
      </c>
      <c r="G14" s="38">
        <v>0.90476190476190399</v>
      </c>
      <c r="H14" s="3">
        <v>1</v>
      </c>
      <c r="I14" s="1"/>
      <c r="K14" s="4">
        <v>1</v>
      </c>
      <c r="L14" s="4">
        <v>0</v>
      </c>
      <c r="M14" s="38">
        <v>0.74</v>
      </c>
      <c r="N14" s="38">
        <v>0.78787878787878696</v>
      </c>
      <c r="O14" s="38">
        <v>0.87272727272727202</v>
      </c>
      <c r="P14" s="38">
        <v>0.90909090909090895</v>
      </c>
      <c r="Q14" s="3">
        <v>1</v>
      </c>
    </row>
    <row r="15" spans="1:17">
      <c r="B15" s="6"/>
      <c r="C15" s="6"/>
      <c r="D15" s="6"/>
      <c r="E15" s="6"/>
      <c r="F15" s="6"/>
      <c r="G15" s="6"/>
      <c r="H15" s="7"/>
      <c r="I15" s="1"/>
      <c r="K15" s="6"/>
      <c r="L15" s="6"/>
      <c r="M15" s="6"/>
      <c r="N15" s="6"/>
      <c r="O15" s="6"/>
      <c r="P15" s="6"/>
      <c r="Q15" s="7"/>
    </row>
    <row r="16" spans="1:17">
      <c r="A16" t="s">
        <v>15</v>
      </c>
      <c r="B16" t="e">
        <f>IF(BOY_1="",NA(),BOY_1)</f>
        <v>#N/A</v>
      </c>
      <c r="C16" t="e">
        <f>IF(OR(B16="",B16&lt;0,B16&gt;1),NA(),IF(B16=1,0.999,B16))</f>
        <v>#N/A</v>
      </c>
      <c r="I16" s="1"/>
      <c r="K16" s="6"/>
      <c r="L16" s="6"/>
      <c r="M16" s="6"/>
      <c r="N16" s="6"/>
      <c r="O16" s="6"/>
      <c r="P16" s="6"/>
      <c r="Q16" s="7"/>
    </row>
    <row r="17" spans="1:17">
      <c r="A17" t="s">
        <v>16</v>
      </c>
      <c r="B17" t="e">
        <f>IF(EOY_1="",NA(),EOY_1)</f>
        <v>#N/A</v>
      </c>
      <c r="C17" t="e">
        <f>IF(OR(B17="",B17&lt;0,B17&gt;1),NA(),IF(B17=1,0.999,B17))</f>
        <v>#N/A</v>
      </c>
      <c r="I17" s="1"/>
      <c r="K17" s="6"/>
      <c r="L17" s="6"/>
      <c r="M17" s="6"/>
      <c r="N17" s="6"/>
      <c r="O17" s="6"/>
      <c r="P17" s="6"/>
      <c r="Q17" s="7"/>
    </row>
    <row r="18" spans="1:17">
      <c r="A18" t="s">
        <v>17</v>
      </c>
      <c r="B18" t="e">
        <f>IF(goal_BOY_1="",NA(),goal_BOY_1)</f>
        <v>#N/A</v>
      </c>
      <c r="C18" t="e">
        <f>IF(OR(B18="",B18&lt;0,B18&gt;1),NA(),IF(B18=1,0.999,B18))</f>
        <v>#N/A</v>
      </c>
      <c r="I18" s="1"/>
      <c r="K18" s="6"/>
      <c r="L18" s="6"/>
      <c r="M18" s="6"/>
      <c r="N18" s="6"/>
      <c r="O18" s="6"/>
      <c r="P18" s="6"/>
      <c r="Q18" s="7"/>
    </row>
    <row r="20" spans="1:17">
      <c r="A20" s="5" t="s">
        <v>13</v>
      </c>
    </row>
    <row r="21" spans="1:17">
      <c r="A21" s="2" t="s">
        <v>7</v>
      </c>
      <c r="B21" s="1" t="e">
        <f>SUMPRODUCT((B3:B13&lt;=$C$16)*(B4:B14&gt;$C$16),(B4:B14))</f>
        <v>#N/A</v>
      </c>
      <c r="C21" t="e">
        <f>VLOOKUP($B$21,$B$5:$H$14,2,FALSE)</f>
        <v>#N/A</v>
      </c>
      <c r="D21" t="e">
        <f>ROUND(VLOOKUP($B$21,$B$5:$H$14,3,FALSE),2)</f>
        <v>#N/A</v>
      </c>
      <c r="E21" t="e">
        <f>ROUND(VLOOKUP($B$21,$B$5:$H$14,4,FALSE),2)</f>
        <v>#N/A</v>
      </c>
      <c r="F21" t="e">
        <f>ROUND(VLOOKUP($B$21,$B$5:$H$14,5,FALSE),2)</f>
        <v>#N/A</v>
      </c>
      <c r="G21" t="e">
        <f>ROUND(VLOOKUP($B$21,$B$5:$H$14,6,FALSE),2)</f>
        <v>#N/A</v>
      </c>
      <c r="H21" t="e">
        <f>VLOOKUP($B$21,$B$5:$H$14,7,FALSE)</f>
        <v>#N/A</v>
      </c>
      <c r="J21" s="2"/>
    </row>
    <row r="22" spans="1:17">
      <c r="A22" s="2" t="s">
        <v>8</v>
      </c>
      <c r="B22" s="1" t="e">
        <f ca="1">OFFSET(A3,0,SUMPRODUCT((C21:G21&lt;=$C$17)*(D21:H21&gt;$C$17),COLUMN(B21:F21)))</f>
        <v>#N/A</v>
      </c>
      <c r="J22" s="2"/>
      <c r="K22" s="1"/>
    </row>
    <row r="23" spans="1:17">
      <c r="A23" s="2"/>
      <c r="B23" s="1"/>
      <c r="J23" s="2"/>
      <c r="K23" s="1"/>
    </row>
    <row r="24" spans="1:17">
      <c r="A24" s="5" t="s">
        <v>14</v>
      </c>
      <c r="B24" s="1"/>
      <c r="J24" s="2"/>
      <c r="K24" s="1"/>
    </row>
    <row r="25" spans="1:17">
      <c r="A25" s="2" t="s">
        <v>7</v>
      </c>
      <c r="B25" s="1" t="e">
        <f>SUMPRODUCT((B3:B13&lt;=$C$18)*(B4:B14&gt;$C$18),(B4:B14))</f>
        <v>#N/A</v>
      </c>
      <c r="C25" t="e">
        <f>VLOOKUP($B$25,$B$5:$H$14,2,FALSE)</f>
        <v>#N/A</v>
      </c>
      <c r="D25" t="e">
        <f>VLOOKUP($B$25,$B$5:$H$14,3,FALSE)</f>
        <v>#N/A</v>
      </c>
      <c r="E25" t="e">
        <f>VLOOKUP($B$25,$B$5:$H$14,4,FALSE)</f>
        <v>#N/A</v>
      </c>
      <c r="F25" t="e">
        <f>VLOOKUP($B$25,$B$5:$H$14,5,FALSE)</f>
        <v>#N/A</v>
      </c>
      <c r="G25" t="e">
        <f>VLOOKUP($B$25,$B$5:$H$14,6,FALSE)</f>
        <v>#N/A</v>
      </c>
      <c r="H25" t="e">
        <f>VLOOKUP($B$25,$B$5:$H$14,7,FALSE)</f>
        <v>#N/A</v>
      </c>
      <c r="J25" s="2"/>
    </row>
    <row r="26" spans="1:17">
      <c r="A26" s="2" t="s">
        <v>10</v>
      </c>
      <c r="B26" s="1"/>
      <c r="C26" t="e">
        <f>VLOOKUP($B$25,$K$5:$Q$14,2,FALSE)</f>
        <v>#N/A</v>
      </c>
      <c r="D26" t="e">
        <f>VLOOKUP($B$25,$K$5:$Q$14,3,FALSE)</f>
        <v>#N/A</v>
      </c>
      <c r="E26" t="e">
        <f>VLOOKUP($B$25,$K$5:$Q$14,4,FALSE)</f>
        <v>#N/A</v>
      </c>
      <c r="F26" t="e">
        <f>VLOOKUP($B$25,$K$5:$Q$14,5,FALSE)</f>
        <v>#N/A</v>
      </c>
      <c r="G26" t="e">
        <f>VLOOKUP($B$25,$K$5:$Q$14,6,FALSE)</f>
        <v>#N/A</v>
      </c>
      <c r="H26" t="e">
        <f>VLOOKUP($B$25,$K$5:$Q$14,7,FALSE)</f>
        <v>#N/A</v>
      </c>
      <c r="J26" s="2"/>
      <c r="K26" s="1"/>
    </row>
    <row r="27" spans="1:17">
      <c r="A27" s="2" t="s">
        <v>6</v>
      </c>
      <c r="B27" t="e">
        <f ca="1">OFFSET(A25,0,MATCH(goal_1,$B$3:$H$3,FALSE))</f>
        <v>#N/A</v>
      </c>
      <c r="C27" t="e">
        <f ca="1">OFFSET(A25,0,MATCH(goal_1,$B$3:$H$3,FALSE)+1)</f>
        <v>#N/A</v>
      </c>
      <c r="D27" t="e">
        <f ca="1">CONCATENATE(TEXT(ROUND($B$27,2)*100,"0")," - ",TEXT(ROUND($C$27,2),"0%"))</f>
        <v>#N/A</v>
      </c>
    </row>
    <row r="28" spans="1:17">
      <c r="A28" s="2" t="s">
        <v>9</v>
      </c>
      <c r="B28" t="e">
        <f ca="1">OFFSET(A26,0,MATCH(goal_1,$K$3:$Q$3,FALSE))</f>
        <v>#N/A</v>
      </c>
      <c r="C28" t="e">
        <f ca="1">OFFSET(A26,0,MATCH(goal_1,$K$3:$Q$3,FALSE)+1)</f>
        <v>#N/A</v>
      </c>
      <c r="D28" t="e">
        <f ca="1">CONCATENATE(TEXT(ROUND($B$28,2)*100,"0")," - ",TEXT(ROUND($C$28,2),"0%"))</f>
        <v>#N/A</v>
      </c>
    </row>
  </sheetData>
  <sheetProtection algorithmName="SHA-512" hashValue="DxAfqUI4+sOOXpXElipvUEfH2xrEbUOKKuBDvK5ySf/i+g5LUbZ4uiuijRhqydJSTNYcrK5CQyGLtjEnDCdvhw==" saltValue="UQXHbLn1sh57vSt8Qmhspw==" spinCount="100000" sheet="1" objects="1" scenario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9" workbookViewId="0">
      <selection activeCell="B23" sqref="B23"/>
    </sheetView>
  </sheetViews>
  <sheetFormatPr defaultColWidth="8.81640625" defaultRowHeight="14.75"/>
  <cols>
    <col min="1" max="1" width="14.8164062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0.08</v>
      </c>
      <c r="E5" s="4">
        <v>9.3023255813953404E-2</v>
      </c>
      <c r="F5" s="4">
        <v>0.125</v>
      </c>
      <c r="G5" s="4">
        <v>0.17499999999999999</v>
      </c>
      <c r="H5" s="4">
        <v>1</v>
      </c>
      <c r="K5" s="4">
        <v>0.2</v>
      </c>
      <c r="L5" s="4">
        <v>0</v>
      </c>
      <c r="M5" s="4">
        <v>0.12121212121212099</v>
      </c>
      <c r="N5" s="4">
        <v>0.12949640287769701</v>
      </c>
      <c r="O5" s="4">
        <v>0.15909090909090901</v>
      </c>
      <c r="P5" s="4">
        <v>0.170212765957446</v>
      </c>
      <c r="Q5" s="4">
        <v>1</v>
      </c>
    </row>
    <row r="6" spans="2:17">
      <c r="B6" s="4">
        <v>0.3</v>
      </c>
      <c r="C6" s="4">
        <v>0</v>
      </c>
      <c r="D6" s="38">
        <v>0.214285714285714</v>
      </c>
      <c r="E6" s="38">
        <v>0.25714285714285701</v>
      </c>
      <c r="F6" s="38">
        <v>0.34285714285714203</v>
      </c>
      <c r="G6" s="38">
        <v>0.37037037037037002</v>
      </c>
      <c r="H6" s="3">
        <v>1</v>
      </c>
      <c r="I6" s="1"/>
      <c r="K6" s="4">
        <v>0.3</v>
      </c>
      <c r="L6" s="4">
        <v>0</v>
      </c>
      <c r="M6" s="38">
        <v>0.227848101265822</v>
      </c>
      <c r="N6" s="38">
        <v>0.26086956521739102</v>
      </c>
      <c r="O6" s="38">
        <v>0.28947368421052599</v>
      </c>
      <c r="P6" s="38">
        <v>0.35</v>
      </c>
      <c r="Q6" s="3">
        <v>1</v>
      </c>
    </row>
    <row r="7" spans="2:17">
      <c r="B7" s="4">
        <v>0.4</v>
      </c>
      <c r="C7" s="4">
        <v>0</v>
      </c>
      <c r="D7" s="38">
        <v>0.29166666666666602</v>
      </c>
      <c r="E7" s="38">
        <v>0.34210526315789402</v>
      </c>
      <c r="F7" s="38">
        <v>0.38596491228070101</v>
      </c>
      <c r="G7" s="38">
        <v>0.43137254901960698</v>
      </c>
      <c r="H7" s="3">
        <v>1</v>
      </c>
      <c r="I7" s="1"/>
      <c r="K7" s="4">
        <v>0.4</v>
      </c>
      <c r="L7" s="4">
        <v>0</v>
      </c>
      <c r="M7" s="38">
        <v>0.29545454545454503</v>
      </c>
      <c r="N7" s="38">
        <v>0.33928571428571402</v>
      </c>
      <c r="O7" s="38">
        <v>0.367088607594936</v>
      </c>
      <c r="P7" s="38">
        <v>0.41935483870967699</v>
      </c>
      <c r="Q7" s="3">
        <v>1</v>
      </c>
    </row>
    <row r="8" spans="2:17">
      <c r="B8" s="4">
        <v>0.45</v>
      </c>
      <c r="C8" s="4">
        <v>0</v>
      </c>
      <c r="D8" s="38">
        <v>0.371428571428571</v>
      </c>
      <c r="E8" s="38">
        <v>0.42553191489361702</v>
      </c>
      <c r="F8" s="38">
        <v>0.48275862068965503</v>
      </c>
      <c r="G8" s="38">
        <v>0.53488372093023195</v>
      </c>
      <c r="H8" s="3">
        <v>1</v>
      </c>
      <c r="I8" s="1"/>
      <c r="K8" s="4">
        <v>0.45</v>
      </c>
      <c r="L8" s="4">
        <v>0</v>
      </c>
      <c r="M8" s="38">
        <v>0.375</v>
      </c>
      <c r="N8" s="38">
        <v>0.42424242424242398</v>
      </c>
      <c r="O8" s="38">
        <v>0.45098039215686198</v>
      </c>
      <c r="P8" s="38">
        <v>0.50746268656716398</v>
      </c>
      <c r="Q8" s="3">
        <v>1</v>
      </c>
    </row>
    <row r="9" spans="2:17">
      <c r="B9" s="4">
        <v>0.5</v>
      </c>
      <c r="C9" s="4">
        <v>0</v>
      </c>
      <c r="D9" s="38">
        <v>0.42666666666666597</v>
      </c>
      <c r="E9" s="38">
        <v>0.469879518072289</v>
      </c>
      <c r="F9" s="38">
        <v>0.51351351351351304</v>
      </c>
      <c r="G9" s="38">
        <v>0.57692307692307598</v>
      </c>
      <c r="H9" s="3">
        <v>1</v>
      </c>
      <c r="I9" s="1"/>
      <c r="K9" s="4">
        <v>0.5</v>
      </c>
      <c r="L9" s="4">
        <v>0</v>
      </c>
      <c r="M9" s="38">
        <v>0.4375</v>
      </c>
      <c r="N9" s="38">
        <v>0.469879518072289</v>
      </c>
      <c r="O9" s="38">
        <v>0.51612903225806395</v>
      </c>
      <c r="P9" s="38">
        <v>0.55263157894736803</v>
      </c>
      <c r="Q9" s="3">
        <v>1</v>
      </c>
    </row>
    <row r="10" spans="2:17">
      <c r="B10" s="4">
        <v>0.55000000000000004</v>
      </c>
      <c r="C10" s="4">
        <v>0</v>
      </c>
      <c r="D10" s="38">
        <v>0.46558704453441202</v>
      </c>
      <c r="E10" s="38">
        <v>0.53749999999999998</v>
      </c>
      <c r="F10" s="38">
        <v>0.57692307692307598</v>
      </c>
      <c r="G10" s="38">
        <v>0.63414634146341398</v>
      </c>
      <c r="H10" s="3">
        <v>1</v>
      </c>
      <c r="I10" s="1"/>
      <c r="K10" s="4">
        <v>0.55000000000000004</v>
      </c>
      <c r="L10" s="4">
        <v>0</v>
      </c>
      <c r="M10" s="38">
        <v>0.469879518072289</v>
      </c>
      <c r="N10" s="38">
        <v>0.506493506493506</v>
      </c>
      <c r="O10" s="38">
        <v>0.55555555555555503</v>
      </c>
      <c r="P10" s="38">
        <v>0.60493827160493796</v>
      </c>
      <c r="Q10" s="3">
        <v>1</v>
      </c>
    </row>
    <row r="11" spans="2:17">
      <c r="B11" s="4">
        <v>0.6</v>
      </c>
      <c r="C11" s="4">
        <v>0</v>
      </c>
      <c r="D11" s="38">
        <v>0.51020408163265296</v>
      </c>
      <c r="E11" s="38">
        <v>0.56790123456790098</v>
      </c>
      <c r="F11" s="38">
        <v>0.61904761904761896</v>
      </c>
      <c r="G11" s="38">
        <v>0.65671641791044699</v>
      </c>
      <c r="H11" s="3">
        <v>1</v>
      </c>
      <c r="I11" s="1"/>
      <c r="K11" s="4">
        <v>0.6</v>
      </c>
      <c r="L11" s="4">
        <v>0</v>
      </c>
      <c r="M11" s="38">
        <v>0.52941176470588203</v>
      </c>
      <c r="N11" s="38">
        <v>0.57142857142857095</v>
      </c>
      <c r="O11" s="38">
        <v>0.6</v>
      </c>
      <c r="P11" s="38">
        <v>0.64705882352941102</v>
      </c>
      <c r="Q11" s="3">
        <v>1</v>
      </c>
    </row>
    <row r="12" spans="2:17">
      <c r="B12" s="4">
        <v>0.7</v>
      </c>
      <c r="C12" s="4">
        <v>0</v>
      </c>
      <c r="D12" s="38">
        <v>0.57499999999999996</v>
      </c>
      <c r="E12" s="38">
        <v>0.63013698630136905</v>
      </c>
      <c r="F12" s="38">
        <v>0.67857142857142805</v>
      </c>
      <c r="G12" s="38">
        <v>0.72631578947368403</v>
      </c>
      <c r="H12" s="3">
        <v>1</v>
      </c>
      <c r="I12" s="1"/>
      <c r="K12" s="4">
        <v>0.7</v>
      </c>
      <c r="L12" s="4">
        <v>0</v>
      </c>
      <c r="M12" s="38">
        <v>0.58928571428571397</v>
      </c>
      <c r="N12" s="38">
        <v>0.63235294117647001</v>
      </c>
      <c r="O12" s="38">
        <v>0.67346938775510201</v>
      </c>
      <c r="P12" s="38">
        <v>0.71875</v>
      </c>
      <c r="Q12" s="3">
        <v>1</v>
      </c>
    </row>
    <row r="13" spans="2:17">
      <c r="B13" s="4">
        <v>0.8</v>
      </c>
      <c r="C13" s="4">
        <v>0</v>
      </c>
      <c r="D13" s="38">
        <v>0.65454545454545399</v>
      </c>
      <c r="E13" s="38">
        <v>0.70967741935483797</v>
      </c>
      <c r="F13" s="38">
        <v>0.74747474747474696</v>
      </c>
      <c r="G13" s="38">
        <v>0.80357142857142805</v>
      </c>
      <c r="H13" s="3">
        <v>1</v>
      </c>
      <c r="I13" s="1"/>
      <c r="K13" s="4">
        <v>0.8</v>
      </c>
      <c r="L13" s="4">
        <v>0</v>
      </c>
      <c r="M13" s="38">
        <v>0.67716535433070801</v>
      </c>
      <c r="N13" s="38">
        <v>0.71666666666666601</v>
      </c>
      <c r="O13" s="38">
        <v>0.75409836065573699</v>
      </c>
      <c r="P13" s="38">
        <v>0.79761904761904701</v>
      </c>
      <c r="Q13" s="3">
        <v>1</v>
      </c>
    </row>
    <row r="14" spans="2:17">
      <c r="B14" s="4">
        <v>0.9</v>
      </c>
      <c r="C14" s="4">
        <v>0</v>
      </c>
      <c r="D14" s="38">
        <v>0.75454545454545396</v>
      </c>
      <c r="E14" s="38">
        <v>0.80722891566264998</v>
      </c>
      <c r="F14" s="38">
        <v>0.84</v>
      </c>
      <c r="G14" s="38">
        <v>0.87096774193548299</v>
      </c>
      <c r="H14" s="3">
        <v>1</v>
      </c>
      <c r="I14" s="1"/>
      <c r="K14" s="4">
        <v>0.9</v>
      </c>
      <c r="L14" s="4">
        <v>0</v>
      </c>
      <c r="M14" s="38">
        <v>0.75308641975308599</v>
      </c>
      <c r="N14" s="38">
        <v>0.79591836734693799</v>
      </c>
      <c r="O14" s="38">
        <v>0.82456140350877105</v>
      </c>
      <c r="P14" s="38">
        <v>0.86666666666666603</v>
      </c>
      <c r="Q14" s="3">
        <v>1</v>
      </c>
    </row>
    <row r="15" spans="2:17">
      <c r="B15" s="4">
        <v>1</v>
      </c>
      <c r="C15" s="4">
        <v>0</v>
      </c>
      <c r="D15" s="38">
        <v>0.83333333333333304</v>
      </c>
      <c r="E15" s="38">
        <v>0.88571428571428501</v>
      </c>
      <c r="F15" s="38">
        <v>0.92307692307692302</v>
      </c>
      <c r="G15" s="38">
        <v>0.97916666666666596</v>
      </c>
      <c r="H15" s="3">
        <v>1</v>
      </c>
      <c r="I15" s="1"/>
      <c r="K15" s="4">
        <v>1</v>
      </c>
      <c r="L15" s="4">
        <v>0</v>
      </c>
      <c r="M15" s="38">
        <v>0.85915492957746398</v>
      </c>
      <c r="N15" s="38">
        <v>0.89552238805970097</v>
      </c>
      <c r="O15" s="38">
        <v>0.92307692307692302</v>
      </c>
      <c r="P15" s="38">
        <v>0.97916666666666596</v>
      </c>
      <c r="Q15" s="3">
        <v>1</v>
      </c>
    </row>
    <row r="16" spans="2:17">
      <c r="B16" s="6"/>
      <c r="C16" s="6"/>
      <c r="D16" s="6"/>
      <c r="E16" s="6"/>
      <c r="F16" s="6"/>
      <c r="G16" s="6"/>
      <c r="H16" s="7"/>
      <c r="I16" s="1"/>
      <c r="K16" s="6"/>
      <c r="L16" s="6"/>
      <c r="M16" s="6"/>
      <c r="N16" s="6"/>
      <c r="O16" s="6"/>
      <c r="P16" s="6"/>
      <c r="Q16" s="7"/>
    </row>
    <row r="17" spans="1:17">
      <c r="B17" s="6"/>
      <c r="C17" s="6"/>
      <c r="D17" s="6"/>
      <c r="E17" s="6"/>
      <c r="F17" s="6"/>
      <c r="G17" s="6"/>
      <c r="H17" s="7"/>
      <c r="I17" s="1"/>
      <c r="K17" s="6"/>
      <c r="L17" s="6"/>
      <c r="M17" s="6"/>
      <c r="N17" s="6"/>
      <c r="O17" s="6"/>
      <c r="P17" s="6"/>
      <c r="Q17" s="7"/>
    </row>
    <row r="18" spans="1:17">
      <c r="A18" t="s">
        <v>15</v>
      </c>
      <c r="B18" t="e">
        <f>IF(BOY_2="",NA(),BOY_2)</f>
        <v>#N/A</v>
      </c>
      <c r="C18" t="e">
        <f>IF(OR(B18="",B18&lt;0,B18&gt;1),NA(),IF(B18=1,0.999,B18))</f>
        <v>#N/A</v>
      </c>
      <c r="I18" s="1"/>
      <c r="K18" s="6"/>
      <c r="L18" s="6"/>
      <c r="M18" s="6"/>
      <c r="N18" s="6"/>
      <c r="O18" s="6"/>
      <c r="P18" s="6"/>
      <c r="Q18" s="7"/>
    </row>
    <row r="19" spans="1:17">
      <c r="A19" t="s">
        <v>16</v>
      </c>
      <c r="B19" t="e">
        <f>IF(EOY_2="",NA(),EOY_2)</f>
        <v>#N/A</v>
      </c>
      <c r="C19" t="e">
        <f>IF(OR(B19="",B19&lt;0,B19&gt;1),NA(),IF(B19=1,0.999,B19))</f>
        <v>#N/A</v>
      </c>
      <c r="I19" s="1"/>
      <c r="K19" s="6"/>
      <c r="L19" s="6"/>
      <c r="M19" s="6"/>
      <c r="N19" s="6"/>
      <c r="O19" s="6"/>
      <c r="P19" s="6"/>
      <c r="Q19" s="7"/>
    </row>
    <row r="20" spans="1:17">
      <c r="A20" t="s">
        <v>17</v>
      </c>
      <c r="B20" t="e">
        <f>IF(goal_BOY_2="",NA(),goal_BOY_2)</f>
        <v>#N/A</v>
      </c>
      <c r="C20" t="e">
        <f>IF(OR(B20="",B20&lt;0,B20&gt;1),NA(),IF(B20=1,0.999,B20))</f>
        <v>#N/A</v>
      </c>
      <c r="I20" s="1"/>
      <c r="K20" s="6"/>
      <c r="L20" s="6"/>
      <c r="M20" s="6"/>
      <c r="N20" s="6"/>
      <c r="O20" s="6"/>
      <c r="P20" s="6"/>
      <c r="Q20" s="7"/>
    </row>
    <row r="22" spans="1:17">
      <c r="A22" s="5" t="s">
        <v>13</v>
      </c>
    </row>
    <row r="23" spans="1:17">
      <c r="A23" s="2" t="s">
        <v>7</v>
      </c>
      <c r="B23" s="1" t="e">
        <f>SUMPRODUCT((B3:B14&lt;=$C$18)*(B4:B15&gt;$C$18),(B4:B15))</f>
        <v>#N/A</v>
      </c>
      <c r="C23" t="e">
        <f>VLOOKUP($B$23,$B$5:$H$15,2,FALSE)</f>
        <v>#N/A</v>
      </c>
      <c r="D23" t="e">
        <f>ROUND(VLOOKUP($B$23,$B$5:$H$15,3,FALSE),2)</f>
        <v>#N/A</v>
      </c>
      <c r="E23" t="e">
        <f>ROUND(VLOOKUP($B$23,$B$5:$H$15,4,FALSE),2)</f>
        <v>#N/A</v>
      </c>
      <c r="F23" t="e">
        <f>ROUND(VLOOKUP($B$23,$B$5:$H$15,5,FALSE),2)</f>
        <v>#N/A</v>
      </c>
      <c r="G23" t="e">
        <f>ROUND(VLOOKUP($B$23,$B$5:$H$15,6,FALSE),2)</f>
        <v>#N/A</v>
      </c>
      <c r="H23" t="e">
        <f>VLOOKUP($B$23,$B$5:$H$15,7,FALSE)</f>
        <v>#N/A</v>
      </c>
      <c r="J23" s="2"/>
    </row>
    <row r="24" spans="1:17">
      <c r="A24" s="2" t="s">
        <v>8</v>
      </c>
      <c r="B24" s="1" t="e">
        <f ca="1">OFFSET(A3,0,SUMPRODUCT((C23:G23&lt;=$C$19)*(D23:H23&gt;$C$19),COLUMN(B23:F23)))</f>
        <v>#N/A</v>
      </c>
      <c r="J24" s="2"/>
      <c r="K24" s="1"/>
    </row>
    <row r="25" spans="1:17">
      <c r="A25" s="2"/>
      <c r="B25" s="1"/>
      <c r="J25" s="2"/>
      <c r="K25" s="1"/>
    </row>
    <row r="26" spans="1:17">
      <c r="A26" s="5" t="s">
        <v>14</v>
      </c>
      <c r="B26" s="1"/>
      <c r="J26" s="2"/>
      <c r="K26" s="1"/>
    </row>
    <row r="27" spans="1:17">
      <c r="A27" s="2" t="s">
        <v>7</v>
      </c>
      <c r="B27" s="1" t="e">
        <f>SUMPRODUCT((B3:B14&lt;=$C$20)*(B4:B15&gt;$C$20),(B4:B15))</f>
        <v>#N/A</v>
      </c>
      <c r="C27" t="e">
        <f>VLOOKUP($B$27,$B$5:$H$15,2,FALSE)</f>
        <v>#N/A</v>
      </c>
      <c r="D27" t="e">
        <f>VLOOKUP($B$27,$B$5:$H$15,3,FALSE)</f>
        <v>#N/A</v>
      </c>
      <c r="E27" t="e">
        <f>VLOOKUP($B$27,$B$5:$H$15,4,FALSE)</f>
        <v>#N/A</v>
      </c>
      <c r="F27" t="e">
        <f>VLOOKUP($B$27,$B$5:$H$15,5,FALSE)</f>
        <v>#N/A</v>
      </c>
      <c r="G27" t="e">
        <f>VLOOKUP($B$27,$B$5:$H$15,6,FALSE)</f>
        <v>#N/A</v>
      </c>
      <c r="H27" t="e">
        <f>VLOOKUP($B$27,$B$5:$H$15,7,FALSE)</f>
        <v>#N/A</v>
      </c>
      <c r="J27" s="2"/>
    </row>
    <row r="28" spans="1:17">
      <c r="A28" s="2" t="s">
        <v>10</v>
      </c>
      <c r="B28" s="1"/>
      <c r="C28" t="e">
        <f>VLOOKUP($B$27,$K$5:$Q$15,2,FALSE)</f>
        <v>#N/A</v>
      </c>
      <c r="D28" t="e">
        <f>VLOOKUP($B$27,$K$5:$Q$15,3,FALSE)</f>
        <v>#N/A</v>
      </c>
      <c r="E28" t="e">
        <f>VLOOKUP($B$27,$K$5:$Q$15,4,FALSE)</f>
        <v>#N/A</v>
      </c>
      <c r="F28" t="e">
        <f>VLOOKUP($B$27,$K$5:$Q$15,5,FALSE)</f>
        <v>#N/A</v>
      </c>
      <c r="G28" t="e">
        <f>VLOOKUP($B$27,$K$5:$Q$15,6,FALSE)</f>
        <v>#N/A</v>
      </c>
      <c r="H28" t="e">
        <f>VLOOKUP($B$27,$K$5:$Q$15,7,FALSE)</f>
        <v>#N/A</v>
      </c>
      <c r="J28" s="2"/>
      <c r="K28" s="1"/>
    </row>
    <row r="29" spans="1:17">
      <c r="A29" s="2" t="s">
        <v>6</v>
      </c>
      <c r="B29" t="e">
        <f ca="1">OFFSET(A27,0,MATCH(goal_2,$B$3:$H$3,FALSE))</f>
        <v>#N/A</v>
      </c>
      <c r="C29" t="e">
        <f ca="1">OFFSET(A27,0,MATCH(goal_2,$B$3:$H$3,FALSE)+1)</f>
        <v>#N/A</v>
      </c>
      <c r="D29" t="e">
        <f ca="1">CONCATENATE(TEXT(ROUND($B$29,2)*100,"0")," - ",TEXT(ROUND($C$29,2),"0%"))</f>
        <v>#N/A</v>
      </c>
    </row>
    <row r="30" spans="1:17">
      <c r="A30" s="2" t="s">
        <v>9</v>
      </c>
      <c r="B30" t="e">
        <f ca="1">OFFSET(A28,0,MATCH(goal_2,$K$3:$Q$3,FALSE))</f>
        <v>#N/A</v>
      </c>
      <c r="C30" t="e">
        <f ca="1">OFFSET(A28,0,MATCH(goal_2,$K$3:$Q$3,FALSE)+1)</f>
        <v>#N/A</v>
      </c>
      <c r="D30" t="e">
        <f ca="1">CONCATENATE(TEXT(ROUND($B$30,2)*100,"0")," - ",TEXT(ROUND($C$30,2),"0%"))</f>
        <v>#N/A</v>
      </c>
    </row>
  </sheetData>
  <sheetProtection algorithmName="SHA-512" hashValue="0LRzCFsC2nmwERv+FVmJ053HYF8WuoGucXhJYhmYQVeDIwDKkBaNRNFESkhXrfTcDs4VJV4648XIDap2LC41Dw==" saltValue="HQ1qh+3PsHSfjogWRjWDig==" spinCount="100000" sheet="1" objects="1" scenarios="1"/>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6" workbookViewId="0">
      <selection activeCell="F25" sqref="F25"/>
    </sheetView>
  </sheetViews>
  <sheetFormatPr defaultColWidth="8.81640625" defaultRowHeight="14.75"/>
  <cols>
    <col min="1" max="1" width="14.81640625" bestFit="1" customWidth="1"/>
    <col min="4" max="4" width="9.6796875" bestFit="1" customWidth="1"/>
  </cols>
  <sheetData>
    <row r="1" spans="2:17">
      <c r="B1" t="s">
        <v>11</v>
      </c>
      <c r="K1" t="s">
        <v>12</v>
      </c>
    </row>
    <row r="3" spans="2:17">
      <c r="B3" s="4" t="s">
        <v>5</v>
      </c>
      <c r="C3" s="4" t="s">
        <v>33</v>
      </c>
      <c r="D3" s="4" t="s">
        <v>19</v>
      </c>
      <c r="E3" s="4" t="s">
        <v>0</v>
      </c>
      <c r="F3" s="4" t="s">
        <v>20</v>
      </c>
      <c r="G3" s="4" t="s">
        <v>34</v>
      </c>
      <c r="H3" s="4"/>
      <c r="K3" s="4" t="s">
        <v>5</v>
      </c>
      <c r="L3" s="4" t="s">
        <v>33</v>
      </c>
      <c r="M3" s="4" t="s">
        <v>19</v>
      </c>
      <c r="N3" s="4" t="s">
        <v>0</v>
      </c>
      <c r="O3" s="4" t="s">
        <v>20</v>
      </c>
      <c r="P3" s="4" t="s">
        <v>34</v>
      </c>
      <c r="Q3" s="4"/>
    </row>
    <row r="4" spans="2:17">
      <c r="B4" s="4">
        <v>0</v>
      </c>
      <c r="C4" s="4"/>
      <c r="D4" s="4"/>
      <c r="E4" s="4"/>
      <c r="F4" s="4"/>
      <c r="G4" s="4"/>
      <c r="H4" s="4"/>
      <c r="K4" s="4">
        <v>0</v>
      </c>
      <c r="L4" s="4"/>
      <c r="M4" s="4"/>
      <c r="N4" s="4"/>
      <c r="O4" s="4"/>
      <c r="P4" s="4"/>
      <c r="Q4" s="4"/>
    </row>
    <row r="5" spans="2:17">
      <c r="B5" s="4">
        <v>0.2</v>
      </c>
      <c r="C5" s="4">
        <v>0</v>
      </c>
      <c r="D5" s="4">
        <v>0.155555555555555</v>
      </c>
      <c r="E5" s="4">
        <v>0.19512195121951201</v>
      </c>
      <c r="F5" s="4">
        <v>0.27500000000000002</v>
      </c>
      <c r="G5" s="4">
        <v>0.33333333333333298</v>
      </c>
      <c r="H5" s="4">
        <v>1</v>
      </c>
      <c r="K5" s="4">
        <v>0.2</v>
      </c>
      <c r="L5" s="4">
        <v>0</v>
      </c>
      <c r="M5" s="4">
        <v>0.125</v>
      </c>
      <c r="N5" s="4">
        <v>0.14754098360655701</v>
      </c>
      <c r="O5" s="4">
        <v>0.155555555555555</v>
      </c>
      <c r="P5" s="4">
        <v>0.35135135135135098</v>
      </c>
      <c r="Q5" s="4">
        <v>1</v>
      </c>
    </row>
    <row r="6" spans="2:17">
      <c r="B6" s="4">
        <v>0.3</v>
      </c>
      <c r="C6" s="4">
        <v>0</v>
      </c>
      <c r="D6" s="38">
        <v>0.25</v>
      </c>
      <c r="E6" s="38">
        <v>0.27777777777777701</v>
      </c>
      <c r="F6" s="38">
        <v>0.35897435897435798</v>
      </c>
      <c r="G6" s="38">
        <v>0.45454545454545398</v>
      </c>
      <c r="H6" s="3">
        <v>1</v>
      </c>
      <c r="I6" s="1"/>
      <c r="K6" s="4">
        <v>0.3</v>
      </c>
      <c r="L6" s="4">
        <v>0</v>
      </c>
      <c r="M6" s="38">
        <v>0.175438596491228</v>
      </c>
      <c r="N6" s="38">
        <v>0.24</v>
      </c>
      <c r="O6" s="38">
        <v>0.33333333333333298</v>
      </c>
      <c r="P6" s="38">
        <v>0.36170212765957399</v>
      </c>
      <c r="Q6" s="3">
        <v>1</v>
      </c>
    </row>
    <row r="7" spans="2:17">
      <c r="B7" s="4">
        <v>0.4</v>
      </c>
      <c r="C7" s="4">
        <v>0</v>
      </c>
      <c r="D7" s="38">
        <v>0.34782608695652101</v>
      </c>
      <c r="E7" s="38">
        <v>0.40425531914893598</v>
      </c>
      <c r="F7" s="38">
        <v>0.45454545454545398</v>
      </c>
      <c r="G7" s="38">
        <v>0.51162790697674398</v>
      </c>
      <c r="H7" s="3">
        <v>1</v>
      </c>
      <c r="I7" s="1"/>
      <c r="K7" s="4">
        <v>0.4</v>
      </c>
      <c r="L7" s="4">
        <v>0</v>
      </c>
      <c r="M7" s="38">
        <v>0.28301886792452802</v>
      </c>
      <c r="N7" s="38">
        <v>0.352238805970149</v>
      </c>
      <c r="O7" s="38">
        <v>0.38709677419354799</v>
      </c>
      <c r="P7" s="38">
        <v>0.43396226415094302</v>
      </c>
      <c r="Q7" s="3">
        <v>1</v>
      </c>
    </row>
    <row r="8" spans="2:17">
      <c r="B8" s="4">
        <v>0.45</v>
      </c>
      <c r="C8" s="4">
        <v>0</v>
      </c>
      <c r="D8" s="38">
        <v>0.39024390243902402</v>
      </c>
      <c r="E8" s="38">
        <v>0.44444444444444398</v>
      </c>
      <c r="F8" s="38">
        <v>0.512820512820512</v>
      </c>
      <c r="G8" s="38">
        <v>0.57777777777777695</v>
      </c>
      <c r="H8" s="3">
        <v>1</v>
      </c>
      <c r="I8" s="1"/>
      <c r="K8" s="4">
        <v>0.45</v>
      </c>
      <c r="L8" s="4">
        <v>0</v>
      </c>
      <c r="M8" s="38">
        <v>0.33333333333333298</v>
      </c>
      <c r="N8" s="38">
        <v>0.38775510204081598</v>
      </c>
      <c r="O8" s="38">
        <v>0.43243243243243201</v>
      </c>
      <c r="P8" s="38">
        <v>0.46875</v>
      </c>
      <c r="Q8" s="3">
        <v>1</v>
      </c>
    </row>
    <row r="9" spans="2:17">
      <c r="B9" s="4">
        <v>0.5</v>
      </c>
      <c r="C9" s="4">
        <v>0</v>
      </c>
      <c r="D9" s="38">
        <v>0.47368421052631499</v>
      </c>
      <c r="E9" s="38">
        <v>0.52941176470588203</v>
      </c>
      <c r="F9" s="38">
        <v>0.57377049180327799</v>
      </c>
      <c r="G9" s="38">
        <v>0.64285714285714202</v>
      </c>
      <c r="H9" s="3">
        <v>1</v>
      </c>
      <c r="I9" s="1"/>
      <c r="K9" s="4">
        <v>0.5</v>
      </c>
      <c r="L9" s="4">
        <v>0</v>
      </c>
      <c r="M9" s="38">
        <v>0.39215686274509798</v>
      </c>
      <c r="N9" s="38">
        <v>0.46666666666666601</v>
      </c>
      <c r="O9" s="38">
        <v>0.50704225352112597</v>
      </c>
      <c r="P9" s="38">
        <v>0.5625</v>
      </c>
      <c r="Q9" s="3">
        <v>1</v>
      </c>
    </row>
    <row r="10" spans="2:17">
      <c r="B10" s="4">
        <v>0.55000000000000004</v>
      </c>
      <c r="C10" s="4">
        <v>0</v>
      </c>
      <c r="D10" s="38">
        <v>0.5</v>
      </c>
      <c r="E10" s="38">
        <v>0.55882352941176405</v>
      </c>
      <c r="F10" s="38">
        <v>0.59615384615384603</v>
      </c>
      <c r="G10" s="38">
        <v>0.65573770491803196</v>
      </c>
      <c r="H10" s="3">
        <v>1</v>
      </c>
      <c r="I10" s="1"/>
      <c r="K10" s="4">
        <v>0.55000000000000004</v>
      </c>
      <c r="L10" s="4">
        <v>0</v>
      </c>
      <c r="M10" s="38">
        <v>0.43548387096774099</v>
      </c>
      <c r="N10" s="38">
        <v>0.49122807017543801</v>
      </c>
      <c r="O10" s="38">
        <v>0.54347826086956497</v>
      </c>
      <c r="P10" s="38">
        <v>0.58333333333333304</v>
      </c>
      <c r="Q10" s="3">
        <v>1</v>
      </c>
    </row>
    <row r="11" spans="2:17">
      <c r="B11" s="4">
        <v>0.6</v>
      </c>
      <c r="C11" s="4">
        <v>0</v>
      </c>
      <c r="D11" s="38">
        <v>0.55932203389830504</v>
      </c>
      <c r="E11" s="38">
        <v>0.61194029850746201</v>
      </c>
      <c r="F11" s="38">
        <v>0.644859813084112</v>
      </c>
      <c r="G11" s="38">
        <v>0.7</v>
      </c>
      <c r="H11" s="3">
        <v>1</v>
      </c>
      <c r="I11" s="1"/>
      <c r="K11" s="4">
        <v>0.6</v>
      </c>
      <c r="L11" s="4">
        <v>0</v>
      </c>
      <c r="M11" s="38">
        <v>0.51111111111111096</v>
      </c>
      <c r="N11" s="38">
        <v>0.54347826086956497</v>
      </c>
      <c r="O11" s="38">
        <v>0.58333333333333304</v>
      </c>
      <c r="P11" s="38">
        <v>0.62686567164179097</v>
      </c>
      <c r="Q11" s="3">
        <v>1</v>
      </c>
    </row>
    <row r="12" spans="2:17">
      <c r="B12" s="4">
        <v>0.7</v>
      </c>
      <c r="C12" s="4">
        <v>0</v>
      </c>
      <c r="D12" s="38">
        <v>0.62589928057553901</v>
      </c>
      <c r="E12" s="38">
        <v>0.67045454545454497</v>
      </c>
      <c r="F12" s="38">
        <v>0.70886075949367</v>
      </c>
      <c r="G12" s="38">
        <v>0.76470588235294101</v>
      </c>
      <c r="H12" s="3">
        <v>1</v>
      </c>
      <c r="I12" s="1"/>
      <c r="K12" s="4">
        <v>0.7</v>
      </c>
      <c r="L12" s="4">
        <v>0</v>
      </c>
      <c r="M12" s="38">
        <v>0.55882352941176405</v>
      </c>
      <c r="N12" s="38">
        <v>0.61290322580645096</v>
      </c>
      <c r="O12" s="38">
        <v>0.65753424657534199</v>
      </c>
      <c r="P12" s="38">
        <v>0.69863013698630105</v>
      </c>
      <c r="Q12" s="3">
        <v>1</v>
      </c>
    </row>
    <row r="13" spans="2:17">
      <c r="B13" s="4">
        <v>0.8</v>
      </c>
      <c r="C13" s="4">
        <v>0</v>
      </c>
      <c r="D13" s="38">
        <v>0.71681415929203496</v>
      </c>
      <c r="E13" s="38">
        <v>0.75961538461538403</v>
      </c>
      <c r="F13" s="38">
        <v>0.80219780219780201</v>
      </c>
      <c r="G13" s="38">
        <v>0.83750000000000002</v>
      </c>
      <c r="H13" s="3">
        <v>1</v>
      </c>
      <c r="I13" s="1"/>
      <c r="K13" s="4">
        <v>0.8</v>
      </c>
      <c r="L13" s="4">
        <v>0</v>
      </c>
      <c r="M13" s="38">
        <v>0.67346938775510201</v>
      </c>
      <c r="N13" s="38">
        <v>0.71578947368420998</v>
      </c>
      <c r="O13" s="38">
        <v>0.74626865671641696</v>
      </c>
      <c r="P13" s="38">
        <v>0.79279279279279202</v>
      </c>
      <c r="Q13" s="3">
        <v>1</v>
      </c>
    </row>
    <row r="14" spans="2:17">
      <c r="B14" s="4">
        <v>0.9</v>
      </c>
      <c r="C14" s="4">
        <v>0</v>
      </c>
      <c r="D14" s="38">
        <v>0.79310344827586199</v>
      </c>
      <c r="E14" s="38">
        <v>0.83582089552238803</v>
      </c>
      <c r="F14" s="38">
        <v>0.86915887850467199</v>
      </c>
      <c r="G14" s="38">
        <v>0.90196078431372495</v>
      </c>
      <c r="H14" s="3">
        <v>1</v>
      </c>
      <c r="I14" s="1"/>
      <c r="K14" s="4">
        <v>0.9</v>
      </c>
      <c r="L14" s="4">
        <v>0</v>
      </c>
      <c r="M14" s="38">
        <v>0.76190476190476097</v>
      </c>
      <c r="N14" s="38">
        <v>0.79069767441860395</v>
      </c>
      <c r="O14" s="38">
        <v>0.83783783783783705</v>
      </c>
      <c r="P14" s="38">
        <v>0.85840707964601703</v>
      </c>
      <c r="Q14" s="3">
        <v>1</v>
      </c>
    </row>
    <row r="15" spans="2:17">
      <c r="B15" s="4">
        <v>1</v>
      </c>
      <c r="C15" s="4">
        <v>0</v>
      </c>
      <c r="D15" s="38">
        <v>0.88157894736842102</v>
      </c>
      <c r="E15" s="38">
        <v>0.90361445783132499</v>
      </c>
      <c r="F15" s="38">
        <v>0.93548387096774099</v>
      </c>
      <c r="G15" s="38">
        <v>0.97499999999999998</v>
      </c>
      <c r="H15" s="3">
        <v>1</v>
      </c>
      <c r="I15" s="1"/>
      <c r="K15" s="4">
        <v>1</v>
      </c>
      <c r="L15" s="4">
        <v>0</v>
      </c>
      <c r="M15" s="38">
        <v>0.84415584415584399</v>
      </c>
      <c r="N15" s="38">
        <v>0.88571428571428501</v>
      </c>
      <c r="O15" s="38">
        <v>0.92473118279569799</v>
      </c>
      <c r="P15" s="38">
        <v>0.94736842105263097</v>
      </c>
      <c r="Q15" s="3">
        <v>1</v>
      </c>
    </row>
    <row r="16" spans="2:17">
      <c r="B16" s="6"/>
      <c r="C16" s="6"/>
      <c r="D16" s="6"/>
      <c r="E16" s="6"/>
      <c r="F16" s="6"/>
      <c r="G16" s="6"/>
      <c r="H16" s="7"/>
      <c r="I16" s="1"/>
      <c r="K16" s="6"/>
      <c r="L16" s="6"/>
      <c r="M16" s="6"/>
      <c r="N16" s="6"/>
      <c r="O16" s="6"/>
      <c r="P16" s="6"/>
      <c r="Q16" s="7"/>
    </row>
    <row r="17" spans="1:17">
      <c r="B17" s="6"/>
      <c r="C17" s="6"/>
      <c r="D17" s="6"/>
      <c r="E17" s="6"/>
      <c r="F17" s="6"/>
      <c r="G17" s="6"/>
      <c r="H17" s="7"/>
      <c r="I17" s="1"/>
      <c r="K17" s="6"/>
      <c r="L17" s="6"/>
      <c r="M17" s="6"/>
      <c r="N17" s="6"/>
      <c r="O17" s="6"/>
      <c r="P17" s="6"/>
      <c r="Q17" s="7"/>
    </row>
    <row r="18" spans="1:17">
      <c r="A18" t="s">
        <v>15</v>
      </c>
      <c r="B18" t="e">
        <f>IF(BOY_3="",NA(),BOY_3)</f>
        <v>#N/A</v>
      </c>
      <c r="C18" t="e">
        <f>IF(OR(B18="",B18&lt;0,B18&gt;1),NA(),IF(B18=1,0.999,B18))</f>
        <v>#N/A</v>
      </c>
      <c r="I18" s="1"/>
      <c r="K18" s="6"/>
      <c r="L18" s="6"/>
      <c r="M18" s="6"/>
      <c r="N18" s="6"/>
      <c r="O18" s="6"/>
      <c r="P18" s="6"/>
      <c r="Q18" s="7"/>
    </row>
    <row r="19" spans="1:17">
      <c r="A19" t="s">
        <v>16</v>
      </c>
      <c r="B19" t="e">
        <f>IF(EOY_3="",NA(),EOY_3)</f>
        <v>#N/A</v>
      </c>
      <c r="C19" t="e">
        <f>IF(OR(B19="",B19&lt;0,B19&gt;1),NA(),IF(B19=1,0.999,B19))</f>
        <v>#N/A</v>
      </c>
      <c r="I19" s="1"/>
      <c r="K19" s="6"/>
      <c r="L19" s="6"/>
      <c r="M19" s="6"/>
      <c r="N19" s="6"/>
      <c r="O19" s="6"/>
      <c r="P19" s="6"/>
      <c r="Q19" s="7"/>
    </row>
    <row r="20" spans="1:17">
      <c r="A20" t="s">
        <v>17</v>
      </c>
      <c r="B20" t="e">
        <f>IF(goal_BOY_3="",NA(),goal_BOY_3)</f>
        <v>#N/A</v>
      </c>
      <c r="C20" t="e">
        <f>IF(OR(B20="",B20&lt;0,B20&gt;1),NA(),IF(B20=10.999,B20))</f>
        <v>#N/A</v>
      </c>
      <c r="I20" s="1"/>
      <c r="K20" s="6"/>
      <c r="L20" s="6"/>
      <c r="M20" s="6"/>
      <c r="N20" s="6"/>
      <c r="O20" s="6"/>
      <c r="P20" s="6"/>
      <c r="Q20" s="7"/>
    </row>
    <row r="22" spans="1:17">
      <c r="A22" s="5" t="s">
        <v>13</v>
      </c>
    </row>
    <row r="23" spans="1:17">
      <c r="A23" s="2" t="s">
        <v>7</v>
      </c>
      <c r="B23" s="1" t="e">
        <f>SUMPRODUCT((B3:B14&lt;=$C$18)*(B4:B15&gt;$C$18),(B4:B15))</f>
        <v>#N/A</v>
      </c>
      <c r="C23" t="e">
        <f>VLOOKUP($B$23,$B$5:$H$15,2,FALSE)</f>
        <v>#N/A</v>
      </c>
      <c r="D23" t="e">
        <f>ROUND(VLOOKUP($B$23,$B$5:$H$15,3,FALSE),2)</f>
        <v>#N/A</v>
      </c>
      <c r="E23" t="e">
        <f>ROUND(VLOOKUP($B$23,$B$5:$H$15,4,FALSE),2)</f>
        <v>#N/A</v>
      </c>
      <c r="F23" t="e">
        <f>ROUND(VLOOKUP($B$23,$B$5:$H$15,5,FALSE),2)</f>
        <v>#N/A</v>
      </c>
      <c r="G23" t="e">
        <f>ROUND(VLOOKUP($B$23,$B$5:$H$15,6,FALSE),2)</f>
        <v>#N/A</v>
      </c>
      <c r="H23" t="e">
        <f>VLOOKUP($B$23,$B$5:$H$15,7,FALSE)</f>
        <v>#N/A</v>
      </c>
      <c r="J23" s="2"/>
    </row>
    <row r="24" spans="1:17">
      <c r="A24" s="2" t="s">
        <v>8</v>
      </c>
      <c r="B24" s="1" t="e">
        <f ca="1">OFFSET(A3,0,SUMPRODUCT((C23:G23&lt;=$C$19)*(D23:H23&gt;$C$19),COLUMN(B23:F23)))</f>
        <v>#N/A</v>
      </c>
      <c r="J24" s="2"/>
      <c r="K24" s="1"/>
    </row>
    <row r="25" spans="1:17">
      <c r="A25" s="2"/>
      <c r="B25" s="1"/>
      <c r="J25" s="2"/>
      <c r="K25" s="1"/>
    </row>
    <row r="26" spans="1:17">
      <c r="A26" s="5" t="s">
        <v>14</v>
      </c>
      <c r="B26" s="1"/>
      <c r="J26" s="2"/>
      <c r="K26" s="1"/>
    </row>
    <row r="27" spans="1:17">
      <c r="A27" s="2" t="s">
        <v>7</v>
      </c>
      <c r="B27" s="1" t="e">
        <f>SUMPRODUCT((B3:B14&lt;=$C$20)*(B4:B15&gt;$C$20),(B4:B15))</f>
        <v>#N/A</v>
      </c>
      <c r="C27" t="e">
        <f>VLOOKUP($B$27,$B$5:$H$15,2,FALSE)</f>
        <v>#N/A</v>
      </c>
      <c r="D27" t="e">
        <f>VLOOKUP($B$27,$B$5:$H$15,3,FALSE)</f>
        <v>#N/A</v>
      </c>
      <c r="E27" t="e">
        <f>VLOOKUP($B$27,$B$5:$H$15,4,FALSE)</f>
        <v>#N/A</v>
      </c>
      <c r="F27" t="e">
        <f>VLOOKUP($B$27,$B$5:$H$15,5,FALSE)</f>
        <v>#N/A</v>
      </c>
      <c r="G27" t="e">
        <f>VLOOKUP($B$27,$B$5:$H$15,6,FALSE)</f>
        <v>#N/A</v>
      </c>
      <c r="H27" t="e">
        <f>VLOOKUP($B$27,$B$5:$H$15,7,FALSE)</f>
        <v>#N/A</v>
      </c>
      <c r="J27" s="2"/>
    </row>
    <row r="28" spans="1:17">
      <c r="A28" s="2" t="s">
        <v>10</v>
      </c>
      <c r="B28" s="1"/>
      <c r="C28" t="e">
        <f>VLOOKUP($B$27,$K$5:$Q$15,2,FALSE)</f>
        <v>#N/A</v>
      </c>
      <c r="D28" t="e">
        <f>VLOOKUP($B$27,$K$5:$Q$15,3,FALSE)</f>
        <v>#N/A</v>
      </c>
      <c r="E28" t="e">
        <f>VLOOKUP($B$27,$K$5:$Q$15,4,FALSE)</f>
        <v>#N/A</v>
      </c>
      <c r="F28" t="e">
        <f>VLOOKUP($B$27,$K$5:$Q$15,5,FALSE)</f>
        <v>#N/A</v>
      </c>
      <c r="G28" t="e">
        <f>VLOOKUP($B$27,$K$5:$Q$15,6,FALSE)</f>
        <v>#N/A</v>
      </c>
      <c r="H28" t="e">
        <f>VLOOKUP($B$27,$K$5:$Q$15,7,FALSE)</f>
        <v>#N/A</v>
      </c>
      <c r="J28" s="2"/>
      <c r="K28" s="1"/>
    </row>
    <row r="29" spans="1:17">
      <c r="A29" s="2" t="s">
        <v>6</v>
      </c>
      <c r="B29" t="e">
        <f ca="1">OFFSET(A27,0,MATCH(goal_3,$B$3:$H$3,FALSE))</f>
        <v>#N/A</v>
      </c>
      <c r="C29" t="e">
        <f ca="1">OFFSET(A27,0,MATCH(goal_3,$B$3:$H$3,FALSE)+1)</f>
        <v>#N/A</v>
      </c>
      <c r="D29" t="e">
        <f ca="1">CONCATENATE(TEXT(ROUND($B$29,2)*100,"0")," - ",TEXT(ROUND($C$29,2),"0%"))</f>
        <v>#N/A</v>
      </c>
    </row>
    <row r="30" spans="1:17">
      <c r="A30" s="2" t="s">
        <v>9</v>
      </c>
      <c r="B30" t="e">
        <f ca="1">OFFSET(A28,0,MATCH(goal_3,$K$3:$Q$3,FALSE))</f>
        <v>#N/A</v>
      </c>
      <c r="C30" t="e">
        <f ca="1">OFFSET(A28,0,MATCH(goal_3,$K$3:$Q$3,FALSE)+1)</f>
        <v>#N/A</v>
      </c>
      <c r="D30" t="e">
        <f ca="1">CONCATENATE(TEXT(ROUND($B$30,2)*100,"0")," - ",TEXT(ROUND($C$30,2),"0%"))</f>
        <v>#N/A</v>
      </c>
    </row>
  </sheetData>
  <sheetProtection algorithmName="SHA-512" hashValue="T2/r+TqOypIrPI0UAtyiHUN3koFMNBorkzdlhj07Gcvt8za429noWoKt3qlnXmov9ObdlKxuMaEOZmzr2LVhqw==" saltValue="Xc8Kn/EN/jaY6zRdr5GHOA==" spinCount="100000" sheet="1" objects="1" scenarios="1"/>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N16" sqref="N16"/>
    </sheetView>
  </sheetViews>
  <sheetFormatPr defaultColWidth="8.81640625" defaultRowHeight="14.75"/>
  <cols>
    <col min="1" max="1" width="14.81640625" bestFit="1" customWidth="1"/>
    <col min="4" max="4" width="9.6796875" bestFit="1" customWidth="1"/>
  </cols>
  <sheetData>
    <row r="1" spans="1:17">
      <c r="B1" t="s">
        <v>11</v>
      </c>
      <c r="K1" t="s">
        <v>12</v>
      </c>
    </row>
    <row r="3" spans="1:17">
      <c r="B3" s="4" t="s">
        <v>5</v>
      </c>
      <c r="C3" s="4" t="s">
        <v>33</v>
      </c>
      <c r="D3" s="4" t="s">
        <v>19</v>
      </c>
      <c r="E3" s="4" t="s">
        <v>0</v>
      </c>
      <c r="F3" s="4" t="s">
        <v>20</v>
      </c>
      <c r="G3" s="4" t="s">
        <v>34</v>
      </c>
      <c r="H3" s="4"/>
      <c r="K3" s="4" t="s">
        <v>5</v>
      </c>
      <c r="L3" s="4" t="s">
        <v>33</v>
      </c>
      <c r="M3" s="4" t="s">
        <v>19</v>
      </c>
      <c r="N3" s="4" t="s">
        <v>0</v>
      </c>
      <c r="O3" s="4" t="s">
        <v>20</v>
      </c>
      <c r="P3" s="4" t="s">
        <v>34</v>
      </c>
      <c r="Q3" s="4"/>
    </row>
    <row r="4" spans="1:17">
      <c r="B4" s="4">
        <v>0</v>
      </c>
      <c r="C4" s="4"/>
      <c r="D4" s="4"/>
      <c r="E4" s="4"/>
      <c r="F4" s="4"/>
      <c r="G4" s="4"/>
      <c r="H4" s="4"/>
      <c r="K4" s="4">
        <v>0</v>
      </c>
      <c r="L4" s="4"/>
      <c r="M4" s="4"/>
      <c r="N4" s="4"/>
      <c r="O4" s="4"/>
      <c r="P4" s="4"/>
      <c r="Q4" s="4"/>
    </row>
    <row r="5" spans="1:17">
      <c r="B5" s="4">
        <v>0.3</v>
      </c>
      <c r="C5" s="4">
        <v>0</v>
      </c>
      <c r="D5" s="38">
        <v>0.22500000000000001</v>
      </c>
      <c r="E5" s="38">
        <v>0.28571428571428498</v>
      </c>
      <c r="F5" s="38">
        <v>0.36923076923076897</v>
      </c>
      <c r="G5" s="38">
        <v>0.44615384615384601</v>
      </c>
      <c r="H5" s="3">
        <v>1</v>
      </c>
      <c r="I5" s="1"/>
      <c r="K5" s="4">
        <v>0.3</v>
      </c>
      <c r="L5" s="4">
        <v>0</v>
      </c>
      <c r="M5" s="38">
        <v>0.2</v>
      </c>
      <c r="N5" s="38">
        <v>0.26190476190476097</v>
      </c>
      <c r="O5" s="38">
        <v>0.31661442006269502</v>
      </c>
      <c r="P5" s="38">
        <v>0.38636363636363602</v>
      </c>
      <c r="Q5" s="3">
        <v>1</v>
      </c>
    </row>
    <row r="6" spans="1:17">
      <c r="B6" s="4">
        <v>0.4</v>
      </c>
      <c r="C6" s="4">
        <v>0</v>
      </c>
      <c r="D6" s="38">
        <v>0.36842105263157798</v>
      </c>
      <c r="E6" s="38">
        <v>0.405797101449275</v>
      </c>
      <c r="F6" s="38">
        <v>0.47727272727272702</v>
      </c>
      <c r="G6" s="38">
        <v>0.50819672131147497</v>
      </c>
      <c r="H6" s="3">
        <v>1</v>
      </c>
      <c r="I6" s="1"/>
      <c r="K6" s="4">
        <v>0.4</v>
      </c>
      <c r="L6" s="4">
        <v>0</v>
      </c>
      <c r="M6" s="38">
        <v>0.32558139534883701</v>
      </c>
      <c r="N6" s="38">
        <v>0.36111111111111099</v>
      </c>
      <c r="O6" s="38">
        <v>0.38709677419354799</v>
      </c>
      <c r="P6" s="38">
        <v>0.43859649122806998</v>
      </c>
      <c r="Q6" s="3">
        <v>1</v>
      </c>
    </row>
    <row r="7" spans="1:17">
      <c r="B7" s="4">
        <v>0.45</v>
      </c>
      <c r="C7" s="4">
        <v>0</v>
      </c>
      <c r="D7" s="38">
        <v>0.40625</v>
      </c>
      <c r="E7" s="38">
        <v>0.50847457627118597</v>
      </c>
      <c r="F7" s="38">
        <v>0.54545454545454497</v>
      </c>
      <c r="G7" s="38">
        <v>0.61616161616161602</v>
      </c>
      <c r="H7" s="3">
        <v>1</v>
      </c>
      <c r="I7" s="1"/>
      <c r="K7" s="4">
        <v>0.45</v>
      </c>
      <c r="L7" s="4">
        <v>0</v>
      </c>
      <c r="M7" s="38">
        <v>0.36</v>
      </c>
      <c r="N7" s="38">
        <v>0.43689320388349501</v>
      </c>
      <c r="O7" s="38">
        <v>0.47692307692307601</v>
      </c>
      <c r="P7" s="38">
        <v>0.51063829787234005</v>
      </c>
      <c r="Q7" s="3">
        <v>1</v>
      </c>
    </row>
    <row r="8" spans="1:17">
      <c r="B8" s="4">
        <v>0.5</v>
      </c>
      <c r="C8" s="4">
        <v>0</v>
      </c>
      <c r="D8" s="38">
        <v>0.512820512820512</v>
      </c>
      <c r="E8" s="38">
        <v>0.54666666666666597</v>
      </c>
      <c r="F8" s="38">
        <v>0.58064516129032195</v>
      </c>
      <c r="G8" s="38">
        <v>0.625</v>
      </c>
      <c r="H8" s="3">
        <v>1</v>
      </c>
      <c r="I8" s="1"/>
      <c r="K8" s="4">
        <v>0.5</v>
      </c>
      <c r="L8" s="4">
        <v>0</v>
      </c>
      <c r="M8" s="38">
        <v>0.44444444444444398</v>
      </c>
      <c r="N8" s="38">
        <v>0.483870967741935</v>
      </c>
      <c r="O8" s="38">
        <v>0.52222222222222203</v>
      </c>
      <c r="P8" s="38">
        <v>0.58974358974358898</v>
      </c>
      <c r="Q8" s="3">
        <v>1</v>
      </c>
    </row>
    <row r="9" spans="1:17">
      <c r="B9" s="4">
        <v>0.55000000000000004</v>
      </c>
      <c r="C9" s="4">
        <v>0</v>
      </c>
      <c r="D9" s="38">
        <v>0.52</v>
      </c>
      <c r="E9" s="38">
        <v>0.56976744186046502</v>
      </c>
      <c r="F9" s="38">
        <v>0.61538461538461497</v>
      </c>
      <c r="G9" s="38">
        <v>0.68235294117647005</v>
      </c>
      <c r="H9" s="3">
        <v>1</v>
      </c>
      <c r="I9" s="1"/>
      <c r="K9" s="4">
        <v>0.55000000000000004</v>
      </c>
      <c r="L9" s="4">
        <v>0</v>
      </c>
      <c r="M9" s="38">
        <v>0.46762589928057502</v>
      </c>
      <c r="N9" s="38">
        <v>0.54081632653061196</v>
      </c>
      <c r="O9" s="38">
        <v>0.589622641509433</v>
      </c>
      <c r="P9" s="38">
        <v>0.625</v>
      </c>
      <c r="Q9" s="3">
        <v>1</v>
      </c>
    </row>
    <row r="10" spans="1:17">
      <c r="B10" s="4">
        <v>0.6</v>
      </c>
      <c r="C10" s="4">
        <v>0</v>
      </c>
      <c r="D10" s="38">
        <v>0.61538461538461497</v>
      </c>
      <c r="E10" s="38">
        <v>0.64</v>
      </c>
      <c r="F10" s="38">
        <v>0.68548387096774099</v>
      </c>
      <c r="G10" s="38">
        <v>0.73750000000000004</v>
      </c>
      <c r="H10" s="3">
        <v>1</v>
      </c>
      <c r="I10" s="1"/>
      <c r="K10" s="4">
        <v>0.6</v>
      </c>
      <c r="L10" s="4">
        <v>0</v>
      </c>
      <c r="M10" s="38">
        <v>0.50632911392405</v>
      </c>
      <c r="N10" s="38">
        <v>0.56097560975609695</v>
      </c>
      <c r="O10" s="38">
        <v>0.6</v>
      </c>
      <c r="P10" s="38">
        <v>0.65853658536585302</v>
      </c>
      <c r="Q10" s="3">
        <v>1</v>
      </c>
    </row>
    <row r="11" spans="1:17">
      <c r="B11" s="4">
        <v>0.7</v>
      </c>
      <c r="C11" s="4">
        <v>0</v>
      </c>
      <c r="D11" s="38">
        <v>0.64615384615384597</v>
      </c>
      <c r="E11" s="38">
        <v>0.69047619047619002</v>
      </c>
      <c r="F11" s="38">
        <v>0.72340425531914798</v>
      </c>
      <c r="G11" s="38">
        <v>0.78048780487804803</v>
      </c>
      <c r="H11" s="3">
        <v>1</v>
      </c>
      <c r="I11" s="1"/>
      <c r="K11" s="4">
        <v>0.7</v>
      </c>
      <c r="L11" s="4">
        <v>0</v>
      </c>
      <c r="M11" s="38">
        <v>0.60674157303370702</v>
      </c>
      <c r="N11" s="38">
        <v>0.64705882352941102</v>
      </c>
      <c r="O11" s="38">
        <v>0.68518518518518501</v>
      </c>
      <c r="P11" s="38">
        <v>0.72499999999999998</v>
      </c>
      <c r="Q11" s="3">
        <v>1</v>
      </c>
    </row>
    <row r="12" spans="1:17">
      <c r="B12" s="4">
        <v>0.8</v>
      </c>
      <c r="C12" s="4">
        <v>0</v>
      </c>
      <c r="D12" s="38">
        <v>0.74193548387096697</v>
      </c>
      <c r="E12" s="38">
        <v>0.77319587628865905</v>
      </c>
      <c r="F12" s="38">
        <v>0.80555555555555503</v>
      </c>
      <c r="G12" s="38">
        <v>0.84615384615384603</v>
      </c>
      <c r="H12" s="3">
        <v>1</v>
      </c>
      <c r="I12" s="1"/>
      <c r="K12" s="4">
        <v>0.8</v>
      </c>
      <c r="L12" s="4">
        <v>0</v>
      </c>
      <c r="M12" s="38">
        <v>0.69318181818181801</v>
      </c>
      <c r="N12" s="38">
        <v>0.74509803921568596</v>
      </c>
      <c r="O12" s="38">
        <v>0.77669902912621303</v>
      </c>
      <c r="P12" s="38">
        <v>0.820359281437125</v>
      </c>
      <c r="Q12" s="3">
        <v>1</v>
      </c>
    </row>
    <row r="13" spans="1:17">
      <c r="B13" s="4">
        <v>1</v>
      </c>
      <c r="C13" s="4">
        <v>0</v>
      </c>
      <c r="D13" s="38">
        <v>0.83950617283950602</v>
      </c>
      <c r="E13" s="38">
        <v>0.86746987951807197</v>
      </c>
      <c r="F13" s="38">
        <v>0.89898989898989801</v>
      </c>
      <c r="G13" s="38">
        <v>0.91666666666666596</v>
      </c>
      <c r="H13" s="3">
        <v>1</v>
      </c>
      <c r="I13" s="1"/>
      <c r="K13" s="4">
        <v>1</v>
      </c>
      <c r="L13" s="4">
        <v>0</v>
      </c>
      <c r="M13" s="38">
        <v>0.79104477611940205</v>
      </c>
      <c r="N13" s="38">
        <v>0.84466019417475702</v>
      </c>
      <c r="O13" s="38">
        <v>0.87878787878787801</v>
      </c>
      <c r="P13" s="38">
        <v>0.890625</v>
      </c>
      <c r="Q13" s="3">
        <v>1</v>
      </c>
    </row>
    <row r="14" spans="1:17">
      <c r="B14" s="6"/>
      <c r="C14" s="6"/>
      <c r="D14" s="6"/>
      <c r="E14" s="6"/>
      <c r="F14" s="6"/>
      <c r="G14" s="6"/>
      <c r="H14" s="7"/>
      <c r="I14" s="1"/>
      <c r="K14" s="6"/>
      <c r="L14" s="6"/>
      <c r="M14" s="6"/>
      <c r="N14" s="6"/>
      <c r="O14" s="6"/>
      <c r="P14" s="6"/>
      <c r="Q14" s="7"/>
    </row>
    <row r="15" spans="1:17">
      <c r="A15" t="s">
        <v>15</v>
      </c>
      <c r="B15" t="e">
        <f>IF(BOY_4="",NA(),BOY_4)</f>
        <v>#N/A</v>
      </c>
      <c r="C15" t="e">
        <f>IF(OR(B15="",B15&lt;0,B15&gt;1),NA(),IF(B15=1,0.999,B15))</f>
        <v>#N/A</v>
      </c>
      <c r="I15" s="1"/>
      <c r="K15" s="6"/>
      <c r="L15" s="6"/>
      <c r="M15" s="6"/>
      <c r="N15" s="6"/>
      <c r="O15" s="6"/>
      <c r="P15" s="6"/>
      <c r="Q15" s="7"/>
    </row>
    <row r="16" spans="1:17">
      <c r="A16" t="s">
        <v>16</v>
      </c>
      <c r="B16" t="e">
        <f>IF(EOY_4="",NA(),EOY_4)</f>
        <v>#N/A</v>
      </c>
      <c r="C16" t="e">
        <f>IF(OR(B16="",B16&lt;0,B16&gt;1),NA(),IF(B16=1,0.999,B16))</f>
        <v>#N/A</v>
      </c>
      <c r="I16" s="1"/>
      <c r="K16" s="6"/>
      <c r="L16" s="6"/>
      <c r="M16" s="6"/>
      <c r="N16" s="6"/>
      <c r="O16" s="6"/>
      <c r="P16" s="6"/>
      <c r="Q16" s="7"/>
    </row>
    <row r="17" spans="1:17">
      <c r="A17" t="s">
        <v>17</v>
      </c>
      <c r="B17" t="e">
        <f>IF(goal_BOY_4="",NA(),goal_BOY_4)</f>
        <v>#N/A</v>
      </c>
      <c r="C17" t="e">
        <f>IF(OR(B17="",B17&lt;0,B17&gt;1),NA(),IF(B17=1,0.999,B17))</f>
        <v>#N/A</v>
      </c>
      <c r="I17" s="1"/>
      <c r="K17" s="6"/>
      <c r="L17" s="6"/>
      <c r="M17" s="6"/>
      <c r="N17" s="6"/>
      <c r="O17" s="6"/>
      <c r="P17" s="6"/>
      <c r="Q17" s="7"/>
    </row>
    <row r="19" spans="1:17">
      <c r="A19" s="5" t="s">
        <v>13</v>
      </c>
    </row>
    <row r="20" spans="1:17">
      <c r="A20" s="2" t="s">
        <v>7</v>
      </c>
      <c r="B20" s="1" t="e">
        <f>SUMPRODUCT((B3:B12&lt;=$C$15)*(B4:B13&gt;$C$15),(B4:B13))</f>
        <v>#N/A</v>
      </c>
      <c r="C20" t="e">
        <f>VLOOKUP($B$20,$B$5:$H$13,2,FALSE)</f>
        <v>#N/A</v>
      </c>
      <c r="D20" t="e">
        <f>ROUND(VLOOKUP($B$20,$B$5:$H$13,3,FALSE),2)</f>
        <v>#N/A</v>
      </c>
      <c r="E20" t="e">
        <f>ROUND(VLOOKUP($B$20,$B$5:$H$13,4,FALSE),2)</f>
        <v>#N/A</v>
      </c>
      <c r="F20" t="e">
        <f>ROUND(VLOOKUP($B$20,$B$5:$H$13,5,FALSE),2)</f>
        <v>#N/A</v>
      </c>
      <c r="G20" t="e">
        <f>ROUND(VLOOKUP($B$20,$B$5:$H$13,6,FALSE),2)</f>
        <v>#N/A</v>
      </c>
      <c r="H20" t="e">
        <f>VLOOKUP($B$20,$B$5:$H$13,7,FALSE)</f>
        <v>#N/A</v>
      </c>
      <c r="J20" s="2"/>
    </row>
    <row r="21" spans="1:17">
      <c r="A21" s="2" t="s">
        <v>8</v>
      </c>
      <c r="B21" s="1" t="e">
        <f ca="1">OFFSET(A3,0,SUMPRODUCT((C20:G20&lt;=$C$16)*(D20:H20&gt;$C$16),COLUMN(B20:F20)))</f>
        <v>#N/A</v>
      </c>
      <c r="J21" s="2"/>
      <c r="K21" s="1"/>
    </row>
    <row r="22" spans="1:17">
      <c r="A22" s="2"/>
      <c r="B22" s="1"/>
      <c r="J22" s="2"/>
      <c r="K22" s="1"/>
    </row>
    <row r="23" spans="1:17">
      <c r="A23" s="5" t="s">
        <v>14</v>
      </c>
      <c r="B23" s="1"/>
      <c r="J23" s="2"/>
      <c r="K23" s="1"/>
    </row>
    <row r="24" spans="1:17">
      <c r="A24" s="2" t="s">
        <v>7</v>
      </c>
      <c r="B24" s="1" t="e">
        <f>SUMPRODUCT((B3:B12&lt;=$C$17)*(B4:B13&gt;$C$17),(B4:B13))</f>
        <v>#N/A</v>
      </c>
      <c r="C24" t="e">
        <f>VLOOKUP($B$24,$B$5:$H$13,2,FALSE)</f>
        <v>#N/A</v>
      </c>
      <c r="D24" t="e">
        <f>VLOOKUP($B$24,$B$5:$H$13,3,FALSE)</f>
        <v>#N/A</v>
      </c>
      <c r="E24" t="e">
        <f>VLOOKUP($B$24,$B$5:$H$13,4,FALSE)</f>
        <v>#N/A</v>
      </c>
      <c r="F24" t="e">
        <f>VLOOKUP($B$24,$B$5:$H$13,5,FALSE)</f>
        <v>#N/A</v>
      </c>
      <c r="G24" t="e">
        <f>VLOOKUP($B$24,$B$5:$H$13,6,FALSE)</f>
        <v>#N/A</v>
      </c>
      <c r="H24" t="e">
        <f>VLOOKUP($B$24,$B$5:$H$13,7,FALSE)</f>
        <v>#N/A</v>
      </c>
      <c r="J24" s="2"/>
    </row>
    <row r="25" spans="1:17">
      <c r="A25" s="2" t="s">
        <v>10</v>
      </c>
      <c r="B25" s="1"/>
      <c r="C25" t="e">
        <f>VLOOKUP($B$24,$K$5:$Q$13,2,FALSE)</f>
        <v>#N/A</v>
      </c>
      <c r="D25" t="e">
        <f>VLOOKUP($B$24,$K$5:$Q$13,3,FALSE)</f>
        <v>#N/A</v>
      </c>
      <c r="E25" t="e">
        <f>VLOOKUP($B$24,$K$5:$Q$13,4,FALSE)</f>
        <v>#N/A</v>
      </c>
      <c r="F25" t="e">
        <f>VLOOKUP($B$24,$K$5:$Q$13,5,FALSE)</f>
        <v>#N/A</v>
      </c>
      <c r="G25" t="e">
        <f>VLOOKUP($B$24,$K$5:$Q$13,6,FALSE)</f>
        <v>#N/A</v>
      </c>
      <c r="H25" t="e">
        <f>VLOOKUP($B$24,$K$5:$Q$13,7,FALSE)</f>
        <v>#N/A</v>
      </c>
      <c r="J25" s="2"/>
      <c r="K25" s="1"/>
    </row>
    <row r="26" spans="1:17">
      <c r="A26" s="2" t="s">
        <v>6</v>
      </c>
      <c r="B26" t="e">
        <f ca="1">OFFSET(A24,0,MATCH(goal_4,$B$3:$H$3,FALSE))</f>
        <v>#N/A</v>
      </c>
      <c r="C26" t="e">
        <f ca="1">OFFSET(A24,0,MATCH(goal_4,$B$3:$H$3,FALSE)+1)</f>
        <v>#N/A</v>
      </c>
      <c r="D26" t="e">
        <f ca="1">CONCATENATE(TEXT(ROUND($B$26,2)*100,"0")," - ",TEXT(ROUND($C$26,2),"0%"))</f>
        <v>#N/A</v>
      </c>
    </row>
    <row r="27" spans="1:17">
      <c r="A27" s="2" t="s">
        <v>9</v>
      </c>
      <c r="B27" t="e">
        <f ca="1">OFFSET(A25,0,MATCH(goal_4,$K$3:$Q$3,FALSE))</f>
        <v>#N/A</v>
      </c>
      <c r="C27" t="e">
        <f ca="1">OFFSET(A25,0,MATCH(goal_4,$K$3:$Q$3,FALSE)+1)</f>
        <v>#N/A</v>
      </c>
      <c r="D27" t="e">
        <f ca="1">CONCATENATE(TEXT(ROUND($B$27,2)*100,"0")," - ",TEXT(ROUND($C$27,2),"0%"))</f>
        <v>#N/A</v>
      </c>
    </row>
  </sheetData>
  <sheetProtection algorithmName="SHA-512" hashValue="N5snFO3ajJBM8dApYwRnc7eE1GfA5ftRDhyJWOiK2iN+wT5UlArH4oE9IiXVR3yw//hpEyLRNnoAdNZTvjP3WA==" saltValue="XZltUNA9ISwReJDJLMvS/w==" spinCount="100000"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Progress Planning Tool</vt:lpstr>
      <vt:lpstr>Progress Ranges</vt:lpstr>
      <vt:lpstr>Data validation</vt:lpstr>
      <vt:lpstr>tabs lookup</vt:lpstr>
      <vt:lpstr>2021_K</vt:lpstr>
      <vt:lpstr>2021_1</vt:lpstr>
      <vt:lpstr>2021_2</vt:lpstr>
      <vt:lpstr>2021_3</vt:lpstr>
      <vt:lpstr>2021_4</vt:lpstr>
      <vt:lpstr>2021_5</vt:lpstr>
      <vt:lpstr>2021_K1</vt:lpstr>
      <vt:lpstr>2021_K2</vt:lpstr>
      <vt:lpstr>2021_K3</vt:lpstr>
      <vt:lpstr>2021_13</vt:lpstr>
      <vt:lpstr>2122_K</vt:lpstr>
      <vt:lpstr>2122_1</vt:lpstr>
      <vt:lpstr>2122_2</vt:lpstr>
      <vt:lpstr>2122_3</vt:lpstr>
      <vt:lpstr>2122_4</vt:lpstr>
      <vt:lpstr>2122_5</vt:lpstr>
      <vt:lpstr>2122_K1</vt:lpstr>
      <vt:lpstr>2122_K2</vt:lpstr>
      <vt:lpstr>2122_K3</vt:lpstr>
      <vt:lpstr>2122_13</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EOY_1</vt:lpstr>
      <vt:lpstr>'Progress Ranges'!EOY_2</vt:lpstr>
      <vt:lpstr>EOY_2</vt:lpstr>
      <vt:lpstr>'Progress Ranges'!EOY_3</vt:lpstr>
      <vt:lpstr>EOY_3</vt:lpstr>
      <vt:lpstr>'Progress Ranges'!EOY_4</vt:lpstr>
      <vt:lpstr>EOY_4</vt:lpstr>
      <vt:lpstr>'Progress Ranges'!EOY_5</vt:lpstr>
      <vt:lpstr>EOY_5</vt:lpstr>
      <vt:lpstr>'Progress Ranges'!EOY_agg</vt:lpstr>
      <vt:lpstr>EOY_agg</vt:lpstr>
      <vt:lpstr>'Progress Ranges'!EOY_K</vt:lpstr>
      <vt:lpstr>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'Progress Planning Tool'!Print_Area</vt:lpstr>
      <vt:lpstr>'Progress Ranges'!Print_Area</vt:lpstr>
    </vt:vector>
  </TitlesOfParts>
  <Company>Wireless Generation,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Baldor</dc:creator>
  <cp:lastModifiedBy>Paul Gazzerro</cp:lastModifiedBy>
  <cp:lastPrinted>2014-09-25T21:17:43Z</cp:lastPrinted>
  <dcterms:created xsi:type="dcterms:W3CDTF">2014-07-16T21:34:26Z</dcterms:created>
  <dcterms:modified xsi:type="dcterms:W3CDTF">2021-09-07T12:02:05Z</dcterms:modified>
</cp:coreProperties>
</file>