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autoCompressPictures="0" defaultThemeVersion="124226"/>
  <mc:AlternateContent xmlns:mc="http://schemas.openxmlformats.org/markup-compatibility/2006">
    <mc:Choice Requires="x15">
      <x15ac:absPath xmlns:x15ac="http://schemas.microsoft.com/office/spreadsheetml/2010/11/ac" url="/Users/jweingast/Desktop/Planning Tools/"/>
    </mc:Choice>
  </mc:AlternateContent>
  <xr:revisionPtr revIDLastSave="0" documentId="13_ncr:1_{3AAB6AEC-F2A8-C449-8594-C71442E27DF7}" xr6:coauthVersionLast="36" xr6:coauthVersionMax="36" xr10:uidLastSave="{00000000-0000-0000-0000-000000000000}"/>
  <bookViews>
    <workbookView xWindow="800" yWindow="460" windowWidth="23140" windowHeight="16640" tabRatio="1000" xr2:uid="{00000000-000D-0000-FFFF-FFFF00000000}"/>
  </bookViews>
  <sheets>
    <sheet name="Progress Planning Tool" sheetId="21" r:id="rId1"/>
    <sheet name="Progress Ranges" sheetId="44" r:id="rId2"/>
    <sheet name="Data validation" sheetId="37" state="hidden" r:id="rId3"/>
    <sheet name="tabs lookup" sheetId="56" state="hidden" r:id="rId4"/>
    <sheet name="1920_K" sheetId="33" state="hidden" r:id="rId5"/>
    <sheet name="1920_1" sheetId="34" state="hidden" r:id="rId6"/>
    <sheet name="1920_2" sheetId="35" state="hidden" r:id="rId7"/>
    <sheet name="1920_3" sheetId="36" state="hidden" r:id="rId8"/>
    <sheet name="1920_4" sheetId="42" state="hidden" r:id="rId9"/>
    <sheet name="1920_5" sheetId="43" state="hidden" r:id="rId10"/>
    <sheet name="1920_K1" sheetId="39" state="hidden" r:id="rId11"/>
    <sheet name="1920_K2" sheetId="38" state="hidden" r:id="rId12"/>
    <sheet name="1920_K3" sheetId="22" state="hidden" r:id="rId13"/>
    <sheet name="1920_13" sheetId="40" state="hidden" r:id="rId14"/>
  </sheets>
  <definedNames>
    <definedName name="BOY_1" localSheetId="1">'Progress Ranges'!$E$18</definedName>
    <definedName name="BOY_1">'Progress Planning Tool'!$D$22</definedName>
    <definedName name="BOY_2" localSheetId="1">'Progress Ranges'!$E$19</definedName>
    <definedName name="BOY_2">'Progress Planning Tool'!$D$23</definedName>
    <definedName name="BOY_3" localSheetId="1">'Progress Ranges'!$E$20</definedName>
    <definedName name="BOY_3">'Progress Planning Tool'!$D$24</definedName>
    <definedName name="BOY_4" localSheetId="1">'Progress Ranges'!$E$21</definedName>
    <definedName name="BOY_4">'Progress Planning Tool'!$D$25</definedName>
    <definedName name="BOY_5" localSheetId="1">'Progress Ranges'!$E$22</definedName>
    <definedName name="BOY_5">'Progress Planning Tool'!$D$26</definedName>
    <definedName name="BOY_6" localSheetId="1">'Progress Ranges'!#REF!</definedName>
    <definedName name="BOY_6">'Progress Planning Tool'!#REF!</definedName>
    <definedName name="BOY_agg" localSheetId="1">'Progress Ranges'!$E$16</definedName>
    <definedName name="BOY_agg">'Progress Planning Tool'!$D$17</definedName>
    <definedName name="BOY_K" localSheetId="1">'Progress Ranges'!$E$17</definedName>
    <definedName name="BOY_K">'Progress Planning Tool'!$D$21</definedName>
    <definedName name="EOY_1" localSheetId="1">'Progress Ranges'!$J$18</definedName>
    <definedName name="EOY_2" localSheetId="1">'Progress Ranges'!$J$19</definedName>
    <definedName name="EOY_3" localSheetId="1">'Progress Ranges'!$J$20</definedName>
    <definedName name="EOY_4" localSheetId="1">'Progress Ranges'!$J$21</definedName>
    <definedName name="EOY_5" localSheetId="1">'Progress Ranges'!$J$22</definedName>
    <definedName name="EOY_6" localSheetId="1">'Progress Ranges'!#REF!</definedName>
    <definedName name="EOY_agg" localSheetId="1">'Progress Ranges'!$J$16</definedName>
    <definedName name="EOY_K" localSheetId="1">'Progress Ranges'!$J$17</definedName>
    <definedName name="goal_1" localSheetId="1">'Progress Ranges'!#REF!</definedName>
    <definedName name="goal_1">'Progress Planning Tool'!$D$38</definedName>
    <definedName name="goal_2" localSheetId="1">'Progress Ranges'!#REF!</definedName>
    <definedName name="goal_2">'Progress Planning Tool'!$D$39</definedName>
    <definedName name="goal_3" localSheetId="1">'Progress Ranges'!#REF!</definedName>
    <definedName name="goal_3">'Progress Planning Tool'!$D$40</definedName>
    <definedName name="goal_4" localSheetId="1">'Progress Ranges'!#REF!</definedName>
    <definedName name="goal_4">'Progress Planning Tool'!$D$41</definedName>
    <definedName name="goal_5" localSheetId="1">'Progress Ranges'!#REF!</definedName>
    <definedName name="goal_5">'Progress Planning Tool'!$D$42</definedName>
    <definedName name="goal_6" localSheetId="1">'Progress Ranges'!#REF!</definedName>
    <definedName name="goal_6">'Progress Planning Tool'!#REF!</definedName>
    <definedName name="goal_agg" localSheetId="1">'Progress Ranges'!#REF!</definedName>
    <definedName name="goal_agg">'Progress Planning Tool'!$D$33</definedName>
    <definedName name="goal_BOY_1" localSheetId="1">'Progress Ranges'!#REF!</definedName>
    <definedName name="goal_BOY_1">'Progress Planning Tool'!$E$38</definedName>
    <definedName name="goal_BOY_2" localSheetId="1">'Progress Ranges'!#REF!</definedName>
    <definedName name="goal_BOY_2">'Progress Planning Tool'!$E$39</definedName>
    <definedName name="goal_BOY_3" localSheetId="1">'Progress Ranges'!#REF!</definedName>
    <definedName name="goal_BOY_3">'Progress Planning Tool'!$E$40</definedName>
    <definedName name="goal_BOY_4" localSheetId="1">'Progress Ranges'!#REF!</definedName>
    <definedName name="goal_BOY_4">'Progress Planning Tool'!$E$41</definedName>
    <definedName name="goal_BOY_5" localSheetId="1">'Progress Ranges'!#REF!</definedName>
    <definedName name="goal_BOY_5">'Progress Planning Tool'!$E$42</definedName>
    <definedName name="goal_BOY_6" localSheetId="1">'Progress Ranges'!#REF!</definedName>
    <definedName name="goal_BOY_6">'Progress Planning Tool'!#REF!</definedName>
    <definedName name="goal_BOY_agg" localSheetId="1">'Progress Ranges'!#REF!</definedName>
    <definedName name="goal_BOY_agg">'Progress Planning Tool'!$E$33</definedName>
    <definedName name="goal_BOY_K" localSheetId="1">'Progress Ranges'!#REF!</definedName>
    <definedName name="goal_BOY_K">'Progress Planning Tool'!$E$37</definedName>
    <definedName name="goal_K" localSheetId="1">'Progress Ranges'!#REF!</definedName>
    <definedName name="goal_K">'Progress Planning Tool'!$D$37</definedName>
    <definedName name="MOY_1">'Progress Planning Tool'!$E$22</definedName>
    <definedName name="MOY_2">'Progress Planning Tool'!$E$23</definedName>
    <definedName name="MOY_3">'Progress Planning Tool'!$E$24</definedName>
    <definedName name="MOY_4">'Progress Planning Tool'!$E$25</definedName>
    <definedName name="MOY_5">'Progress Planning Tool'!$E$26</definedName>
    <definedName name="MOY_agg">'Progress Planning Tool'!$E$17</definedName>
    <definedName name="MOY_K">'Progress Planning Tool'!$E$21</definedName>
    <definedName name="_xlnm.Print_Area" localSheetId="0">'Progress Planning Tool'!$B$1:$H$45</definedName>
    <definedName name="_xlnm.Print_Area" localSheetId="1">'Progress Ranges'!$B$1:$N$36</definedName>
    <definedName name="ranges_tab">VLOOKUP(CONCATENATE('Progress Ranges'!$G$12,'Progress Ranges'!$D$12),'tabs lookup'!$A$1:$B$20,2,FALSE)</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B23" i="40" l="1"/>
  <c r="H22" i="40"/>
  <c r="G22" i="40"/>
  <c r="F22" i="40"/>
  <c r="E22" i="40"/>
  <c r="D22" i="40"/>
  <c r="C22" i="40"/>
  <c r="B22" i="40"/>
  <c r="B18" i="40"/>
  <c r="B23" i="22"/>
  <c r="H22" i="22"/>
  <c r="G22" i="22"/>
  <c r="F22" i="22"/>
  <c r="E22" i="22"/>
  <c r="D22" i="22"/>
  <c r="C22" i="22"/>
  <c r="B22" i="22"/>
  <c r="B18" i="22"/>
  <c r="B23" i="38"/>
  <c r="H22" i="38"/>
  <c r="G22" i="38"/>
  <c r="F22" i="38"/>
  <c r="E22" i="38"/>
  <c r="D22" i="38"/>
  <c r="C22" i="38"/>
  <c r="B22" i="38"/>
  <c r="B18" i="38"/>
  <c r="H22" i="39"/>
  <c r="G22" i="39"/>
  <c r="F22" i="39"/>
  <c r="E22" i="39"/>
  <c r="D22" i="39"/>
  <c r="C22" i="39"/>
  <c r="B22" i="39"/>
  <c r="B18" i="39"/>
  <c r="H22" i="43"/>
  <c r="G22" i="43"/>
  <c r="F22" i="43"/>
  <c r="E22" i="43"/>
  <c r="D22" i="43"/>
  <c r="C22" i="43"/>
  <c r="B23" i="43"/>
  <c r="B22" i="43"/>
  <c r="B18" i="43"/>
  <c r="B23" i="42"/>
  <c r="H22" i="42"/>
  <c r="G22" i="42"/>
  <c r="F22" i="42"/>
  <c r="E22" i="42"/>
  <c r="D22" i="42"/>
  <c r="C22" i="42"/>
  <c r="B22" i="42"/>
  <c r="B18" i="42"/>
  <c r="B23" i="36"/>
  <c r="H22" i="36"/>
  <c r="G22" i="36"/>
  <c r="F22" i="36"/>
  <c r="E22" i="36"/>
  <c r="D22" i="36"/>
  <c r="C22" i="36"/>
  <c r="B22" i="36"/>
  <c r="B18" i="36"/>
  <c r="B18" i="35"/>
  <c r="B23" i="33"/>
  <c r="B18" i="34"/>
  <c r="G33" i="21"/>
  <c r="F33" i="21"/>
  <c r="B18" i="33" l="1"/>
  <c r="F17" i="21"/>
  <c r="B26" i="40" l="1"/>
  <c r="C19" i="40"/>
  <c r="C17" i="40"/>
  <c r="B26" i="22"/>
  <c r="C19" i="22"/>
  <c r="C17" i="22"/>
  <c r="B26" i="38"/>
  <c r="C19" i="38"/>
  <c r="C17" i="38"/>
  <c r="B26" i="39"/>
  <c r="C19" i="39"/>
  <c r="C17" i="39"/>
  <c r="B26" i="43"/>
  <c r="C19" i="43"/>
  <c r="C17" i="43"/>
  <c r="B26" i="42"/>
  <c r="C19" i="42"/>
  <c r="C17" i="42"/>
  <c r="B26" i="36"/>
  <c r="C19" i="36"/>
  <c r="C17" i="36"/>
  <c r="B26" i="35"/>
  <c r="C19" i="35"/>
  <c r="B26" i="34"/>
  <c r="C19" i="34"/>
  <c r="E23" i="44"/>
  <c r="D16" i="44"/>
  <c r="C22" i="44"/>
  <c r="E21" i="44"/>
  <c r="D26" i="44"/>
  <c r="G17" i="44"/>
  <c r="M22" i="44"/>
  <c r="G26" i="44"/>
  <c r="C26" i="44"/>
  <c r="K18" i="44"/>
  <c r="J17" i="44"/>
  <c r="G16" i="44"/>
  <c r="L20" i="44"/>
  <c r="F18" i="44"/>
  <c r="D19" i="44"/>
  <c r="I24" i="44"/>
  <c r="E17" i="44"/>
  <c r="H20" i="44"/>
  <c r="F23" i="44"/>
  <c r="G23" i="44"/>
  <c r="M26" i="44"/>
  <c r="K19" i="44"/>
  <c r="G19" i="44"/>
  <c r="L26" i="44"/>
  <c r="F17" i="44"/>
  <c r="H22" i="44"/>
  <c r="G21" i="44"/>
  <c r="M25" i="44"/>
  <c r="F16" i="44"/>
  <c r="I21" i="44"/>
  <c r="D23" i="44"/>
  <c r="L16" i="44"/>
  <c r="I23" i="44"/>
  <c r="G22" i="44"/>
  <c r="C18" i="44"/>
  <c r="E19" i="44"/>
  <c r="J21" i="44"/>
  <c r="I17" i="44"/>
  <c r="K23" i="44"/>
  <c r="K25" i="44"/>
  <c r="D25" i="44"/>
  <c r="C23" i="44"/>
  <c r="D21" i="44"/>
  <c r="E25" i="44"/>
  <c r="D17" i="44"/>
  <c r="J24" i="44"/>
  <c r="L25" i="44"/>
  <c r="M18" i="44"/>
  <c r="F19" i="44"/>
  <c r="E18" i="44"/>
  <c r="F24" i="44"/>
  <c r="H23" i="44"/>
  <c r="F20" i="44"/>
  <c r="C16" i="44"/>
  <c r="M17" i="44"/>
  <c r="J16" i="44"/>
  <c r="H16" i="44"/>
  <c r="L18" i="44"/>
  <c r="K22" i="44"/>
  <c r="G18" i="44"/>
  <c r="D20" i="44"/>
  <c r="C25" i="44"/>
  <c r="I19" i="44"/>
  <c r="E16" i="44"/>
  <c r="H21" i="44"/>
  <c r="M21" i="44"/>
  <c r="F25" i="44"/>
  <c r="J25" i="44"/>
  <c r="H26" i="44"/>
  <c r="E22" i="44"/>
  <c r="F21" i="44"/>
  <c r="D18" i="44"/>
  <c r="J22" i="44"/>
  <c r="I22" i="44"/>
  <c r="D24" i="44"/>
  <c r="F22" i="44"/>
  <c r="K20" i="44"/>
  <c r="J18" i="44"/>
  <c r="J23" i="44"/>
  <c r="K26" i="44"/>
  <c r="M16" i="44"/>
  <c r="M20" i="44"/>
  <c r="M23" i="44"/>
  <c r="I18" i="44"/>
  <c r="J20" i="44"/>
  <c r="I16" i="44"/>
  <c r="L19" i="44"/>
  <c r="K21" i="44"/>
  <c r="E20" i="44"/>
  <c r="M19" i="44"/>
  <c r="G24" i="44"/>
  <c r="E24" i="44"/>
  <c r="C17" i="44"/>
  <c r="F26" i="44"/>
  <c r="C20" i="44"/>
  <c r="H24" i="44"/>
  <c r="E26" i="44"/>
  <c r="H17" i="44"/>
  <c r="L24" i="44"/>
  <c r="L23" i="44"/>
  <c r="I25" i="44"/>
  <c r="H25" i="44"/>
  <c r="K24" i="44"/>
  <c r="L21" i="44"/>
  <c r="H19" i="44"/>
  <c r="M24" i="44"/>
  <c r="I20" i="44"/>
  <c r="I26" i="44"/>
  <c r="K17" i="44"/>
  <c r="C19" i="44"/>
  <c r="G20" i="44"/>
  <c r="C21" i="44"/>
  <c r="K16" i="44"/>
  <c r="L17" i="44"/>
  <c r="L22" i="44"/>
  <c r="C24" i="44"/>
  <c r="D22" i="44"/>
  <c r="G25" i="44"/>
  <c r="J26" i="44"/>
  <c r="H18" i="44"/>
  <c r="J19" i="44"/>
  <c r="B19" i="43" l="1"/>
  <c r="C18" i="43"/>
  <c r="B17" i="43"/>
  <c r="B19" i="42"/>
  <c r="C18" i="42"/>
  <c r="B17" i="42"/>
  <c r="B19" i="40"/>
  <c r="C18" i="40"/>
  <c r="B17" i="40"/>
  <c r="B19" i="39"/>
  <c r="C18" i="39"/>
  <c r="B17" i="39"/>
  <c r="B19" i="38"/>
  <c r="C18" i="38"/>
  <c r="B17" i="38"/>
  <c r="C27" i="40" l="1"/>
  <c r="G27" i="40"/>
  <c r="F26" i="40"/>
  <c r="D27" i="40"/>
  <c r="H27" i="40"/>
  <c r="E26" i="40"/>
  <c r="E27" i="40"/>
  <c r="H26" i="40"/>
  <c r="D26" i="40"/>
  <c r="F27" i="40"/>
  <c r="G26" i="40"/>
  <c r="C26" i="40"/>
  <c r="B23" i="39"/>
  <c r="C27" i="39"/>
  <c r="G27" i="39"/>
  <c r="G26" i="39"/>
  <c r="D27" i="39"/>
  <c r="H27" i="39"/>
  <c r="F26" i="39"/>
  <c r="E27" i="39"/>
  <c r="C26" i="39"/>
  <c r="E26" i="39"/>
  <c r="F27" i="39"/>
  <c r="H26" i="39"/>
  <c r="D26" i="39"/>
  <c r="F27" i="43"/>
  <c r="H26" i="43"/>
  <c r="D26" i="43"/>
  <c r="E27" i="43"/>
  <c r="G26" i="43"/>
  <c r="C26" i="43"/>
  <c r="H27" i="43"/>
  <c r="D27" i="43"/>
  <c r="F26" i="43"/>
  <c r="G27" i="43"/>
  <c r="C27" i="43"/>
  <c r="E26" i="43"/>
  <c r="H27" i="42"/>
  <c r="D27" i="42"/>
  <c r="F26" i="42"/>
  <c r="G27" i="42"/>
  <c r="C27" i="42"/>
  <c r="E26" i="42"/>
  <c r="F27" i="42"/>
  <c r="H26" i="42"/>
  <c r="D26" i="42"/>
  <c r="E27" i="42"/>
  <c r="G26" i="42"/>
  <c r="C26" i="42"/>
  <c r="F27" i="38"/>
  <c r="H26" i="38"/>
  <c r="D26" i="38"/>
  <c r="H27" i="38"/>
  <c r="D27" i="38"/>
  <c r="F26" i="38"/>
  <c r="G27" i="38"/>
  <c r="C27" i="38"/>
  <c r="E26" i="38"/>
  <c r="E27" i="38"/>
  <c r="G26" i="38"/>
  <c r="C26" i="38"/>
  <c r="C29" i="43" l="1"/>
  <c r="C28" i="43"/>
  <c r="C29" i="42"/>
  <c r="C28" i="42"/>
  <c r="B29" i="43"/>
  <c r="B28" i="43"/>
  <c r="B29" i="42"/>
  <c r="B28" i="42"/>
  <c r="B28" i="38"/>
  <c r="B29" i="39"/>
  <c r="C29" i="38"/>
  <c r="B28" i="39"/>
  <c r="C28" i="39"/>
  <c r="B28" i="40"/>
  <c r="B29" i="40"/>
  <c r="B29" i="38"/>
  <c r="C28" i="38"/>
  <c r="C29" i="39"/>
  <c r="C29" i="40"/>
  <c r="C28" i="40"/>
  <c r="F26" i="21"/>
  <c r="F25" i="21"/>
  <c r="D29" i="39" l="1"/>
  <c r="D29" i="42"/>
  <c r="F41" i="21" s="1"/>
  <c r="D28" i="42"/>
  <c r="G41" i="21" s="1"/>
  <c r="D29" i="43"/>
  <c r="F42" i="21" s="1"/>
  <c r="D28" i="43"/>
  <c r="G42" i="21" s="1"/>
  <c r="D28" i="38"/>
  <c r="D29" i="38"/>
  <c r="D29" i="40"/>
  <c r="D28" i="39"/>
  <c r="D28" i="40"/>
  <c r="B19" i="34"/>
  <c r="C18" i="34"/>
  <c r="B17" i="34"/>
  <c r="C17" i="34" s="1"/>
  <c r="B22" i="34" s="1"/>
  <c r="B19" i="35"/>
  <c r="C18" i="35"/>
  <c r="B17" i="35"/>
  <c r="C17" i="35" s="1"/>
  <c r="B22" i="35" s="1"/>
  <c r="B19" i="36"/>
  <c r="C18" i="36"/>
  <c r="B17" i="36"/>
  <c r="B19" i="33"/>
  <c r="C19" i="33" s="1"/>
  <c r="B26" i="33" s="1"/>
  <c r="C18" i="33"/>
  <c r="B17" i="33"/>
  <c r="B19" i="22"/>
  <c r="C18" i="22"/>
  <c r="B17" i="22"/>
  <c r="E22" i="35" l="1"/>
  <c r="H22" i="35"/>
  <c r="D22" i="35"/>
  <c r="G22" i="35"/>
  <c r="C22" i="35"/>
  <c r="F22" i="35"/>
  <c r="H22" i="34"/>
  <c r="D22" i="34"/>
  <c r="G22" i="34"/>
  <c r="C22" i="34"/>
  <c r="B23" i="34" s="1"/>
  <c r="F22" i="34"/>
  <c r="E22" i="34"/>
  <c r="C17" i="33"/>
  <c r="B22" i="33" s="1"/>
  <c r="H27" i="22"/>
  <c r="D27" i="22"/>
  <c r="F26" i="22"/>
  <c r="G27" i="22"/>
  <c r="C27" i="22"/>
  <c r="E26" i="22"/>
  <c r="F27" i="22"/>
  <c r="H26" i="22"/>
  <c r="D26" i="22"/>
  <c r="E27" i="22"/>
  <c r="G26" i="22"/>
  <c r="C26" i="22"/>
  <c r="E27" i="35"/>
  <c r="H26" i="35"/>
  <c r="G27" i="35"/>
  <c r="G26" i="35"/>
  <c r="D26" i="35"/>
  <c r="C27" i="35"/>
  <c r="F27" i="35"/>
  <c r="F26" i="35"/>
  <c r="C26" i="35"/>
  <c r="E26" i="35"/>
  <c r="D27" i="35"/>
  <c r="H27" i="35"/>
  <c r="G27" i="33"/>
  <c r="H26" i="33"/>
  <c r="C26" i="33"/>
  <c r="F26" i="33"/>
  <c r="F27" i="33"/>
  <c r="G26" i="33"/>
  <c r="H27" i="33"/>
  <c r="C27" i="33"/>
  <c r="D26" i="33"/>
  <c r="D27" i="33"/>
  <c r="E26" i="33"/>
  <c r="E27" i="33"/>
  <c r="F27" i="36"/>
  <c r="G27" i="36"/>
  <c r="H27" i="36"/>
  <c r="E27" i="36"/>
  <c r="H26" i="36"/>
  <c r="C27" i="36"/>
  <c r="C26" i="36"/>
  <c r="F26" i="36"/>
  <c r="G26" i="36"/>
  <c r="D26" i="36"/>
  <c r="E26" i="36"/>
  <c r="D27" i="36"/>
  <c r="G27" i="34"/>
  <c r="H26" i="34"/>
  <c r="C26" i="34"/>
  <c r="F26" i="34"/>
  <c r="F27" i="34"/>
  <c r="G26" i="34"/>
  <c r="H27" i="34"/>
  <c r="C27" i="34"/>
  <c r="D26" i="34"/>
  <c r="D27" i="34"/>
  <c r="E26" i="34"/>
  <c r="E27" i="34"/>
  <c r="B23" i="35" l="1"/>
  <c r="F23" i="21" s="1"/>
  <c r="E22" i="33"/>
  <c r="H22" i="33"/>
  <c r="D22" i="33"/>
  <c r="G22" i="33"/>
  <c r="C22" i="33"/>
  <c r="F22" i="33"/>
  <c r="C29" i="35"/>
  <c r="B28" i="35"/>
  <c r="C29" i="34"/>
  <c r="C28" i="35"/>
  <c r="B29" i="35"/>
  <c r="B28" i="36"/>
  <c r="C28" i="36"/>
  <c r="B28" i="34"/>
  <c r="C29" i="36"/>
  <c r="B29" i="36"/>
  <c r="C28" i="34"/>
  <c r="B29" i="34"/>
  <c r="C29" i="33"/>
  <c r="B28" i="33"/>
  <c r="C28" i="33"/>
  <c r="B29" i="33"/>
  <c r="B28" i="22"/>
  <c r="B29" i="22"/>
  <c r="C28" i="22"/>
  <c r="C29" i="22"/>
  <c r="F22" i="21"/>
  <c r="F24" i="21"/>
  <c r="F21" i="21" l="1"/>
  <c r="D29" i="35"/>
  <c r="F39" i="21" s="1"/>
  <c r="D28" i="35"/>
  <c r="G39" i="21" s="1"/>
  <c r="D29" i="34"/>
  <c r="F38" i="21" s="1"/>
  <c r="D28" i="36"/>
  <c r="G40" i="21" s="1"/>
  <c r="D28" i="34"/>
  <c r="G38" i="21" s="1"/>
  <c r="D29" i="36"/>
  <c r="F40" i="21" s="1"/>
  <c r="D29" i="33"/>
  <c r="F37" i="21" s="1"/>
  <c r="D28" i="33"/>
  <c r="G37" i="21" s="1"/>
  <c r="D28" i="22"/>
  <c r="D29" i="22"/>
</calcChain>
</file>

<file path=xl/sharedStrings.xml><?xml version="1.0" encoding="utf-8"?>
<sst xmlns="http://schemas.openxmlformats.org/spreadsheetml/2006/main" count="389" uniqueCount="97">
  <si>
    <t>Average Progress</t>
  </si>
  <si>
    <t>Level of Progress</t>
  </si>
  <si>
    <t>Overview of Tool:</t>
  </si>
  <si>
    <t>Benefit of Tool:</t>
  </si>
  <si>
    <t>Desired Level of Progress</t>
  </si>
  <si>
    <t>Decile</t>
  </si>
  <si>
    <t>EOY goal range:</t>
  </si>
  <si>
    <t>Deciles EOY:</t>
  </si>
  <si>
    <t>MOY goal range:</t>
  </si>
  <si>
    <t>Deciles MOY:</t>
  </si>
  <si>
    <t>EOY ranges</t>
  </si>
  <si>
    <t>MOY ranges</t>
  </si>
  <si>
    <t>Step 1</t>
  </si>
  <si>
    <t>Step 2</t>
  </si>
  <si>
    <t>Cleaned BOY</t>
  </si>
  <si>
    <t>Cleaned Step 2 BOY</t>
  </si>
  <si>
    <t>Well-below Average Progress</t>
  </si>
  <si>
    <t>Below Average Progress</t>
  </si>
  <si>
    <t>Above Average Progress</t>
  </si>
  <si>
    <t>Grade</t>
  </si>
  <si>
    <t>Grades K-3</t>
  </si>
  <si>
    <t>Kindergarten</t>
  </si>
  <si>
    <t>1st Grade</t>
  </si>
  <si>
    <t>2nd Grade</t>
  </si>
  <si>
    <t>3rd Grade</t>
  </si>
  <si>
    <t>4th Grade</t>
  </si>
  <si>
    <t>5th Grade</t>
  </si>
  <si>
    <t>Grades K-2</t>
  </si>
  <si>
    <t>Grades K-1</t>
  </si>
  <si>
    <t>Grades 1-3</t>
  </si>
  <si>
    <t>Select Grade Range</t>
  </si>
  <si>
    <t>Well Below Average Progress</t>
  </si>
  <si>
    <t>Well Above Average Progress</t>
  </si>
  <si>
    <t>This tool is designed to serve two purposes for schools and their districts:</t>
  </si>
  <si>
    <t>BOY % of students reading       At/Above Benchmark</t>
  </si>
  <si>
    <t>Click to Select</t>
  </si>
  <si>
    <t>Beginning of Year</t>
  </si>
  <si>
    <t>Middle of Year % At/Above Benchmark</t>
  </si>
  <si>
    <t>End of Year % At/Above Benchmark</t>
  </si>
  <si>
    <t>Select School Year</t>
  </si>
  <si>
    <t>1920_K1</t>
  </si>
  <si>
    <t>1920_K2</t>
  </si>
  <si>
    <t>1920_K3</t>
  </si>
  <si>
    <t>1920_13</t>
  </si>
  <si>
    <t>1920_K</t>
  </si>
  <si>
    <t>1920_1</t>
  </si>
  <si>
    <t>1920_2</t>
  </si>
  <si>
    <t>1920_3</t>
  </si>
  <si>
    <t>1920_4</t>
  </si>
  <si>
    <t>1920_5</t>
  </si>
  <si>
    <t>If you have any questions please call Amplify Pedagogical Support at 1 800 823-1969.</t>
  </si>
  <si>
    <t>2020-21 Goal Setting - All Grades</t>
  </si>
  <si>
    <t>Step 2: Set progress goals for 2020-21</t>
  </si>
  <si>
    <t>2020-21 Goal Setting - Individual Grades</t>
  </si>
  <si>
    <t>To set progress goals for 2020-21:</t>
  </si>
  <si>
    <t>2020-21</t>
  </si>
  <si>
    <t>2020-21Grades K-1</t>
  </si>
  <si>
    <t>2020-21Grades K-2</t>
  </si>
  <si>
    <t>2020-21Grades K-3</t>
  </si>
  <si>
    <t>2020-21Grades 1-3</t>
  </si>
  <si>
    <t>2020-211st Grade</t>
  </si>
  <si>
    <t>2020-212nd Grade</t>
  </si>
  <si>
    <t>2020-213rd Grade</t>
  </si>
  <si>
    <t>2020-215th Grade</t>
  </si>
  <si>
    <t>2020-214th Grade</t>
  </si>
  <si>
    <t>2020-21Kindergarten</t>
  </si>
  <si>
    <t>Increasing the percentage of students reading At/Above Benchmark levels</t>
  </si>
  <si>
    <t xml:space="preserve">Amplify Progress Planning Tool for mCLASS®:Acadience™ Reading </t>
  </si>
  <si>
    <r>
      <t xml:space="preserve">Welcome to the Amplify Progress Planning Tool for mCLASS®:Acadience™ Reading.  This tool utilizes data from mCLASS users across the nation to provide schools and districts with a meaningful comparative perspective for their progress during the school year.  Schools that begin the year with a similar percentage of students reading </t>
    </r>
    <r>
      <rPr>
        <u/>
        <sz val="12"/>
        <color rgb="FF00B050"/>
        <rFont val="Calibri (Body)"/>
      </rPr>
      <t>At/Above Benchmark</t>
    </r>
    <r>
      <rPr>
        <sz val="12"/>
        <color rgb="FF000000"/>
        <rFont val="Calibri (Body)_x0000_"/>
      </rPr>
      <t xml:space="preserve"> </t>
    </r>
    <r>
      <rPr>
        <sz val="12"/>
        <color rgb="FF000000"/>
        <rFont val="Calibri"/>
        <family val="2"/>
        <scheme val="minor"/>
      </rPr>
      <t>levels are grouped as a cohort, which is then divided into five groups (quintiles) by ranking the schools based on their students' performance at the end of the year. The progress made by schools in each of these groups has been characterized as Well Above Average, Above Average, Average, Below Average, or Well Below Average.</t>
    </r>
  </si>
  <si>
    <t>BOY % At/Above Benchmark</t>
  </si>
  <si>
    <t>MOY % At/Above Benchmark
Goal Range</t>
  </si>
  <si>
    <t>EOY % At/Above Benchmark
Goal Range</t>
  </si>
  <si>
    <r>
      <t xml:space="preserve">This section of the Amplify Progress Planning Tool allows a user to view the progress ranges directly instead of having a category of progress returned automatically. The chart allows a user to identify a cohort of similarly performing schools based on the percent of students reading </t>
    </r>
    <r>
      <rPr>
        <u/>
        <sz val="12"/>
        <color rgb="FF00B050"/>
        <rFont val="Calibri (Body)_x0000_"/>
      </rPr>
      <t xml:space="preserve">At/Above </t>
    </r>
    <r>
      <rPr>
        <u/>
        <sz val="12"/>
        <color rgb="FF00B050"/>
        <rFont val="Calibri"/>
        <family val="2"/>
        <scheme val="minor"/>
      </rPr>
      <t>Benchmark</t>
    </r>
    <r>
      <rPr>
        <sz val="12"/>
        <color rgb="FF000000"/>
        <rFont val="Calibri"/>
        <family val="2"/>
        <scheme val="minor"/>
      </rPr>
      <t xml:space="preserve"> levels at BOY, and then identify where they rank within that cohort based on their students' performance at the end of the year.</t>
    </r>
  </si>
  <si>
    <r>
      <t xml:space="preserve">1. Select the desired range of grades from the first drop down menu, and "2020-21" from the second drop down menu (click the grey cells below)
2. Find the row in the first column that corresponds to the percent of students scoring </t>
    </r>
    <r>
      <rPr>
        <u/>
        <sz val="12"/>
        <color rgb="FF00B050"/>
        <rFont val="Calibri (Body)"/>
      </rPr>
      <t xml:space="preserve">At/Above </t>
    </r>
    <r>
      <rPr>
        <u/>
        <sz val="12"/>
        <color rgb="FF00B050"/>
        <rFont val="Calibri"/>
        <family val="2"/>
        <scheme val="minor"/>
      </rPr>
      <t>Benchmark</t>
    </r>
    <r>
      <rPr>
        <sz val="12"/>
        <color rgb="FF000000"/>
        <rFont val="Calibri"/>
        <family val="2"/>
        <scheme val="minor"/>
      </rPr>
      <t xml:space="preserve"> at BOY 2020-21; this row identifies your cohort of similarly scoring schools for 2020-21*
3. Choose the column that corresponds to your desired category of progress to set goals for MOY and EOY**</t>
    </r>
  </si>
  <si>
    <r>
      <t xml:space="preserve">2.  To facilitate realistic goal setting for the 2020-21 School Year.  For example, if your school desires to perform better than your peers during this upcoming school year, what percentage of students will need to be scoring </t>
    </r>
    <r>
      <rPr>
        <u/>
        <sz val="12"/>
        <color rgb="FF00B050"/>
        <rFont val="Calibri (Body)"/>
      </rPr>
      <t>At/Above Benchmark</t>
    </r>
    <r>
      <rPr>
        <sz val="12"/>
        <color rgb="FF000000"/>
        <rFont val="Calibri"/>
        <family val="2"/>
        <scheme val="minor"/>
      </rPr>
      <t xml:space="preserve"> levels at the Middle of Year and End of Year administrations?</t>
    </r>
  </si>
  <si>
    <t>1.  To provide context for your school's performance during the 2019-20 School Year (e.g., was the progress that your school made typical/average - or was it below/above average?).</t>
  </si>
  <si>
    <t>Step 1: Evaluate your school's progress for 2019-20</t>
  </si>
  <si>
    <r>
      <t xml:space="preserve">Enter the percentage of students that scored </t>
    </r>
    <r>
      <rPr>
        <u/>
        <sz val="12"/>
        <color rgb="FF00B050"/>
        <rFont val="Calibri (Body)"/>
      </rPr>
      <t>At/Above Benchmark</t>
    </r>
    <r>
      <rPr>
        <sz val="12"/>
        <color rgb="FF000000"/>
        <rFont val="Calibri"/>
        <family val="2"/>
        <scheme val="minor"/>
      </rPr>
      <t xml:space="preserve"> levels for the Beginning of Year (BOY) and Middle of Year (MOY) administrations during the 2019-20 School Year (the grey highlighted cells). The chart will then display the category of progress associated with your school's results.  Please note that the tool permits you to evaluate progress for the entire school (for all assessed grades at once) as well as on a specific grade-by-grade basis that should be especially helpful to teachers when evaluating their results for the year. Refer to the "Progress Ranges" sheet to understand how the progress ranges are constructed.</t>
    </r>
  </si>
  <si>
    <t>2019-20 BOY to MOY Progress - All Grades</t>
  </si>
  <si>
    <t>2019-20 BOY to MOY Progress - Individual Grades</t>
  </si>
  <si>
    <t>MOY % At/Above Benchmark</t>
  </si>
  <si>
    <t>Category MOY:</t>
  </si>
  <si>
    <t>Cleaned MOY</t>
  </si>
  <si>
    <r>
      <t xml:space="preserve">Select the level of progress that your school would like to make in the 2020-21 School Year (Average, Above Average, or Well Above Average).  Then, enter the percentage of students that scored </t>
    </r>
    <r>
      <rPr>
        <u/>
        <sz val="12"/>
        <color rgb="FF00B050"/>
        <rFont val="Calibri (Body)_x0000_"/>
      </rPr>
      <t>At/Above Benchmark</t>
    </r>
    <r>
      <rPr>
        <sz val="12"/>
        <color rgb="FF000000"/>
        <rFont val="Calibri"/>
        <family val="2"/>
        <scheme val="minor"/>
      </rPr>
      <t xml:space="preserve"> during your BOY administration (the grey highlighted cells).  If you have not yet administered BOY for this year, you can enter the data from 19-20 for now, and update your goal once you have the data for the current year. Refer to the "Progress Ranges" sheet to understand how the goal ranges are constructed.</t>
    </r>
  </si>
  <si>
    <t>To evaluate 2019-20 school progress:</t>
  </si>
  <si>
    <r>
      <t xml:space="preserve">1. Select the desired range of grades from the first drop down menu, and "2019-20" from the second drop down menu (click the grey cells below)
2. Find the row in the first column that corresponds to the percent of students scoring </t>
    </r>
    <r>
      <rPr>
        <u/>
        <sz val="12"/>
        <color rgb="FF00B050"/>
        <rFont val="Calibri (Body)_x0000_"/>
      </rPr>
      <t xml:space="preserve">At/Above </t>
    </r>
    <r>
      <rPr>
        <u/>
        <sz val="12"/>
        <color rgb="FF00B050"/>
        <rFont val="Calibri"/>
        <family val="2"/>
        <scheme val="minor"/>
      </rPr>
      <t>Benchmark</t>
    </r>
    <r>
      <rPr>
        <sz val="12"/>
        <color rgb="FF000000"/>
        <rFont val="Calibri"/>
        <family val="2"/>
        <scheme val="minor"/>
      </rPr>
      <t xml:space="preserve"> at BOY 2019-20*
3. Find the column within this row corresponding to the percent of students scoring </t>
    </r>
    <r>
      <rPr>
        <u/>
        <sz val="12"/>
        <color rgb="FF00B050"/>
        <rFont val="Calibri (Body)_x0000_"/>
      </rPr>
      <t xml:space="preserve">At/Above </t>
    </r>
    <r>
      <rPr>
        <u/>
        <sz val="12"/>
        <color rgb="FF00B050"/>
        <rFont val="Calibri"/>
        <family val="2"/>
        <scheme val="minor"/>
      </rPr>
      <t>Benchmark</t>
    </r>
    <r>
      <rPr>
        <sz val="12"/>
        <color rgb="FF000000"/>
        <rFont val="Calibri"/>
        <family val="2"/>
        <scheme val="minor"/>
      </rPr>
      <t xml:space="preserve"> at MOY 2019-20**
4. This column indicates your category of progress in 2019-20. To evaluate what it would have taken to be in other categories of progress, look at the ranges for other columns within your row.</t>
    </r>
  </si>
  <si>
    <t>2019-20Grades K-1</t>
  </si>
  <si>
    <t>2019-20Grades K-2</t>
  </si>
  <si>
    <t>2019-20Grades K-3</t>
  </si>
  <si>
    <t>2019-20Grades 1-3</t>
  </si>
  <si>
    <t>2019-20Kindergarten</t>
  </si>
  <si>
    <t>2019-201st Grade</t>
  </si>
  <si>
    <t>2019-202nd Grade</t>
  </si>
  <si>
    <t>2019-203rd Grade</t>
  </si>
  <si>
    <t>2019-204th Grade</t>
  </si>
  <si>
    <t>2019-205th Grade</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</si>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</sst>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2"/>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b/>
      <sz val="12"/>
      <color rgb="FF000000"/>
      <name val="Calibri"/>
      <family val="2"/>
      <scheme val="minor"/>
    </font>
    <font>
      <b/>
      <sz val="11"/>
      <color theme="1"/>
      <name val="Calibri"/>
      <family val="2"/>
      <scheme val="minor"/>
    </font>
    <font>
      <sz val="10"/>
      <color theme="1"/>
      <name val="Arial Unicode MS"/>
      <family val="2"/>
    </font>
    <font>
      <b/>
      <u/>
      <sz val="11"/>
      <color theme="1"/>
      <name val="Calibri"/>
      <family val="2"/>
      <scheme val="minor"/>
    </font>
    <font>
      <b/>
      <sz val="18"/>
      <color rgb="FF000000"/>
      <name val="Calibri"/>
      <family val="2"/>
      <scheme val="minor"/>
    </font>
    <font>
      <b/>
      <i/>
      <sz val="17"/>
      <color rgb="FF008000"/>
      <name val="Calibri"/>
      <family val="2"/>
      <scheme val="minor"/>
    </font>
    <font>
      <sz val="8"/>
      <name val="Calibri"/>
      <family val="2"/>
      <scheme val="minor"/>
    </font>
    <font>
      <u/>
      <sz val="12"/>
      <color rgb="FF00B050"/>
      <name val="Calibri"/>
      <family val="2"/>
      <scheme val="minor"/>
    </font>
    <font>
      <b/>
      <sz val="12"/>
      <color theme="1"/>
      <name val="Calibri"/>
      <family val="2"/>
      <scheme val="minor"/>
    </font>
    <font>
      <i/>
      <sz val="11"/>
      <color rgb="FF000000"/>
      <name val="Calibri"/>
      <family val="2"/>
      <scheme val="minor"/>
    </font>
    <font>
      <sz val="12"/>
      <color theme="1"/>
      <name val="Calibri"/>
      <family val="2"/>
      <scheme val="minor"/>
    </font>
    <font>
      <sz val="11"/>
      <color rgb="FF000000"/>
      <name val="Calibri"/>
      <family val="2"/>
      <scheme val="minor"/>
    </font>
    <font>
      <u/>
      <sz val="12"/>
      <color rgb="FF00B050"/>
      <name val="Calibri (Body)"/>
    </font>
    <font>
      <sz val="12"/>
      <color rgb="FF000000"/>
      <name val="Calibri (Body)_x0000_"/>
    </font>
    <font>
      <u/>
      <sz val="12"/>
      <color rgb="FF00B050"/>
      <name val="Calibri (Body)_x0000_"/>
    </font>
  </fonts>
  <fills count="9">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rgb="FF008000"/>
        <bgColor rgb="FF000000"/>
      </patternFill>
    </fill>
    <fill>
      <patternFill patternType="solid">
        <fgColor rgb="FF00800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4">
    <xf numFmtId="0" fontId="0" fillId="0" borderId="0" xfId="0"/>
    <xf numFmtId="0" fontId="8" fillId="0" borderId="0" xfId="0" applyFont="1"/>
    <xf numFmtId="0" fontId="7" fillId="0" borderId="0" xfId="0" applyFont="1"/>
    <xf numFmtId="0" fontId="8" fillId="0" borderId="1" xfId="0" applyFont="1" applyBorder="1"/>
    <xf numFmtId="0" fontId="0" fillId="0" borderId="1" xfId="0" applyBorder="1"/>
    <xf numFmtId="0" fontId="9" fillId="0" borderId="0" xfId="0" applyFont="1"/>
    <xf numFmtId="0" fontId="0" fillId="0" borderId="0" xfId="0" applyBorder="1"/>
    <xf numFmtId="0" fontId="8" fillId="0" borderId="0" xfId="0" applyFont="1" applyBorder="1"/>
    <xf numFmtId="0" fontId="0" fillId="5" borderId="0" xfId="0" applyFill="1"/>
    <xf numFmtId="0" fontId="5" fillId="4" borderId="0" xfId="0" applyFont="1" applyFill="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0" xfId="0" applyFont="1" applyFill="1" applyAlignment="1">
      <alignment vertical="center"/>
    </xf>
    <xf numFmtId="0" fontId="5" fillId="6" borderId="1"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3" borderId="1" xfId="0" applyFont="1" applyFill="1" applyBorder="1" applyAlignment="1" applyProtection="1">
      <alignment horizontal="center" vertical="center"/>
      <protection locked="0"/>
    </xf>
    <xf numFmtId="9" fontId="14" fillId="0" borderId="1" xfId="1" applyFont="1" applyBorder="1" applyAlignment="1">
      <alignment horizontal="center" vertical="center" wrapText="1"/>
    </xf>
    <xf numFmtId="0" fontId="5" fillId="2" borderId="0" xfId="0" applyFont="1" applyFill="1"/>
    <xf numFmtId="0" fontId="0" fillId="0" borderId="0" xfId="0" applyAlignment="1">
      <alignment horizontal="center"/>
    </xf>
    <xf numFmtId="0" fontId="0" fillId="5" borderId="0" xfId="0" applyFill="1" applyProtection="1"/>
    <xf numFmtId="0" fontId="11" fillId="2" borderId="0" xfId="0" applyFont="1" applyFill="1" applyAlignment="1" applyProtection="1">
      <alignment horizontal="center" vertical="center"/>
    </xf>
    <xf numFmtId="0" fontId="5" fillId="2" borderId="0" xfId="0" applyFont="1" applyFill="1" applyAlignment="1" applyProtection="1">
      <alignment horizontal="left" vertical="center" wrapText="1"/>
    </xf>
    <xf numFmtId="0" fontId="5" fillId="2" borderId="0" xfId="0" applyFont="1" applyFill="1" applyAlignment="1" applyProtection="1">
      <alignment vertical="center"/>
    </xf>
    <xf numFmtId="9" fontId="7" fillId="3" borderId="0" xfId="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5" fillId="2" borderId="0" xfId="0" applyFont="1" applyFill="1" applyProtection="1"/>
    <xf numFmtId="0" fontId="5" fillId="4" borderId="0" xfId="0" applyFont="1" applyFill="1" applyProtection="1"/>
    <xf numFmtId="0" fontId="6" fillId="2"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49" fontId="0" fillId="0" borderId="0" xfId="0" applyNumberFormat="1"/>
    <xf numFmtId="9" fontId="0" fillId="6" borderId="1" xfId="1" applyNumberFormat="1" applyFont="1" applyFill="1" applyBorder="1" applyAlignment="1" applyProtection="1">
      <alignment horizontal="center" vertical="center"/>
      <protection locked="0"/>
    </xf>
    <xf numFmtId="9" fontId="5" fillId="7" borderId="1" xfId="1" applyNumberFormat="1" applyFont="1" applyFill="1" applyBorder="1" applyAlignment="1" applyProtection="1">
      <alignment horizontal="center" vertical="center"/>
      <protection locked="0"/>
    </xf>
    <xf numFmtId="0" fontId="0" fillId="0" borderId="4" xfId="0" applyBorder="1"/>
    <xf numFmtId="0" fontId="1" fillId="3" borderId="0" xfId="0" applyFont="1" applyFill="1" applyBorder="1" applyAlignment="1" applyProtection="1">
      <alignment horizontal="left" vertical="center"/>
    </xf>
    <xf numFmtId="0" fontId="5" fillId="2" borderId="0" xfId="0" applyFont="1" applyFill="1" applyAlignment="1">
      <alignment horizontal="left" vertical="center" wrapText="1"/>
    </xf>
    <xf numFmtId="0" fontId="6" fillId="2" borderId="1" xfId="0" applyFont="1" applyFill="1" applyBorder="1" applyAlignment="1">
      <alignment horizontal="center" vertical="center"/>
    </xf>
    <xf numFmtId="0" fontId="11" fillId="2" borderId="0" xfId="0" applyFont="1" applyFill="1" applyAlignment="1">
      <alignment horizontal="center" vertical="center"/>
    </xf>
    <xf numFmtId="0" fontId="6" fillId="3" borderId="1" xfId="0" applyFont="1" applyFill="1" applyBorder="1" applyAlignment="1" applyProtection="1">
      <alignment horizontal="center" vertical="center" wrapText="1"/>
    </xf>
    <xf numFmtId="9" fontId="14" fillId="3" borderId="1" xfId="1" applyFont="1" applyFill="1" applyBorder="1" applyAlignment="1">
      <alignment horizontal="center" vertical="center"/>
    </xf>
    <xf numFmtId="10" fontId="14" fillId="3" borderId="1" xfId="1" applyNumberFormat="1" applyFont="1" applyFill="1" applyBorder="1" applyAlignment="1">
      <alignment horizontal="center" vertical="center"/>
    </xf>
    <xf numFmtId="9" fontId="14" fillId="3" borderId="1" xfId="1"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5" fillId="2" borderId="0" xfId="0" applyFont="1" applyFill="1" applyAlignment="1">
      <alignment horizontal="left"/>
    </xf>
    <xf numFmtId="0" fontId="5" fillId="2" borderId="0" xfId="0" applyFont="1" applyFill="1" applyAlignment="1">
      <alignment horizontal="left" vertical="center" wrapText="1"/>
    </xf>
    <xf numFmtId="10" fontId="0" fillId="3" borderId="2" xfId="0" applyNumberFormat="1" applyFill="1" applyBorder="1" applyAlignment="1">
      <alignment horizontal="center" vertical="center"/>
    </xf>
    <xf numFmtId="10" fontId="0" fillId="3" borderId="3" xfId="0" applyNumberFormat="1" applyFill="1" applyBorder="1" applyAlignment="1">
      <alignment horizontal="center" vertical="center"/>
    </xf>
    <xf numFmtId="0" fontId="14" fillId="3"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0" xfId="0" applyFont="1" applyFill="1" applyAlignment="1">
      <alignment horizontal="left"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10" fontId="0" fillId="3" borderId="1" xfId="0" applyNumberFormat="1" applyFill="1" applyBorder="1" applyAlignment="1">
      <alignment horizontal="center" vertical="center"/>
    </xf>
    <xf numFmtId="0" fontId="15" fillId="2" borderId="0" xfId="0" applyFont="1" applyFill="1" applyAlignment="1" applyProtection="1">
      <alignment horizontal="left"/>
    </xf>
    <xf numFmtId="0" fontId="5" fillId="2" borderId="0" xfId="0" applyFont="1" applyFill="1" applyAlignment="1" applyProtection="1">
      <alignment horizontal="left" vertical="center" wrapText="1"/>
    </xf>
    <xf numFmtId="0" fontId="6" fillId="2" borderId="0" xfId="0" applyFont="1" applyFill="1" applyAlignment="1" applyProtection="1">
      <alignment horizontal="left" vertical="center" wrapText="1"/>
    </xf>
    <xf numFmtId="0" fontId="5" fillId="8" borderId="0" xfId="0" applyFont="1" applyFill="1" applyAlignment="1">
      <alignment horizontal="left" vertical="center" wrapText="1"/>
    </xf>
    <xf numFmtId="0" fontId="7" fillId="3" borderId="0"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0" fontId="11" fillId="2" borderId="0" xfId="0" applyFont="1" applyFill="1" applyAlignment="1" applyProtection="1">
      <alignment horizontal="center" vertical="center"/>
    </xf>
  </cellXfs>
  <cellStyles count="4">
    <cellStyle name="Followed Hyperlink" xfId="3" builtinId="9" hidden="1"/>
    <cellStyle name="Hyperlink" xfId="2" builtinId="8" hidden="1"/>
    <cellStyle name="Normal" xfId="0" builtinId="0"/>
    <cellStyle name="Percent" xfId="1" builtinId="5"/>
  </cellStyles>
  <dxfs count="12">
    <dxf>
      <fill>
        <patternFill>
          <bgColor rgb="FFD7AAF8"/>
        </patternFill>
      </fill>
      <border>
        <left style="thin">
          <color auto="1"/>
        </left>
        <right style="thin">
          <color auto="1"/>
        </right>
        <top style="thin">
          <color auto="1"/>
        </top>
        <bottom style="thin">
          <color auto="1"/>
        </bottom>
        <vertical/>
        <horizontal/>
      </border>
    </dxf>
    <dxf>
      <fill>
        <patternFill>
          <bgColor rgb="FF99CCFF"/>
        </patternFill>
      </fill>
      <border>
        <left style="thin">
          <color auto="1"/>
        </left>
        <right style="thin">
          <color auto="1"/>
        </right>
        <top style="thin">
          <color auto="1"/>
        </top>
        <bottom style="thin">
          <color auto="1"/>
        </bottom>
        <vertical/>
        <horizontal/>
      </border>
    </dxf>
    <dxf>
      <fill>
        <patternFill>
          <bgColor rgb="FFFFF2A3"/>
        </patternFill>
      </fill>
      <border>
        <left style="thin">
          <color auto="1"/>
        </left>
        <right style="thin">
          <color auto="1"/>
        </right>
        <top style="thin">
          <color auto="1"/>
        </top>
        <bottom style="thin">
          <color auto="1"/>
        </bottom>
      </border>
    </dxf>
    <dxf>
      <fill>
        <patternFill>
          <bgColor rgb="FFF3B49B"/>
        </patternFill>
      </fill>
      <border>
        <left style="thin">
          <color auto="1"/>
        </left>
        <right style="thin">
          <color auto="1"/>
        </right>
        <top style="thin">
          <color auto="1"/>
        </top>
        <bottom style="thin">
          <color auto="1"/>
        </bottom>
        <vertical/>
        <horizontal/>
      </border>
    </dxf>
    <dxf>
      <fill>
        <patternFill>
          <bgColor rgb="FFBDDE78"/>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rgb="FFF3B49B"/>
        </patternFill>
      </fill>
    </dxf>
    <dxf>
      <fill>
        <patternFill>
          <bgColor rgb="FFFFF2A3"/>
        </patternFill>
      </fill>
    </dxf>
    <dxf>
      <fill>
        <patternFill>
          <bgColor rgb="FFBDDE78"/>
        </patternFill>
      </fill>
    </dxf>
    <dxf>
      <fill>
        <patternFill>
          <bgColor rgb="FF99CCFF"/>
        </patternFill>
      </fill>
    </dxf>
    <dxf>
      <fill>
        <patternFill>
          <bgColor rgb="FFD7AAF8"/>
        </patternFill>
      </fill>
    </dxf>
  </dxfs>
  <tableStyles count="0" defaultTableStyle="TableStyleMedium2" defaultPivotStyle="PivotStyleLight16"/>
  <colors>
    <mruColors>
      <color rgb="FFFFF2A3"/>
      <color rgb="FFD7AAF8"/>
      <color rgb="FFDA97FF"/>
      <color rgb="FF99CCFF"/>
      <color rgb="FFBDDE78"/>
      <color rgb="FFF3B49B"/>
      <color rgb="FFD19FF7"/>
      <color rgb="FFCC94F6"/>
      <color rgb="FFF37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457200</xdr:colOff>
      <xdr:row>28</xdr:row>
      <xdr:rowOff>139700</xdr:rowOff>
    </xdr:from>
    <xdr:to>
      <xdr:col>13</xdr:col>
      <xdr:colOff>292100</xdr:colOff>
      <xdr:row>31</xdr:row>
      <xdr:rowOff>190500</xdr:rowOff>
    </xdr:to>
    <xdr:sp macro="" textlink="">
      <xdr:nvSpPr>
        <xdr:cNvPr id="2" name="TextBox 1">
          <a:extLst>
            <a:ext uri="{FF2B5EF4-FFF2-40B4-BE49-F238E27FC236}">
              <a16:creationId xmlns:a16="http://schemas.microsoft.com/office/drawing/2014/main" id="{0748BD9E-DC7C-6D4F-A4C7-6B2E7F367E87}"/>
            </a:ext>
          </a:extLst>
        </xdr:cNvPr>
        <xdr:cNvSpPr txBox="1"/>
      </xdr:nvSpPr>
      <xdr:spPr>
        <a:xfrm>
          <a:off x="952500" y="8267700"/>
          <a:ext cx="10668000" cy="66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range of students scoring At/Above Benchmark at BOY includes the percentage at the bottom end of the range and excludes the percentage at the high end of the range</a:t>
          </a:r>
        </a:p>
        <a:p>
          <a:r>
            <a:rPr lang="en-US" sz="1100"/>
            <a:t>**The range of students scoring At/Above Benchmark at MOY and EOY for each progress category includes the percentage at the bottom of the range and excludes the percentage at the high end of the range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tabSelected="1" workbookViewId="0"/>
  </sheetViews>
  <sheetFormatPr baseColWidth="10" defaultColWidth="10.83203125" defaultRowHeight="15"/>
  <cols>
    <col min="1" max="2" width="6.5" style="8" customWidth="1"/>
    <col min="3" max="3" width="20.1640625" style="8" bestFit="1" customWidth="1"/>
    <col min="4" max="5" width="29.33203125" style="8" customWidth="1"/>
    <col min="6" max="7" width="18.5" style="8" customWidth="1"/>
    <col min="8" max="8" width="6.5" style="8" customWidth="1"/>
    <col min="9" max="16384" width="10.83203125" style="8"/>
  </cols>
  <sheetData>
    <row r="1" spans="2:8" ht="22.5" customHeight="1">
      <c r="B1" s="52" t="s">
        <v>67</v>
      </c>
      <c r="C1" s="52"/>
      <c r="D1" s="52"/>
      <c r="E1" s="52"/>
      <c r="F1" s="52"/>
      <c r="G1" s="52"/>
      <c r="H1" s="52"/>
    </row>
    <row r="2" spans="2:8" ht="23">
      <c r="B2" s="53" t="s">
        <v>66</v>
      </c>
      <c r="C2" s="53"/>
      <c r="D2" s="53"/>
      <c r="E2" s="53"/>
      <c r="F2" s="53"/>
      <c r="G2" s="53"/>
      <c r="H2" s="53"/>
    </row>
    <row r="3" spans="2:8" ht="15" customHeight="1">
      <c r="B3" s="39"/>
      <c r="C3" s="39"/>
      <c r="D3" s="39"/>
      <c r="E3" s="39"/>
      <c r="F3" s="39"/>
      <c r="G3" s="39"/>
      <c r="H3" s="39"/>
    </row>
    <row r="4" spans="2:8" ht="15" customHeight="1">
      <c r="B4" s="51" t="s">
        <v>2</v>
      </c>
      <c r="C4" s="51"/>
      <c r="D4" s="51"/>
      <c r="E4" s="51"/>
      <c r="F4" s="51"/>
      <c r="G4" s="51"/>
      <c r="H4" s="51"/>
    </row>
    <row r="5" spans="2:8" ht="78.75" customHeight="1">
      <c r="B5" s="46" t="s">
        <v>68</v>
      </c>
      <c r="C5" s="46"/>
      <c r="D5" s="46"/>
      <c r="E5" s="46"/>
      <c r="F5" s="46"/>
      <c r="G5" s="46"/>
      <c r="H5" s="46"/>
    </row>
    <row r="6" spans="2:8" ht="15" customHeight="1">
      <c r="B6" s="37"/>
      <c r="C6" s="37"/>
      <c r="D6" s="37"/>
      <c r="E6" s="37"/>
      <c r="F6" s="37"/>
      <c r="G6" s="37"/>
      <c r="H6" s="37"/>
    </row>
    <row r="7" spans="2:8" ht="15" customHeight="1">
      <c r="B7" s="51" t="s">
        <v>3</v>
      </c>
      <c r="C7" s="51"/>
      <c r="D7" s="51"/>
      <c r="E7" s="51"/>
      <c r="F7" s="51"/>
      <c r="G7" s="51"/>
      <c r="H7" s="51"/>
    </row>
    <row r="8" spans="2:8" ht="18" customHeight="1">
      <c r="B8" s="46" t="s">
        <v>33</v>
      </c>
      <c r="C8" s="46"/>
      <c r="D8" s="46"/>
      <c r="E8" s="46"/>
      <c r="F8" s="46"/>
      <c r="G8" s="46"/>
      <c r="H8" s="46"/>
    </row>
    <row r="9" spans="2:8" ht="34.5" customHeight="1">
      <c r="B9" s="46" t="s">
        <v>75</v>
      </c>
      <c r="C9" s="46"/>
      <c r="D9" s="46"/>
      <c r="E9" s="46"/>
      <c r="F9" s="46"/>
      <c r="G9" s="46"/>
      <c r="H9" s="46"/>
    </row>
    <row r="10" spans="2:8" ht="48" customHeight="1">
      <c r="B10" s="46" t="s">
        <v>74</v>
      </c>
      <c r="C10" s="46"/>
      <c r="D10" s="46"/>
      <c r="E10" s="46"/>
      <c r="F10" s="46"/>
      <c r="G10" s="46"/>
      <c r="H10" s="46"/>
    </row>
    <row r="11" spans="2:8" ht="9.75" customHeight="1">
      <c r="B11" s="12"/>
      <c r="C11" s="12"/>
      <c r="D11" s="12"/>
      <c r="E11" s="12"/>
      <c r="F11" s="12"/>
      <c r="G11" s="12"/>
      <c r="H11" s="12"/>
    </row>
    <row r="12" spans="2:8" ht="15" customHeight="1">
      <c r="B12" s="51" t="s">
        <v>76</v>
      </c>
      <c r="C12" s="51"/>
      <c r="D12" s="51"/>
      <c r="E12" s="51"/>
      <c r="F12" s="51"/>
      <c r="G12" s="51"/>
      <c r="H12" s="51"/>
    </row>
    <row r="13" spans="2:8" ht="80" customHeight="1">
      <c r="B13" s="46" t="s">
        <v>77</v>
      </c>
      <c r="C13" s="46"/>
      <c r="D13" s="46"/>
      <c r="E13" s="46"/>
      <c r="F13" s="46"/>
      <c r="G13" s="46"/>
      <c r="H13" s="46"/>
    </row>
    <row r="14" spans="2:8" ht="16">
      <c r="B14" s="12"/>
      <c r="C14" s="12"/>
      <c r="D14" s="12"/>
      <c r="E14" s="12"/>
      <c r="F14" s="12"/>
      <c r="G14" s="12"/>
      <c r="H14" s="12"/>
    </row>
    <row r="15" spans="2:8" ht="16">
      <c r="B15" s="12"/>
      <c r="C15" s="50" t="s">
        <v>78</v>
      </c>
      <c r="D15" s="50"/>
      <c r="E15" s="50"/>
      <c r="F15" s="50"/>
      <c r="G15" s="50"/>
      <c r="H15" s="12"/>
    </row>
    <row r="16" spans="2:8" ht="16">
      <c r="B16" s="12"/>
      <c r="C16" s="38" t="s">
        <v>30</v>
      </c>
      <c r="D16" s="42" t="s">
        <v>69</v>
      </c>
      <c r="E16" s="41" t="s">
        <v>80</v>
      </c>
      <c r="F16" s="49" t="s">
        <v>1</v>
      </c>
      <c r="G16" s="49"/>
      <c r="H16" s="12"/>
    </row>
    <row r="17" spans="2:8" ht="16">
      <c r="B17" s="12"/>
      <c r="C17" s="13" t="s">
        <v>35</v>
      </c>
      <c r="D17" s="33"/>
      <c r="E17" s="33"/>
      <c r="F17" s="54" t="str">
        <f ca="1">IFERROR(INDIRECT("'"&amp;VLOOKUP(CONCATENATE("2019-20",$C$17),'tabs lookup'!$A$1:$B$20,2,FALSE)&amp;"'!B23"),"")</f>
        <v/>
      </c>
      <c r="G17" s="54"/>
      <c r="H17" s="12"/>
    </row>
    <row r="18" spans="2:8" ht="16">
      <c r="B18" s="12"/>
      <c r="C18" s="12"/>
      <c r="D18" s="12"/>
      <c r="E18" s="12"/>
      <c r="F18" s="12"/>
      <c r="G18" s="12"/>
      <c r="H18" s="12"/>
    </row>
    <row r="19" spans="2:8" ht="16">
      <c r="B19" s="12"/>
      <c r="C19" s="50" t="s">
        <v>79</v>
      </c>
      <c r="D19" s="50"/>
      <c r="E19" s="50"/>
      <c r="F19" s="50"/>
      <c r="G19" s="50"/>
      <c r="H19" s="12"/>
    </row>
    <row r="20" spans="2:8" ht="16">
      <c r="B20" s="12"/>
      <c r="C20" s="38" t="s">
        <v>19</v>
      </c>
      <c r="D20" s="41" t="s">
        <v>69</v>
      </c>
      <c r="E20" s="41" t="s">
        <v>80</v>
      </c>
      <c r="F20" s="49" t="s">
        <v>1</v>
      </c>
      <c r="G20" s="49"/>
      <c r="H20" s="12"/>
    </row>
    <row r="21" spans="2:8" ht="16">
      <c r="B21" s="12"/>
      <c r="C21" s="14" t="s">
        <v>21</v>
      </c>
      <c r="D21" s="33"/>
      <c r="E21" s="33"/>
      <c r="F21" s="47" t="str">
        <f ca="1">IFERROR('1920_K'!$B$23,"")</f>
        <v/>
      </c>
      <c r="G21" s="48"/>
      <c r="H21" s="12"/>
    </row>
    <row r="22" spans="2:8" ht="16">
      <c r="B22" s="12"/>
      <c r="C22" s="14" t="s">
        <v>22</v>
      </c>
      <c r="D22" s="33"/>
      <c r="E22" s="33"/>
      <c r="F22" s="47" t="str">
        <f ca="1">IFERROR('1920_1'!$B$23,"")</f>
        <v/>
      </c>
      <c r="G22" s="48"/>
      <c r="H22" s="12"/>
    </row>
    <row r="23" spans="2:8" ht="16">
      <c r="B23" s="12"/>
      <c r="C23" s="14" t="s">
        <v>23</v>
      </c>
      <c r="D23" s="33"/>
      <c r="E23" s="33"/>
      <c r="F23" s="47" t="str">
        <f ca="1">IFERROR('1920_2'!$B$23,"")</f>
        <v/>
      </c>
      <c r="G23" s="48"/>
      <c r="H23" s="12"/>
    </row>
    <row r="24" spans="2:8" ht="16">
      <c r="B24" s="12"/>
      <c r="C24" s="14" t="s">
        <v>24</v>
      </c>
      <c r="D24" s="33"/>
      <c r="E24" s="33"/>
      <c r="F24" s="47" t="str">
        <f ca="1">IFERROR('1920_3'!$B$23,"")</f>
        <v/>
      </c>
      <c r="G24" s="48"/>
      <c r="H24" s="12"/>
    </row>
    <row r="25" spans="2:8" ht="16">
      <c r="B25" s="12"/>
      <c r="C25" s="14" t="s">
        <v>25</v>
      </c>
      <c r="D25" s="33"/>
      <c r="E25" s="33"/>
      <c r="F25" s="47" t="str">
        <f ca="1">IFERROR('1920_4'!$B$23,"")</f>
        <v/>
      </c>
      <c r="G25" s="48"/>
      <c r="H25" s="12"/>
    </row>
    <row r="26" spans="2:8" ht="16">
      <c r="B26" s="12"/>
      <c r="C26" s="14" t="s">
        <v>26</v>
      </c>
      <c r="D26" s="33"/>
      <c r="E26" s="33"/>
      <c r="F26" s="47" t="str">
        <f ca="1">IFERROR('1920_5'!$B$23,"")</f>
        <v/>
      </c>
      <c r="G26" s="48"/>
      <c r="H26" s="12"/>
    </row>
    <row r="27" spans="2:8" ht="16">
      <c r="B27" s="12"/>
      <c r="C27" s="12"/>
      <c r="D27" s="12"/>
      <c r="E27" s="12"/>
      <c r="F27" s="12"/>
      <c r="G27" s="12"/>
      <c r="H27" s="12"/>
    </row>
    <row r="28" spans="2:8" ht="15" customHeight="1">
      <c r="B28" s="51" t="s">
        <v>52</v>
      </c>
      <c r="C28" s="51"/>
      <c r="D28" s="51"/>
      <c r="E28" s="51"/>
      <c r="F28" s="51"/>
      <c r="G28" s="51"/>
      <c r="H28" s="51"/>
    </row>
    <row r="29" spans="2:8" ht="65.25" customHeight="1">
      <c r="B29" s="46" t="s">
        <v>83</v>
      </c>
      <c r="C29" s="46"/>
      <c r="D29" s="46"/>
      <c r="E29" s="46"/>
      <c r="F29" s="46"/>
      <c r="G29" s="46"/>
      <c r="H29" s="46"/>
    </row>
    <row r="30" spans="2:8" ht="16">
      <c r="B30" s="12"/>
      <c r="C30" s="12"/>
      <c r="D30" s="12"/>
      <c r="E30" s="12"/>
      <c r="F30" s="12"/>
      <c r="G30" s="12"/>
      <c r="H30" s="12"/>
    </row>
    <row r="31" spans="2:8" ht="16">
      <c r="B31" s="12"/>
      <c r="C31" s="50" t="s">
        <v>51</v>
      </c>
      <c r="D31" s="50"/>
      <c r="E31" s="50"/>
      <c r="F31" s="50"/>
      <c r="G31" s="50"/>
      <c r="H31" s="12"/>
    </row>
    <row r="32" spans="2:8" ht="51">
      <c r="B32" s="12"/>
      <c r="C32" s="10" t="s">
        <v>30</v>
      </c>
      <c r="D32" s="10" t="s">
        <v>4</v>
      </c>
      <c r="E32" s="16" t="s">
        <v>34</v>
      </c>
      <c r="F32" s="11" t="s">
        <v>70</v>
      </c>
      <c r="G32" s="11" t="s">
        <v>71</v>
      </c>
      <c r="H32" s="12"/>
    </row>
    <row r="33" spans="2:8" ht="16">
      <c r="B33" s="12"/>
      <c r="C33" s="13" t="s">
        <v>35</v>
      </c>
      <c r="D33" s="15" t="s">
        <v>35</v>
      </c>
      <c r="E33" s="34"/>
      <c r="F33" s="14" t="str">
        <f ca="1">IFERROR(INDIRECT("'"&amp;VLOOKUP(CONCATENATE("2020-21",$C$33),'tabs lookup'!$A$1:$B$20,2,FALSE)&amp;"'!D29"),"")</f>
        <v/>
      </c>
      <c r="G33" s="14" t="str">
        <f ca="1">IFERROR(INDIRECT("'"&amp;VLOOKUP(CONCATENATE("2020-21",$C$33),'tabs lookup'!$A$1:$B$20,2,FALSE)&amp;"'!D28"),"")</f>
        <v/>
      </c>
      <c r="H33" s="12"/>
    </row>
    <row r="34" spans="2:8" ht="16">
      <c r="B34" s="12"/>
      <c r="C34" s="12"/>
      <c r="D34" s="12"/>
      <c r="E34" s="12"/>
      <c r="F34" s="12"/>
      <c r="G34" s="12"/>
      <c r="H34" s="12"/>
    </row>
    <row r="35" spans="2:8" ht="16">
      <c r="B35" s="12"/>
      <c r="C35" s="50" t="s">
        <v>53</v>
      </c>
      <c r="D35" s="50"/>
      <c r="E35" s="50"/>
      <c r="F35" s="50"/>
      <c r="G35" s="50"/>
      <c r="H35" s="12"/>
    </row>
    <row r="36" spans="2:8" ht="51">
      <c r="B36" s="12"/>
      <c r="C36" s="10" t="s">
        <v>19</v>
      </c>
      <c r="D36" s="10" t="s">
        <v>4</v>
      </c>
      <c r="E36" s="16" t="s">
        <v>34</v>
      </c>
      <c r="F36" s="11" t="s">
        <v>70</v>
      </c>
      <c r="G36" s="11" t="s">
        <v>71</v>
      </c>
      <c r="H36" s="12"/>
    </row>
    <row r="37" spans="2:8" ht="16">
      <c r="B37" s="12"/>
      <c r="C37" s="14" t="s">
        <v>21</v>
      </c>
      <c r="D37" s="15" t="s">
        <v>35</v>
      </c>
      <c r="E37" s="34"/>
      <c r="F37" s="14" t="str">
        <f ca="1">IFERROR('1920_K'!$D$29,"")</f>
        <v/>
      </c>
      <c r="G37" s="14" t="str">
        <f ca="1">IFERROR('1920_K'!$D$28,"")</f>
        <v/>
      </c>
      <c r="H37" s="12"/>
    </row>
    <row r="38" spans="2:8" ht="16">
      <c r="B38" s="12"/>
      <c r="C38" s="14" t="s">
        <v>22</v>
      </c>
      <c r="D38" s="15" t="s">
        <v>35</v>
      </c>
      <c r="E38" s="34"/>
      <c r="F38" s="14" t="str">
        <f ca="1">IFERROR('1920_1'!$D$29,"")</f>
        <v/>
      </c>
      <c r="G38" s="14" t="str">
        <f ca="1">IFERROR('1920_1'!$D$28,"")</f>
        <v/>
      </c>
      <c r="H38" s="12"/>
    </row>
    <row r="39" spans="2:8" ht="16">
      <c r="B39" s="12"/>
      <c r="C39" s="14" t="s">
        <v>23</v>
      </c>
      <c r="D39" s="15" t="s">
        <v>35</v>
      </c>
      <c r="E39" s="34"/>
      <c r="F39" s="14" t="str">
        <f ca="1">IFERROR('1920_2'!$D$29,"")</f>
        <v/>
      </c>
      <c r="G39" s="14" t="str">
        <f ca="1">IFERROR('1920_2'!$D$28,"")</f>
        <v/>
      </c>
      <c r="H39" s="12"/>
    </row>
    <row r="40" spans="2:8" ht="16">
      <c r="B40" s="12"/>
      <c r="C40" s="14" t="s">
        <v>24</v>
      </c>
      <c r="D40" s="15" t="s">
        <v>35</v>
      </c>
      <c r="E40" s="34"/>
      <c r="F40" s="14" t="str">
        <f ca="1">IFERROR('1920_3'!$D$29,"")</f>
        <v/>
      </c>
      <c r="G40" s="14" t="str">
        <f ca="1">IFERROR('1920_3'!$D$28,"")</f>
        <v/>
      </c>
      <c r="H40" s="12"/>
    </row>
    <row r="41" spans="2:8" ht="16">
      <c r="B41" s="12"/>
      <c r="C41" s="14" t="s">
        <v>25</v>
      </c>
      <c r="D41" s="15" t="s">
        <v>35</v>
      </c>
      <c r="E41" s="33"/>
      <c r="F41" s="14" t="str">
        <f ca="1">IFERROR('1920_4'!$D$29,"")</f>
        <v/>
      </c>
      <c r="G41" s="14" t="str">
        <f ca="1">IFERROR('1920_4'!$D$28,"")</f>
        <v/>
      </c>
      <c r="H41" s="12"/>
    </row>
    <row r="42" spans="2:8" ht="16">
      <c r="B42" s="12"/>
      <c r="C42" s="14" t="s">
        <v>26</v>
      </c>
      <c r="D42" s="15" t="s">
        <v>35</v>
      </c>
      <c r="E42" s="33"/>
      <c r="F42" s="14" t="str">
        <f ca="1">IFERROR('1920_5'!$D$29,"")</f>
        <v/>
      </c>
      <c r="G42" s="14" t="str">
        <f ca="1">IFERROR('1920_5'!$D$28,"")</f>
        <v/>
      </c>
      <c r="H42" s="12"/>
    </row>
    <row r="43" spans="2:8" ht="16">
      <c r="B43" s="12"/>
      <c r="C43" s="12"/>
      <c r="D43" s="12"/>
      <c r="E43" s="12"/>
      <c r="F43" s="12"/>
      <c r="G43" s="12"/>
      <c r="H43" s="12"/>
    </row>
    <row r="44" spans="2:8" ht="16">
      <c r="B44" s="17"/>
      <c r="C44" s="45" t="s">
        <v>50</v>
      </c>
      <c r="D44" s="45"/>
      <c r="E44" s="45"/>
      <c r="F44" s="45"/>
      <c r="G44" s="45"/>
      <c r="H44" s="17"/>
    </row>
    <row r="45" spans="2:8" ht="16">
      <c r="B45" s="17"/>
      <c r="C45" s="17"/>
      <c r="D45" s="17"/>
      <c r="E45" s="17"/>
      <c r="F45" s="17"/>
      <c r="G45" s="17"/>
      <c r="H45" s="17"/>
    </row>
    <row r="46" spans="2:8" ht="16">
      <c r="B46" s="9"/>
      <c r="C46" s="9"/>
      <c r="D46" s="9"/>
      <c r="E46" s="9"/>
      <c r="F46" s="9"/>
      <c r="G46" s="9"/>
      <c r="H46" s="9"/>
    </row>
    <row r="47" spans="2:8" ht="16">
      <c r="B47" s="9"/>
      <c r="C47" s="9"/>
      <c r="D47" s="9"/>
      <c r="E47" s="9"/>
      <c r="F47" s="9"/>
      <c r="G47" s="9"/>
      <c r="H47" s="9"/>
    </row>
  </sheetData>
  <sheetProtection algorithmName="SHA-512" hashValue="uZ2o46XEUKW0EQC5uRMS0ArADrzXQDS3cZJIRlw1MqlVkhbHQcaDC3IE0ddBkQaNsuDvhAsLbdy5Y/OsmEiHew==" saltValue="vVbjHbJ9fAHjoqNS03HC4g==" spinCount="100000" sheet="1" objects="1" scenarios="1"/>
  <protectedRanges>
    <protectedRange sqref="D17:E18 D21:E25 D37:E41 D42 D33:E34" name="Range1"/>
  </protectedRanges>
  <mergeCells count="26">
    <mergeCell ref="B9:H9"/>
    <mergeCell ref="F16:G16"/>
    <mergeCell ref="F17:G17"/>
    <mergeCell ref="B29:H29"/>
    <mergeCell ref="B10:H10"/>
    <mergeCell ref="B12:H12"/>
    <mergeCell ref="B1:H1"/>
    <mergeCell ref="B4:H4"/>
    <mergeCell ref="B5:H5"/>
    <mergeCell ref="B7:H7"/>
    <mergeCell ref="B8:H8"/>
    <mergeCell ref="B2:H2"/>
    <mergeCell ref="C44:G44"/>
    <mergeCell ref="B13:H13"/>
    <mergeCell ref="F25:G25"/>
    <mergeCell ref="F26:G26"/>
    <mergeCell ref="F20:G20"/>
    <mergeCell ref="C19:G19"/>
    <mergeCell ref="F22:G22"/>
    <mergeCell ref="F21:G21"/>
    <mergeCell ref="F24:G24"/>
    <mergeCell ref="F23:G23"/>
    <mergeCell ref="B28:H28"/>
    <mergeCell ref="C15:G15"/>
    <mergeCell ref="C31:G31"/>
    <mergeCell ref="C35:G35"/>
  </mergeCells>
  <phoneticPr fontId="12" type="noConversion"/>
  <conditionalFormatting sqref="D33 F17:G17 D37:D42 F21:G26">
    <cfRule type="expression" dxfId="11" priority="32">
      <formula>D17="Well Above Average Progress"</formula>
    </cfRule>
    <cfRule type="expression" dxfId="10" priority="33">
      <formula>D17="Above Average Progress"</formula>
    </cfRule>
    <cfRule type="expression" dxfId="9" priority="34">
      <formula>D17="Average progress"</formula>
    </cfRule>
    <cfRule type="expression" dxfId="8" priority="35">
      <formula>D17="Below average progress"</formula>
    </cfRule>
    <cfRule type="expression" dxfId="7" priority="36">
      <formula>D17="Well Below Average Progress"</formula>
    </cfRule>
  </conditionalFormatting>
  <conditionalFormatting sqref="D33 D37:D42">
    <cfRule type="expression" dxfId="6" priority="1">
      <formula>D33="Click to Select"</formula>
    </cfRule>
  </conditionalFormatting>
  <printOptions horizontalCentered="1" verticalCentered="1"/>
  <pageMargins left="0.5" right="0.5" top="0.75" bottom="0.75" header="0.3" footer="0.3"/>
  <pageSetup scale="6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validation'!$B$1:$B$4</xm:f>
          </x14:formula1>
          <xm:sqref>D33 D37:D42</xm:sqref>
        </x14:dataValidation>
        <x14:dataValidation type="list" allowBlank="1" showInputMessage="1" showErrorMessage="1" xr:uid="{00000000-0002-0000-0000-000001000000}">
          <x14:formula1>
            <xm:f>'Data validation'!$A$1:$A$5</xm:f>
          </x14:formula1>
          <xm:sqref>C17 C33</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29"/>
  <sheetViews>
    <sheetView workbookViewId="0">
      <selection activeCell="A19" sqref="A19"/>
    </sheetView>
  </sheetViews>
  <sheetFormatPr baseColWidth="10" defaultColWidth="8.83203125" defaultRowHeight="15"/>
  <cols>
    <col min="1" max="1" width="14.83203125" bestFit="1" customWidth="1"/>
    <col min="4" max="4" width="9.6640625" bestFit="1" customWidth="1"/>
  </cols>
  <sheetData>
    <row r="1" spans="2:17">
      <c r="B1" t="s">
        <v>10</v>
      </c>
      <c r="K1" t="s">
        <v>11</v>
      </c>
    </row>
    <row r="3" spans="2:17">
      <c r="B3" s="4" t="s">
        <v>5</v>
      </c>
      <c r="C3" s="4" t="s">
        <v>31</v>
      </c>
      <c r="D3" s="4" t="s">
        <v>17</v>
      </c>
      <c r="E3" s="4" t="s">
        <v>0</v>
      </c>
      <c r="F3" s="4" t="s">
        <v>18</v>
      </c>
      <c r="G3" s="4" t="s">
        <v>32</v>
      </c>
      <c r="H3" s="4"/>
      <c r="K3" s="4" t="s">
        <v>5</v>
      </c>
      <c r="L3" s="4" t="s">
        <v>31</v>
      </c>
      <c r="M3" s="4" t="s">
        <v>17</v>
      </c>
      <c r="N3" s="4" t="s">
        <v>0</v>
      </c>
      <c r="O3" s="4" t="s">
        <v>18</v>
      </c>
      <c r="P3" s="4" t="s">
        <v>32</v>
      </c>
      <c r="Q3" s="4"/>
    </row>
    <row r="4" spans="2:17">
      <c r="B4" s="4">
        <v>0</v>
      </c>
      <c r="C4" s="4"/>
      <c r="D4" s="4"/>
      <c r="E4" s="4"/>
      <c r="F4" s="4"/>
      <c r="G4" s="4"/>
      <c r="H4" s="4"/>
      <c r="K4" s="4">
        <v>0</v>
      </c>
      <c r="L4" s="4"/>
      <c r="M4" s="4"/>
      <c r="N4" s="4"/>
      <c r="O4" s="4"/>
      <c r="P4" s="4"/>
      <c r="Q4" s="4"/>
    </row>
    <row r="5" spans="2:17" ht="16">
      <c r="B5" s="4">
        <v>0.2</v>
      </c>
      <c r="C5" s="4">
        <v>0</v>
      </c>
      <c r="D5" s="4">
        <v>0.16</v>
      </c>
      <c r="E5" s="4">
        <v>0.20634920600000001</v>
      </c>
      <c r="F5" s="4">
        <v>0.29032258100000002</v>
      </c>
      <c r="G5" s="4">
        <v>0.33333333300000001</v>
      </c>
      <c r="H5" s="3">
        <v>1</v>
      </c>
      <c r="I5" s="1"/>
      <c r="K5" s="4">
        <v>0.2</v>
      </c>
      <c r="L5" s="4">
        <v>0</v>
      </c>
      <c r="M5" s="4">
        <v>0.147058824</v>
      </c>
      <c r="N5" s="4">
        <v>0.18918918900000001</v>
      </c>
      <c r="O5" s="4">
        <v>0.23863636399999999</v>
      </c>
      <c r="P5" s="4">
        <v>0.30555555600000001</v>
      </c>
      <c r="Q5" s="3">
        <v>1</v>
      </c>
    </row>
    <row r="6" spans="2:17" ht="16">
      <c r="B6" s="4">
        <v>0.3</v>
      </c>
      <c r="C6" s="4">
        <v>0</v>
      </c>
      <c r="D6" s="4">
        <v>0.30232558100000001</v>
      </c>
      <c r="E6" s="4">
        <v>0.367647059</v>
      </c>
      <c r="F6" s="4">
        <v>0.42553191499999998</v>
      </c>
      <c r="G6" s="4">
        <v>0.484848485</v>
      </c>
      <c r="H6" s="3">
        <v>1</v>
      </c>
      <c r="I6" s="1"/>
      <c r="K6" s="4">
        <v>0.3</v>
      </c>
      <c r="L6" s="4">
        <v>0</v>
      </c>
      <c r="M6" s="4">
        <v>0.29787234000000001</v>
      </c>
      <c r="N6" s="4">
        <v>0.34567901200000001</v>
      </c>
      <c r="O6" s="4">
        <v>0.39726027400000002</v>
      </c>
      <c r="P6" s="4">
        <v>0.45454545499999999</v>
      </c>
      <c r="Q6" s="3">
        <v>1</v>
      </c>
    </row>
    <row r="7" spans="2:17" ht="16">
      <c r="B7" s="4">
        <v>0.4</v>
      </c>
      <c r="C7" s="4">
        <v>0</v>
      </c>
      <c r="D7" s="4">
        <v>0.41025641000000002</v>
      </c>
      <c r="E7" s="4">
        <v>0.45833333300000001</v>
      </c>
      <c r="F7" s="4">
        <v>0.51388888899999996</v>
      </c>
      <c r="G7" s="4">
        <v>0.57499999999999996</v>
      </c>
      <c r="H7" s="3">
        <v>1</v>
      </c>
      <c r="I7" s="1"/>
      <c r="K7" s="4">
        <v>0.4</v>
      </c>
      <c r="L7" s="4">
        <v>0</v>
      </c>
      <c r="M7" s="4">
        <v>0.38028169000000001</v>
      </c>
      <c r="N7" s="4">
        <v>0.428571429</v>
      </c>
      <c r="O7" s="4">
        <v>0.47727272700000001</v>
      </c>
      <c r="P7" s="4">
        <v>0.54248366000000003</v>
      </c>
      <c r="Q7" s="3">
        <v>1</v>
      </c>
    </row>
    <row r="8" spans="2:17" ht="16">
      <c r="B8" s="4">
        <v>0.45</v>
      </c>
      <c r="C8" s="4">
        <v>0</v>
      </c>
      <c r="D8" s="4">
        <v>0.47169811299999997</v>
      </c>
      <c r="E8" s="4">
        <v>0.53333333299999997</v>
      </c>
      <c r="F8" s="4">
        <v>0.58823529399999996</v>
      </c>
      <c r="G8" s="4">
        <v>0.62857142899999996</v>
      </c>
      <c r="H8" s="3">
        <v>1</v>
      </c>
      <c r="I8" s="1"/>
      <c r="K8" s="4">
        <v>0.45</v>
      </c>
      <c r="L8" s="4">
        <v>0</v>
      </c>
      <c r="M8" s="4">
        <v>0.46078431399999997</v>
      </c>
      <c r="N8" s="4">
        <v>0.50793650800000001</v>
      </c>
      <c r="O8" s="4">
        <v>0.55118110200000003</v>
      </c>
      <c r="P8" s="4">
        <v>0.6</v>
      </c>
      <c r="Q8" s="3">
        <v>1</v>
      </c>
    </row>
    <row r="9" spans="2:17" ht="16">
      <c r="B9" s="4">
        <v>0.5</v>
      </c>
      <c r="C9" s="4">
        <v>0</v>
      </c>
      <c r="D9" s="4">
        <v>0.51249999999999996</v>
      </c>
      <c r="E9" s="4">
        <v>0.56097560999999996</v>
      </c>
      <c r="F9" s="4">
        <v>0.619565217</v>
      </c>
      <c r="G9" s="4">
        <v>0.67307692299999999</v>
      </c>
      <c r="H9" s="3">
        <v>1</v>
      </c>
      <c r="I9" s="1"/>
      <c r="K9" s="4">
        <v>0.5</v>
      </c>
      <c r="L9" s="4">
        <v>0</v>
      </c>
      <c r="M9" s="4">
        <v>0.5</v>
      </c>
      <c r="N9" s="4">
        <v>0.55769230800000003</v>
      </c>
      <c r="O9" s="4">
        <v>0.60317460300000003</v>
      </c>
      <c r="P9" s="4">
        <v>0.65217391300000005</v>
      </c>
      <c r="Q9" s="3">
        <v>1</v>
      </c>
    </row>
    <row r="10" spans="2:17" ht="16">
      <c r="B10" s="4">
        <v>0.55000000000000004</v>
      </c>
      <c r="C10" s="4">
        <v>0</v>
      </c>
      <c r="D10" s="4">
        <v>0.56000000000000005</v>
      </c>
      <c r="E10" s="4">
        <v>0.59701492499999997</v>
      </c>
      <c r="F10" s="4">
        <v>0.648351648</v>
      </c>
      <c r="G10" s="4">
        <v>0.71428571399999996</v>
      </c>
      <c r="H10" s="3">
        <v>1</v>
      </c>
      <c r="I10" s="1"/>
      <c r="K10" s="4">
        <v>0.55000000000000004</v>
      </c>
      <c r="L10" s="4">
        <v>0</v>
      </c>
      <c r="M10" s="4">
        <v>0.55384615400000003</v>
      </c>
      <c r="N10" s="4">
        <v>0.594594595</v>
      </c>
      <c r="O10" s="4">
        <v>0.63106796099999996</v>
      </c>
      <c r="P10" s="4">
        <v>0.68518518500000003</v>
      </c>
      <c r="Q10" s="3">
        <v>1</v>
      </c>
    </row>
    <row r="11" spans="2:17" ht="16">
      <c r="B11" s="4">
        <v>0.6</v>
      </c>
      <c r="C11" s="4">
        <v>0</v>
      </c>
      <c r="D11" s="4">
        <v>0.60714285700000004</v>
      </c>
      <c r="E11" s="4">
        <v>0.65168539299999995</v>
      </c>
      <c r="F11" s="4">
        <v>0.70588235300000002</v>
      </c>
      <c r="G11" s="4">
        <v>0.75</v>
      </c>
      <c r="H11" s="3">
        <v>1</v>
      </c>
      <c r="I11" s="1"/>
      <c r="K11" s="4">
        <v>0.6</v>
      </c>
      <c r="L11" s="4">
        <v>0</v>
      </c>
      <c r="M11" s="4">
        <v>0.59340659299999998</v>
      </c>
      <c r="N11" s="4">
        <v>0.64444444400000001</v>
      </c>
      <c r="O11" s="4">
        <v>0.67368421099999998</v>
      </c>
      <c r="P11" s="4">
        <v>0.71014492799999995</v>
      </c>
      <c r="Q11" s="3">
        <v>1</v>
      </c>
    </row>
    <row r="12" spans="2:17" ht="16">
      <c r="B12" s="4">
        <v>0.7</v>
      </c>
      <c r="C12" s="4">
        <v>0</v>
      </c>
      <c r="D12" s="4">
        <v>0.66666666699999999</v>
      </c>
      <c r="E12" s="4">
        <v>0.71250000000000002</v>
      </c>
      <c r="F12" s="4">
        <v>0.75362318800000005</v>
      </c>
      <c r="G12" s="4">
        <v>0.78571428600000004</v>
      </c>
      <c r="H12" s="3">
        <v>1</v>
      </c>
      <c r="I12" s="1"/>
      <c r="K12" s="4">
        <v>0.7</v>
      </c>
      <c r="L12" s="4">
        <v>0</v>
      </c>
      <c r="M12" s="4">
        <v>0.65753424699999996</v>
      </c>
      <c r="N12" s="4">
        <v>0.70329670300000002</v>
      </c>
      <c r="O12" s="4">
        <v>0.72631578900000004</v>
      </c>
      <c r="P12" s="4">
        <v>0.76315789499999998</v>
      </c>
      <c r="Q12" s="3">
        <v>1</v>
      </c>
    </row>
    <row r="13" spans="2:17" ht="16">
      <c r="B13" s="4">
        <v>0.8</v>
      </c>
      <c r="C13" s="4">
        <v>0</v>
      </c>
      <c r="D13" s="4">
        <v>0.75384615399999999</v>
      </c>
      <c r="E13" s="4">
        <v>0.78688524599999998</v>
      </c>
      <c r="F13" s="4">
        <v>0.81818181800000001</v>
      </c>
      <c r="G13" s="4">
        <v>0.86206896600000005</v>
      </c>
      <c r="H13" s="3">
        <v>1</v>
      </c>
      <c r="I13" s="1"/>
      <c r="K13" s="4">
        <v>0.8</v>
      </c>
      <c r="L13" s="4">
        <v>0</v>
      </c>
      <c r="M13" s="4">
        <v>0.75789473699999999</v>
      </c>
      <c r="N13" s="4">
        <v>0.79012345699999997</v>
      </c>
      <c r="O13" s="4">
        <v>0.81578947400000001</v>
      </c>
      <c r="P13" s="4">
        <v>0.84285714300000003</v>
      </c>
      <c r="Q13" s="3">
        <v>1</v>
      </c>
    </row>
    <row r="14" spans="2:17" ht="16">
      <c r="B14" s="4">
        <v>0.9</v>
      </c>
      <c r="C14" s="4">
        <v>0</v>
      </c>
      <c r="D14" s="4">
        <v>0.79746835400000005</v>
      </c>
      <c r="E14" s="4">
        <v>0.84210526299999999</v>
      </c>
      <c r="F14" s="4">
        <v>0.88059701499999998</v>
      </c>
      <c r="G14" s="4">
        <v>0.91860465099999999</v>
      </c>
      <c r="H14" s="3">
        <v>1</v>
      </c>
      <c r="I14" s="1"/>
      <c r="K14" s="4">
        <v>0.9</v>
      </c>
      <c r="L14" s="4">
        <v>0</v>
      </c>
      <c r="M14" s="4">
        <v>0.82978723399999998</v>
      </c>
      <c r="N14" s="4">
        <v>0.86407767000000002</v>
      </c>
      <c r="O14" s="4">
        <v>0.89285714299999996</v>
      </c>
      <c r="P14" s="4">
        <v>0.92105263199999998</v>
      </c>
      <c r="Q14" s="3">
        <v>1</v>
      </c>
    </row>
    <row r="15" spans="2:17" ht="16">
      <c r="B15" s="4">
        <v>1</v>
      </c>
      <c r="C15" s="4">
        <v>0</v>
      </c>
      <c r="D15" s="4">
        <v>0.92105263199999998</v>
      </c>
      <c r="E15" s="4">
        <v>0.93421052599999999</v>
      </c>
      <c r="F15" s="4">
        <v>0.96273291900000002</v>
      </c>
      <c r="G15" s="4">
        <v>0.98039215700000004</v>
      </c>
      <c r="H15" s="3">
        <v>1</v>
      </c>
      <c r="I15" s="1"/>
      <c r="K15" s="4">
        <v>1</v>
      </c>
      <c r="L15" s="4">
        <v>0</v>
      </c>
      <c r="M15" s="4">
        <v>0.91397849499999995</v>
      </c>
      <c r="N15" s="4">
        <v>0.95348837200000003</v>
      </c>
      <c r="O15" s="4">
        <v>0.96103896099999997</v>
      </c>
      <c r="P15" s="4">
        <v>1</v>
      </c>
      <c r="Q15" s="3">
        <v>1</v>
      </c>
    </row>
    <row r="16" spans="2:17" ht="16">
      <c r="B16" s="6"/>
      <c r="C16" s="6"/>
      <c r="D16" s="6"/>
      <c r="E16" s="6"/>
      <c r="F16" s="6"/>
      <c r="G16" s="6"/>
      <c r="H16" s="7"/>
      <c r="I16" s="1"/>
      <c r="K16" s="6"/>
      <c r="L16" s="6"/>
      <c r="M16" s="6"/>
      <c r="N16" s="6"/>
      <c r="O16" s="6"/>
      <c r="P16" s="6"/>
      <c r="Q16" s="7"/>
    </row>
    <row r="17" spans="1:17" ht="16">
      <c r="A17" t="s">
        <v>14</v>
      </c>
      <c r="B17" t="e">
        <f>IF(BOY_5="",NA(),BOY_5)</f>
        <v>#N/A</v>
      </c>
      <c r="C17" t="e">
        <f>IF(OR(B17="",B17&lt;0,B17&gt;1),NA(),IF(B17=1,0.999,B17))</f>
        <v>#N/A</v>
      </c>
      <c r="I17" s="1"/>
      <c r="K17" s="6"/>
      <c r="L17" s="6"/>
      <c r="M17" s="6"/>
      <c r="N17" s="6"/>
      <c r="O17" s="6"/>
      <c r="P17" s="6"/>
      <c r="Q17" s="7"/>
    </row>
    <row r="18" spans="1:17" ht="16">
      <c r="A18" t="s">
        <v>82</v>
      </c>
      <c r="B18" t="e">
        <f>IF(MOY_5="",NA(),MOY_5)</f>
        <v>#N/A</v>
      </c>
      <c r="C18" t="e">
        <f>IF(OR(B18="",B18&lt;0,B18&gt;1),NA(),IF(B18=1,0.999,B18))</f>
        <v>#N/A</v>
      </c>
      <c r="I18" s="1"/>
      <c r="K18" s="6"/>
      <c r="L18" s="6"/>
      <c r="M18" s="6"/>
      <c r="N18" s="6"/>
      <c r="O18" s="6"/>
      <c r="P18" s="6"/>
      <c r="Q18" s="7"/>
    </row>
    <row r="19" spans="1:17" ht="16">
      <c r="A19" t="s">
        <v>15</v>
      </c>
      <c r="B19" t="e">
        <f>IF(goal_BOY_5="",NA(),goal_BOY_5)</f>
        <v>#N/A</v>
      </c>
      <c r="C19" t="e">
        <f>IF(OR(B19="",B19&lt;0,B19&gt;1),NA(),IF(B19=1,0.999,B19))</f>
        <v>#N/A</v>
      </c>
      <c r="I19" s="1"/>
      <c r="K19" s="6"/>
      <c r="L19" s="6"/>
      <c r="M19" s="6"/>
      <c r="N19" s="6"/>
      <c r="O19" s="6"/>
      <c r="P19" s="6"/>
      <c r="Q19" s="7"/>
    </row>
    <row r="21" spans="1:17">
      <c r="A21" s="5" t="s">
        <v>12</v>
      </c>
    </row>
    <row r="22" spans="1:17" ht="16">
      <c r="A22" s="2" t="s">
        <v>9</v>
      </c>
      <c r="B22" s="1" t="e">
        <f>SUMPRODUCT((K3:K14&lt;=$C$17)*(K4:K15&gt;$C$17),(K4:K15))</f>
        <v>#N/A</v>
      </c>
      <c r="C22" t="e">
        <f>VLOOKUP($B$22,$K$5:$Q$15,2,FALSE)</f>
        <v>#N/A</v>
      </c>
      <c r="D22" t="e">
        <f>ROUND(VLOOKUP($B$22,$K$5:$Q$15,3,FALSE),2)</f>
        <v>#N/A</v>
      </c>
      <c r="E22" t="e">
        <f>ROUND(VLOOKUP($B$22,$K$5:$Q$15,4,FALSE),2)</f>
        <v>#N/A</v>
      </c>
      <c r="F22" t="e">
        <f>ROUND(VLOOKUP($B$22,$K$5:$Q$15,5,FALSE),2)</f>
        <v>#N/A</v>
      </c>
      <c r="G22" t="e">
        <f>ROUND(VLOOKUP($B$22,$K$5:$Q$15,6,FALSE),2)</f>
        <v>#N/A</v>
      </c>
      <c r="H22" t="e">
        <f>VLOOKUP($B$22,$K$5:$Q$15,7,FALSE)</f>
        <v>#N/A</v>
      </c>
      <c r="J22" s="2"/>
    </row>
    <row r="23" spans="1:17" ht="16">
      <c r="A23" s="2" t="s">
        <v>81</v>
      </c>
      <c r="B23" s="1" t="e">
        <f ca="1">OFFSET(J3,0,SUMPRODUCT((C22:G22&lt;=$C$18)*(D22:H22&gt;$C$18),COLUMN(B22:F22)))</f>
        <v>#N/A</v>
      </c>
      <c r="J23" s="2"/>
      <c r="K23" s="1"/>
    </row>
    <row r="24" spans="1:17" ht="16">
      <c r="A24" s="2"/>
      <c r="B24" s="1"/>
      <c r="J24" s="2"/>
      <c r="K24" s="1"/>
    </row>
    <row r="25" spans="1:17" ht="16">
      <c r="A25" s="5" t="s">
        <v>13</v>
      </c>
      <c r="B25" s="1"/>
      <c r="J25" s="2"/>
      <c r="K25" s="1"/>
    </row>
    <row r="26" spans="1:17" ht="16">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c r="A27" s="2" t="s">
        <v>9</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c r="A28" s="2" t="s">
        <v>6</v>
      </c>
      <c r="B28" t="e">
        <f ca="1">OFFSET(A26,0,MATCH(goal_5,$B$3:$H$3,FALSE))</f>
        <v>#N/A</v>
      </c>
      <c r="C28" t="e">
        <f ca="1">OFFSET(A26,0,MATCH(goal_5,$B$3:$H$3,FALSE)+1)</f>
        <v>#N/A</v>
      </c>
      <c r="D28" t="e">
        <f ca="1">CONCATENATE(TEXT(ROUND($B$28,2)*100,"0")," - ",TEXT(ROUND($C$28,2),"0%"))</f>
        <v>#N/A</v>
      </c>
    </row>
    <row r="29" spans="1:17">
      <c r="A29" s="2" t="s">
        <v>8</v>
      </c>
      <c r="B29" t="e">
        <f ca="1">OFFSET(A27,0,MATCH(goal_5,$K$3:$Q$3,FALSE))</f>
        <v>#N/A</v>
      </c>
      <c r="C29" t="e">
        <f ca="1">OFFSET(A27,0,MATCH(goal_5,$K$3:$Q$3,FALSE)+1)</f>
        <v>#N/A</v>
      </c>
      <c r="D29" t="e">
        <f ca="1">CONCATENATE(TEXT(ROUND($B$29,2)*100,"0")," - ",TEXT(ROUND($C$29,2),"0%"))</f>
        <v>#N/A</v>
      </c>
    </row>
  </sheetData>
  <sheetProtection algorithmName="SHA-512" hashValue="RgxK723K102syxTygWtSstD0+XLOBkd8MsfiWo6TWzjx/lc3Pevhz8R6HYoIZ6oj9UmmYQX7UiglggaGxt5a6Q==" saltValue="2hQb0P4QSOzoU86X4HlJ7A==" spinCount="100000" sheet="1" objects="1" scenarios="1"/>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
  <sheetViews>
    <sheetView workbookViewId="0">
      <selection activeCell="F21" sqref="F21"/>
    </sheetView>
  </sheetViews>
  <sheetFormatPr baseColWidth="10" defaultColWidth="8.83203125" defaultRowHeight="15"/>
  <cols>
    <col min="1" max="1" width="18.5" bestFit="1" customWidth="1"/>
    <col min="4" max="4" width="9.6640625" bestFit="1" customWidth="1"/>
  </cols>
  <sheetData>
    <row r="1" spans="2:17">
      <c r="B1" t="s">
        <v>10</v>
      </c>
      <c r="K1" t="s">
        <v>11</v>
      </c>
    </row>
    <row r="3" spans="2:17">
      <c r="B3" s="4" t="s">
        <v>5</v>
      </c>
      <c r="C3" s="4" t="s">
        <v>31</v>
      </c>
      <c r="D3" s="4" t="s">
        <v>17</v>
      </c>
      <c r="E3" s="4" t="s">
        <v>0</v>
      </c>
      <c r="F3" s="4" t="s">
        <v>18</v>
      </c>
      <c r="G3" s="4" t="s">
        <v>32</v>
      </c>
      <c r="H3" s="4"/>
      <c r="K3" s="4" t="s">
        <v>5</v>
      </c>
      <c r="L3" s="4" t="s">
        <v>16</v>
      </c>
      <c r="M3" s="4" t="s">
        <v>17</v>
      </c>
      <c r="N3" s="4" t="s">
        <v>0</v>
      </c>
      <c r="O3" s="4" t="s">
        <v>18</v>
      </c>
      <c r="P3" s="4" t="s">
        <v>32</v>
      </c>
      <c r="Q3" s="4"/>
    </row>
    <row r="4" spans="2:17">
      <c r="B4" s="4">
        <v>0</v>
      </c>
      <c r="C4" s="4"/>
      <c r="D4" s="4"/>
      <c r="E4" s="4"/>
      <c r="F4" s="4"/>
      <c r="G4" s="4"/>
      <c r="H4" s="4"/>
      <c r="K4" s="4">
        <v>0</v>
      </c>
      <c r="L4" s="4"/>
      <c r="M4" s="4"/>
      <c r="N4" s="4"/>
      <c r="O4" s="4"/>
      <c r="P4" s="4"/>
      <c r="Q4" s="4"/>
    </row>
    <row r="5" spans="2:17">
      <c r="B5" s="4">
        <v>0.2</v>
      </c>
      <c r="C5" s="4">
        <v>0</v>
      </c>
      <c r="D5" s="4">
        <v>0.243589744</v>
      </c>
      <c r="E5" s="4">
        <v>0.29411764699999998</v>
      </c>
      <c r="F5" s="4">
        <v>0.39705882399999998</v>
      </c>
      <c r="G5" s="4">
        <v>0.52845528500000005</v>
      </c>
      <c r="H5" s="4">
        <v>1</v>
      </c>
      <c r="K5" s="4">
        <v>0.2</v>
      </c>
      <c r="L5" s="4"/>
      <c r="M5" s="4">
        <v>0.188118812</v>
      </c>
      <c r="N5" s="4">
        <v>0.26751592400000002</v>
      </c>
      <c r="O5" s="4">
        <v>0.309859155</v>
      </c>
      <c r="P5" s="4">
        <v>0.38571428600000002</v>
      </c>
      <c r="Q5" s="4">
        <v>1</v>
      </c>
    </row>
    <row r="6" spans="2:17" ht="16">
      <c r="B6" s="4">
        <v>0.3</v>
      </c>
      <c r="C6" s="4">
        <v>0</v>
      </c>
      <c r="D6" s="4">
        <v>0.35882352899999997</v>
      </c>
      <c r="E6" s="4">
        <v>0.43650793700000001</v>
      </c>
      <c r="F6" s="4">
        <v>0.49743589700000002</v>
      </c>
      <c r="G6" s="4">
        <v>0.57446808500000002</v>
      </c>
      <c r="H6" s="3">
        <v>1</v>
      </c>
      <c r="I6" s="1"/>
      <c r="K6" s="4">
        <v>0.3</v>
      </c>
      <c r="L6" s="4">
        <v>0</v>
      </c>
      <c r="M6" s="4">
        <v>0.28000000000000003</v>
      </c>
      <c r="N6" s="4">
        <v>0.35238095200000003</v>
      </c>
      <c r="O6" s="4">
        <v>0.38461538499999998</v>
      </c>
      <c r="P6" s="4">
        <v>0.45669291299999998</v>
      </c>
      <c r="Q6" s="3">
        <v>1</v>
      </c>
    </row>
    <row r="7" spans="2:17" ht="16">
      <c r="B7" s="4">
        <v>0.4</v>
      </c>
      <c r="C7" s="4">
        <v>0</v>
      </c>
      <c r="D7" s="4">
        <v>0.45454545499999999</v>
      </c>
      <c r="E7" s="4">
        <v>0.52820512799999997</v>
      </c>
      <c r="F7" s="4">
        <v>0.59192825100000002</v>
      </c>
      <c r="G7" s="4">
        <v>0.65734265700000005</v>
      </c>
      <c r="H7" s="3">
        <v>1</v>
      </c>
      <c r="I7" s="1"/>
      <c r="K7" s="4">
        <v>0.4</v>
      </c>
      <c r="L7" s="4">
        <v>0</v>
      </c>
      <c r="M7" s="4">
        <v>0.38095238100000001</v>
      </c>
      <c r="N7" s="4">
        <v>0.43438914000000001</v>
      </c>
      <c r="O7" s="4">
        <v>0.49397590400000002</v>
      </c>
      <c r="P7" s="4">
        <v>0.55428571400000004</v>
      </c>
      <c r="Q7" s="3">
        <v>1</v>
      </c>
    </row>
    <row r="8" spans="2:17" ht="16">
      <c r="B8" s="4">
        <v>0.45</v>
      </c>
      <c r="C8" s="4">
        <v>0</v>
      </c>
      <c r="D8" s="4">
        <v>0.52702702700000004</v>
      </c>
      <c r="E8" s="4">
        <v>0.59036144599999996</v>
      </c>
      <c r="F8" s="4">
        <v>0.64285714299999996</v>
      </c>
      <c r="G8" s="4">
        <v>0.71323529399999996</v>
      </c>
      <c r="H8" s="3">
        <v>1</v>
      </c>
      <c r="I8" s="1"/>
      <c r="K8" s="4">
        <v>0.45</v>
      </c>
      <c r="L8" s="4">
        <v>0</v>
      </c>
      <c r="M8" s="4">
        <v>0.44117647100000001</v>
      </c>
      <c r="N8" s="4">
        <v>0.498069498</v>
      </c>
      <c r="O8" s="4">
        <v>0.54201680699999999</v>
      </c>
      <c r="P8" s="4">
        <v>0.60679611700000002</v>
      </c>
      <c r="Q8" s="3">
        <v>1</v>
      </c>
    </row>
    <row r="9" spans="2:17" ht="16">
      <c r="B9" s="4">
        <v>0.5</v>
      </c>
      <c r="C9" s="4">
        <v>0</v>
      </c>
      <c r="D9" s="4">
        <v>0.56279069800000003</v>
      </c>
      <c r="E9" s="4">
        <v>0.62698412699999995</v>
      </c>
      <c r="F9" s="4">
        <v>0.67659574499999997</v>
      </c>
      <c r="G9" s="4">
        <v>0.730337079</v>
      </c>
      <c r="H9" s="3">
        <v>1</v>
      </c>
      <c r="I9" s="1"/>
      <c r="K9" s="4">
        <v>0.5</v>
      </c>
      <c r="L9" s="4">
        <v>0</v>
      </c>
      <c r="M9" s="4">
        <v>0.48031496099999998</v>
      </c>
      <c r="N9" s="4">
        <v>0.54054054100000004</v>
      </c>
      <c r="O9" s="4">
        <v>0.590909091</v>
      </c>
      <c r="P9" s="4">
        <v>0.64210526300000004</v>
      </c>
      <c r="Q9" s="3">
        <v>1</v>
      </c>
    </row>
    <row r="10" spans="2:17" ht="16">
      <c r="B10" s="4">
        <v>0.55000000000000004</v>
      </c>
      <c r="C10" s="4">
        <v>0</v>
      </c>
      <c r="D10" s="4">
        <v>0.6015625</v>
      </c>
      <c r="E10" s="4">
        <v>0.66483516499999995</v>
      </c>
      <c r="F10" s="4">
        <v>0.71666666700000003</v>
      </c>
      <c r="G10" s="4">
        <v>0.76785714299999996</v>
      </c>
      <c r="H10" s="3">
        <v>1</v>
      </c>
      <c r="I10" s="1"/>
      <c r="K10" s="4">
        <v>0.55000000000000004</v>
      </c>
      <c r="L10" s="4">
        <v>0</v>
      </c>
      <c r="M10" s="4">
        <v>0.53125</v>
      </c>
      <c r="N10" s="4">
        <v>0.590909091</v>
      </c>
      <c r="O10" s="4">
        <v>0.634146341</v>
      </c>
      <c r="P10" s="4">
        <v>0.69306930700000002</v>
      </c>
      <c r="Q10" s="3">
        <v>1</v>
      </c>
    </row>
    <row r="11" spans="2:17" ht="16">
      <c r="B11" s="4">
        <v>0.6</v>
      </c>
      <c r="C11" s="4">
        <v>0</v>
      </c>
      <c r="D11" s="4">
        <v>0.63559321999999996</v>
      </c>
      <c r="E11" s="4">
        <v>0.686746988</v>
      </c>
      <c r="F11" s="4">
        <v>0.731884058</v>
      </c>
      <c r="G11" s="4">
        <v>0.78021978000000003</v>
      </c>
      <c r="H11" s="3">
        <v>1</v>
      </c>
      <c r="I11" s="1"/>
      <c r="K11" s="4">
        <v>0.6</v>
      </c>
      <c r="L11" s="4">
        <v>0</v>
      </c>
      <c r="M11" s="4">
        <v>0.56774193500000003</v>
      </c>
      <c r="N11" s="4">
        <v>0.62068965499999995</v>
      </c>
      <c r="O11" s="4">
        <v>0.665198238</v>
      </c>
      <c r="P11" s="4">
        <v>0.72020725399999996</v>
      </c>
      <c r="Q11" s="3">
        <v>1</v>
      </c>
    </row>
    <row r="12" spans="2:17" ht="16">
      <c r="B12" s="4">
        <v>0.7</v>
      </c>
      <c r="C12" s="4">
        <v>0</v>
      </c>
      <c r="D12" s="4">
        <v>0.68493150700000005</v>
      </c>
      <c r="E12" s="4">
        <v>0.743119266</v>
      </c>
      <c r="F12" s="4">
        <v>0.78231292500000005</v>
      </c>
      <c r="G12" s="4">
        <v>0.82926829300000005</v>
      </c>
      <c r="H12" s="3">
        <v>1</v>
      </c>
      <c r="I12" s="1"/>
      <c r="K12" s="4">
        <v>0.7</v>
      </c>
      <c r="L12" s="4">
        <v>0</v>
      </c>
      <c r="M12" s="4">
        <v>0.63398692800000001</v>
      </c>
      <c r="N12" s="4">
        <v>0.68681318700000005</v>
      </c>
      <c r="O12" s="4">
        <v>0.73118279600000002</v>
      </c>
      <c r="P12" s="4">
        <v>0.77325581399999999</v>
      </c>
      <c r="Q12" s="3">
        <v>1</v>
      </c>
    </row>
    <row r="13" spans="2:17" ht="16">
      <c r="B13" s="4">
        <v>0.8</v>
      </c>
      <c r="C13" s="4">
        <v>0</v>
      </c>
      <c r="D13" s="4">
        <v>0.75355450199999996</v>
      </c>
      <c r="E13" s="4">
        <v>0.80078125</v>
      </c>
      <c r="F13" s="4">
        <v>0.84210526299999999</v>
      </c>
      <c r="G13" s="4">
        <v>0.87878787899999999</v>
      </c>
      <c r="H13" s="3">
        <v>1</v>
      </c>
      <c r="I13" s="1"/>
      <c r="K13" s="4">
        <v>0.8</v>
      </c>
      <c r="L13" s="4">
        <v>0</v>
      </c>
      <c r="M13" s="4">
        <v>0.72573839699999998</v>
      </c>
      <c r="N13" s="4">
        <v>0.76500000000000001</v>
      </c>
      <c r="O13" s="4">
        <v>0.80263157900000004</v>
      </c>
      <c r="P13" s="4">
        <v>0.839378238</v>
      </c>
      <c r="Q13" s="3">
        <v>1</v>
      </c>
    </row>
    <row r="14" spans="2:17" ht="16">
      <c r="B14" s="4">
        <v>0.9</v>
      </c>
      <c r="C14" s="4">
        <v>0</v>
      </c>
      <c r="D14" s="4">
        <v>0.82248520700000005</v>
      </c>
      <c r="E14" s="4">
        <v>0.86138613900000005</v>
      </c>
      <c r="F14" s="4">
        <v>0.89189189199999996</v>
      </c>
      <c r="G14" s="4">
        <v>0.91911764699999998</v>
      </c>
      <c r="H14" s="3">
        <v>1</v>
      </c>
      <c r="I14" s="1"/>
      <c r="K14" s="4">
        <v>0.9</v>
      </c>
      <c r="L14" s="4">
        <v>0</v>
      </c>
      <c r="M14" s="4">
        <v>0.80981595100000003</v>
      </c>
      <c r="N14" s="4">
        <v>0.84285714300000003</v>
      </c>
      <c r="O14" s="4">
        <v>0.87267080699999999</v>
      </c>
      <c r="P14" s="4">
        <v>0.89500000000000002</v>
      </c>
      <c r="Q14" s="3">
        <v>1</v>
      </c>
    </row>
    <row r="15" spans="2:17" ht="16">
      <c r="B15" s="4">
        <v>1</v>
      </c>
      <c r="C15" s="4">
        <v>0</v>
      </c>
      <c r="D15" s="4">
        <v>0.91025641000000002</v>
      </c>
      <c r="E15" s="4">
        <v>0.92307692299999999</v>
      </c>
      <c r="F15" s="4">
        <v>0.95287958100000003</v>
      </c>
      <c r="G15" s="4">
        <v>0.97252747299999998</v>
      </c>
      <c r="H15" s="3">
        <v>1</v>
      </c>
      <c r="I15" s="1"/>
      <c r="K15" s="4">
        <v>1</v>
      </c>
      <c r="L15" s="4">
        <v>0</v>
      </c>
      <c r="M15" s="4">
        <v>0.87969924799999999</v>
      </c>
      <c r="N15" s="4">
        <v>0.89705882400000003</v>
      </c>
      <c r="O15" s="4">
        <v>0.92500000000000004</v>
      </c>
      <c r="P15" s="4">
        <v>0.94565217400000001</v>
      </c>
      <c r="Q15" s="3">
        <v>1</v>
      </c>
    </row>
    <row r="16" spans="2:17" ht="16">
      <c r="B16" s="6"/>
      <c r="C16" s="6"/>
      <c r="D16" s="6"/>
      <c r="E16" s="6"/>
      <c r="F16" s="6"/>
      <c r="G16" s="6"/>
      <c r="H16" s="7"/>
      <c r="I16" s="1"/>
      <c r="K16" s="6"/>
      <c r="L16" s="6"/>
      <c r="M16" s="6"/>
      <c r="N16" s="6"/>
      <c r="O16" s="6"/>
      <c r="P16" s="6"/>
      <c r="Q16" s="7"/>
    </row>
    <row r="17" spans="1:11">
      <c r="A17" t="s">
        <v>14</v>
      </c>
      <c r="B17" t="e">
        <f>IF(BOY_agg="",NA(),BOY_agg)</f>
        <v>#N/A</v>
      </c>
      <c r="C17" t="e">
        <f>IF(OR(B17="",B17&lt;0,B17&gt;1),NA(),IF(B17=1,0.999,B17))</f>
        <v>#N/A</v>
      </c>
    </row>
    <row r="18" spans="1:11">
      <c r="A18" t="s">
        <v>82</v>
      </c>
      <c r="B18" t="e">
        <f>IF(MOY_agg="",NA(),MOY_agg)</f>
        <v>#N/A</v>
      </c>
      <c r="C18" t="e">
        <f>IF(OR(B18="",B18&lt;0,B18&gt;1),NA(),IF(B18=1,0.999,B18))</f>
        <v>#N/A</v>
      </c>
    </row>
    <row r="19" spans="1:11">
      <c r="A19" t="s">
        <v>15</v>
      </c>
      <c r="B19" t="e">
        <f>IF(goal_BOY_agg="",NA(),goal_BOY_agg)</f>
        <v>#N/A</v>
      </c>
      <c r="C19" t="e">
        <f>IF(OR(B19="",B19&lt;0,B19&gt;1),NA(),IF(B19=1,0.999,B19))</f>
        <v>#N/A</v>
      </c>
    </row>
    <row r="21" spans="1:11">
      <c r="A21" s="5" t="s">
        <v>12</v>
      </c>
    </row>
    <row r="22" spans="1:11" ht="16">
      <c r="A22" s="2" t="s">
        <v>9</v>
      </c>
      <c r="B22" s="1" t="e">
        <f>SUMPRODUCT((K3:K14&lt;=$C$17)*(K4:K15&gt;$C$17),(K4:K15))</f>
        <v>#N/A</v>
      </c>
      <c r="C22" t="e">
        <f>VLOOKUP($B$22,$K$5:$Q$15,2,FALSE)</f>
        <v>#N/A</v>
      </c>
      <c r="D22" t="e">
        <f>ROUND(VLOOKUP($B$22,$K$5:$Q$15,3,FALSE),2)</f>
        <v>#N/A</v>
      </c>
      <c r="E22" t="e">
        <f>ROUND(VLOOKUP($B$22,$K$5:$Q$15,4,FALSE),2)</f>
        <v>#N/A</v>
      </c>
      <c r="F22" t="e">
        <f>ROUND(VLOOKUP($B$22,$K$5:$Q$15,5,FALSE),2)</f>
        <v>#N/A</v>
      </c>
      <c r="G22" t="e">
        <f>ROUND(VLOOKUP($B$22,$K$5:$Q$15,6,FALSE),2)</f>
        <v>#N/A</v>
      </c>
      <c r="H22" t="e">
        <f>VLOOKUP($B$22,$K$5:$Q$15,7,FALSE)</f>
        <v>#N/A</v>
      </c>
      <c r="K22" s="1"/>
    </row>
    <row r="23" spans="1:11" ht="16">
      <c r="A23" s="2" t="s">
        <v>81</v>
      </c>
      <c r="B23" s="1" t="e">
        <f ca="1">OFFSET(J3,0,SUMPRODUCT((C22:G22&lt;=$C$18)*(D22:H22&gt;$C$18),COLUMN(B22:F22)))</f>
        <v>#N/A</v>
      </c>
      <c r="J23" s="2"/>
      <c r="K23" s="1"/>
    </row>
    <row r="24" spans="1:11" ht="16">
      <c r="A24" s="2"/>
      <c r="B24" s="1"/>
      <c r="J24" s="2"/>
      <c r="K24" s="1"/>
    </row>
    <row r="25" spans="1:11" ht="16">
      <c r="A25" s="5" t="s">
        <v>13</v>
      </c>
      <c r="B25" s="1"/>
      <c r="J25" s="2"/>
    </row>
    <row r="26" spans="1:11" ht="16">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c r="K26" s="1"/>
    </row>
    <row r="27" spans="1:11" ht="16">
      <c r="A27" s="2" t="s">
        <v>9</v>
      </c>
      <c r="B27" s="1"/>
      <c r="C27" t="e">
        <f>VLOOKUP($B$26,$K$5:$Q$15,2,FALSE)</f>
        <v>#N/A</v>
      </c>
      <c r="D27" t="e">
        <f>VLOOKUP($B$26,$K$5:$Q$15,3,FALSE)</f>
        <v>#N/A</v>
      </c>
      <c r="E27" t="e">
        <f>VLOOKUP($B$26,$K$5:$Q$15,4,FALSE)</f>
        <v>#N/A</v>
      </c>
      <c r="F27" t="e">
        <f>VLOOKUP($B$26,$K$5:$Q$15,5,FALSE)</f>
        <v>#N/A</v>
      </c>
      <c r="G27" t="e">
        <f>VLOOKUP($B$26,$K$5:$Q$15,6,FALSE)</f>
        <v>#N/A</v>
      </c>
      <c r="H27" t="e">
        <f>VLOOKUP($B$26,$K$5:$Q$15,7,FALSE)</f>
        <v>#N/A</v>
      </c>
      <c r="J27" s="2"/>
    </row>
    <row r="28" spans="1:11">
      <c r="A28" s="2" t="s">
        <v>6</v>
      </c>
      <c r="B28" t="e">
        <f ca="1">OFFSET(A26,0,MATCH(goal_agg,$B$3:$H$3,FALSE))</f>
        <v>#N/A</v>
      </c>
      <c r="C28" t="e">
        <f ca="1">OFFSET(A26,0,MATCH(goal_agg,$B$3:$H$3,FALSE)+1)</f>
        <v>#N/A</v>
      </c>
      <c r="D28" t="e">
        <f ca="1">CONCATENATE(TEXT(ROUND($B$28,2)*100,"0")," - ",TEXT(ROUND($C$28,2),"0%"))</f>
        <v>#N/A</v>
      </c>
      <c r="J28" s="2"/>
    </row>
    <row r="29" spans="1:11">
      <c r="A29" s="2" t="s">
        <v>8</v>
      </c>
      <c r="B29" t="e">
        <f ca="1">OFFSET(A27,0,MATCH(goal_agg,$K$3:$Q$3,FALSE))</f>
        <v>#N/A</v>
      </c>
      <c r="C29" t="e">
        <f ca="1">OFFSET(A27,0,MATCH(goal_agg,$K$3:$Q$3,FALSE)+1)</f>
        <v>#N/A</v>
      </c>
      <c r="D29" t="e">
        <f ca="1">CONCATENATE(TEXT(ROUND($B$29,2)*100,"0")," - ",TEXT(ROUND($C$29,2),"0%"))</f>
        <v>#N/A</v>
      </c>
    </row>
  </sheetData>
  <sheetProtection algorithmName="SHA-512" hashValue="omUije4T9ZibgT8tbcXIMMvzJzEAuBp1EMQt81l60v4Fa8IMeHsLPm/nMMSKBxezfiIyXN36mFC4eQodb43yYQ==" saltValue="OsR6SJBlStkxx+8RK8pBdA==" spinCount="100000" sheet="1" objects="1" scenarios="1"/>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9"/>
  <sheetViews>
    <sheetView workbookViewId="0">
      <selection activeCell="B24" sqref="B24"/>
    </sheetView>
  </sheetViews>
  <sheetFormatPr baseColWidth="10" defaultColWidth="8.83203125" defaultRowHeight="15"/>
  <cols>
    <col min="1" max="1" width="18.5" bestFit="1" customWidth="1"/>
    <col min="4" max="4" width="9.6640625" bestFit="1" customWidth="1"/>
  </cols>
  <sheetData>
    <row r="1" spans="2:17">
      <c r="B1" t="s">
        <v>10</v>
      </c>
      <c r="K1" t="s">
        <v>11</v>
      </c>
    </row>
    <row r="3" spans="2:17">
      <c r="B3" s="4" t="s">
        <v>5</v>
      </c>
      <c r="C3" s="4" t="s">
        <v>31</v>
      </c>
      <c r="D3" s="4" t="s">
        <v>17</v>
      </c>
      <c r="E3" s="4" t="s">
        <v>0</v>
      </c>
      <c r="F3" s="4" t="s">
        <v>18</v>
      </c>
      <c r="G3" s="4" t="s">
        <v>32</v>
      </c>
      <c r="H3" s="4"/>
      <c r="K3" s="4" t="s">
        <v>5</v>
      </c>
      <c r="L3" s="4" t="s">
        <v>31</v>
      </c>
      <c r="M3" s="4" t="s">
        <v>17</v>
      </c>
      <c r="N3" s="4" t="s">
        <v>0</v>
      </c>
      <c r="O3" s="4" t="s">
        <v>18</v>
      </c>
      <c r="P3" s="4" t="s">
        <v>32</v>
      </c>
      <c r="Q3" s="4"/>
    </row>
    <row r="4" spans="2:17">
      <c r="B4" s="4">
        <v>0</v>
      </c>
      <c r="C4" s="4"/>
      <c r="D4" s="4"/>
      <c r="E4" s="4"/>
      <c r="F4" s="4"/>
      <c r="G4" s="4"/>
      <c r="H4" s="4"/>
      <c r="K4" s="4">
        <v>0</v>
      </c>
      <c r="L4" s="4"/>
      <c r="M4" s="4"/>
      <c r="N4" s="4"/>
      <c r="O4" s="4"/>
      <c r="P4" s="4"/>
      <c r="Q4" s="4"/>
    </row>
    <row r="5" spans="2:17" ht="16">
      <c r="B5" s="4">
        <v>0.3</v>
      </c>
      <c r="C5" s="4">
        <v>0</v>
      </c>
      <c r="D5" s="4">
        <v>0.28703703699999999</v>
      </c>
      <c r="E5" s="4">
        <v>0.34027777799999998</v>
      </c>
      <c r="F5" s="4">
        <v>0.40594059399999999</v>
      </c>
      <c r="G5" s="4">
        <v>0.47234042599999998</v>
      </c>
      <c r="H5" s="3">
        <v>1</v>
      </c>
      <c r="I5" s="1"/>
      <c r="K5" s="4">
        <v>0.3</v>
      </c>
      <c r="L5" s="4">
        <v>0</v>
      </c>
      <c r="M5" s="4">
        <v>0.25</v>
      </c>
      <c r="N5" s="4">
        <v>0.29787234000000001</v>
      </c>
      <c r="O5" s="4">
        <v>0.34210526299999999</v>
      </c>
      <c r="P5" s="4">
        <v>0.396226415</v>
      </c>
      <c r="Q5" s="3">
        <v>1</v>
      </c>
    </row>
    <row r="6" spans="2:17" ht="16">
      <c r="B6" s="4">
        <v>0.4</v>
      </c>
      <c r="C6" s="4">
        <v>0</v>
      </c>
      <c r="D6" s="4">
        <v>0.3984375</v>
      </c>
      <c r="E6" s="4">
        <v>0.45161290300000001</v>
      </c>
      <c r="F6" s="4">
        <v>0.50387596899999998</v>
      </c>
      <c r="G6" s="4">
        <v>0.56153846200000002</v>
      </c>
      <c r="H6" s="3">
        <v>1</v>
      </c>
      <c r="I6" s="1"/>
      <c r="K6" s="4">
        <v>0.4</v>
      </c>
      <c r="L6" s="4">
        <v>0</v>
      </c>
      <c r="M6" s="4">
        <v>0.350364964</v>
      </c>
      <c r="N6" s="4">
        <v>0.40677966100000001</v>
      </c>
      <c r="O6" s="4">
        <v>0.44680851100000002</v>
      </c>
      <c r="P6" s="4">
        <v>0.49723756899999999</v>
      </c>
      <c r="Q6" s="3">
        <v>1</v>
      </c>
    </row>
    <row r="7" spans="2:17" ht="16">
      <c r="B7" s="4">
        <v>0.45</v>
      </c>
      <c r="C7" s="4">
        <v>0</v>
      </c>
      <c r="D7" s="4">
        <v>0.48295454500000001</v>
      </c>
      <c r="E7" s="4">
        <v>0.53614457800000004</v>
      </c>
      <c r="F7" s="4">
        <v>0.58007117399999997</v>
      </c>
      <c r="G7" s="4">
        <v>0.639705882</v>
      </c>
      <c r="H7" s="3">
        <v>1</v>
      </c>
      <c r="I7" s="1"/>
      <c r="K7" s="4">
        <v>0.45</v>
      </c>
      <c r="L7" s="4">
        <v>0</v>
      </c>
      <c r="M7" s="4">
        <v>0.43069306899999998</v>
      </c>
      <c r="N7" s="4">
        <v>0.473282443</v>
      </c>
      <c r="O7" s="4">
        <v>0.51298701300000005</v>
      </c>
      <c r="P7" s="4">
        <v>0.56175298799999995</v>
      </c>
      <c r="Q7" s="3">
        <v>1</v>
      </c>
    </row>
    <row r="8" spans="2:17" ht="16">
      <c r="B8" s="4">
        <v>0.5</v>
      </c>
      <c r="C8" s="4">
        <v>0</v>
      </c>
      <c r="D8" s="4">
        <v>0.529239766</v>
      </c>
      <c r="E8" s="4">
        <v>0.57766990299999998</v>
      </c>
      <c r="F8" s="4">
        <v>0.61674008800000002</v>
      </c>
      <c r="G8" s="4">
        <v>0.66666666699999999</v>
      </c>
      <c r="H8" s="3">
        <v>1</v>
      </c>
      <c r="I8" s="1"/>
      <c r="K8" s="4">
        <v>0.5</v>
      </c>
      <c r="L8" s="4">
        <v>0</v>
      </c>
      <c r="M8" s="4">
        <v>0.48221343900000002</v>
      </c>
      <c r="N8" s="4">
        <v>0.51968503899999996</v>
      </c>
      <c r="O8" s="4">
        <v>0.55445544599999996</v>
      </c>
      <c r="P8" s="4">
        <v>0.595744681</v>
      </c>
      <c r="Q8" s="3">
        <v>1</v>
      </c>
    </row>
    <row r="9" spans="2:17" ht="16">
      <c r="B9" s="4">
        <v>0.55000000000000004</v>
      </c>
      <c r="C9" s="4">
        <v>0</v>
      </c>
      <c r="D9" s="4">
        <v>0.56779661000000003</v>
      </c>
      <c r="E9" s="4">
        <v>0.61732852000000005</v>
      </c>
      <c r="F9" s="4">
        <v>0.66159695799999996</v>
      </c>
      <c r="G9" s="4">
        <v>0.70666666700000003</v>
      </c>
      <c r="H9" s="3">
        <v>1</v>
      </c>
      <c r="I9" s="1"/>
      <c r="K9" s="4">
        <v>0.55000000000000004</v>
      </c>
      <c r="L9" s="4">
        <v>0</v>
      </c>
      <c r="M9" s="4">
        <v>0.52941176499999998</v>
      </c>
      <c r="N9" s="4">
        <v>0.57666666700000002</v>
      </c>
      <c r="O9" s="4">
        <v>0.60992907799999996</v>
      </c>
      <c r="P9" s="4">
        <v>0.65065502200000003</v>
      </c>
      <c r="Q9" s="3">
        <v>1</v>
      </c>
    </row>
    <row r="10" spans="2:17" ht="16">
      <c r="B10" s="4">
        <v>0.6</v>
      </c>
      <c r="C10" s="4">
        <v>0</v>
      </c>
      <c r="D10" s="4">
        <v>0.62301587300000005</v>
      </c>
      <c r="E10" s="4">
        <v>0.66898954700000002</v>
      </c>
      <c r="F10" s="4">
        <v>0.70461538499999998</v>
      </c>
      <c r="G10" s="4">
        <v>0.74285714300000005</v>
      </c>
      <c r="H10" s="3">
        <v>1</v>
      </c>
      <c r="I10" s="1"/>
      <c r="K10" s="4">
        <v>0.6</v>
      </c>
      <c r="L10" s="4">
        <v>0</v>
      </c>
      <c r="M10" s="4">
        <v>0.58221024300000002</v>
      </c>
      <c r="N10" s="4">
        <v>0.62352941200000001</v>
      </c>
      <c r="O10" s="4">
        <v>0.65053763399999998</v>
      </c>
      <c r="P10" s="4">
        <v>0.691056911</v>
      </c>
      <c r="Q10" s="3">
        <v>1</v>
      </c>
    </row>
    <row r="11" spans="2:17" ht="16">
      <c r="B11" s="4">
        <v>0.7</v>
      </c>
      <c r="C11" s="4">
        <v>0</v>
      </c>
      <c r="D11" s="4">
        <v>0.67164179099999999</v>
      </c>
      <c r="E11" s="4">
        <v>0.71595330700000004</v>
      </c>
      <c r="F11" s="4">
        <v>0.75276752800000002</v>
      </c>
      <c r="G11" s="4">
        <v>0.79255319099999999</v>
      </c>
      <c r="H11" s="3">
        <v>1</v>
      </c>
      <c r="I11" s="1"/>
      <c r="K11" s="4">
        <v>0.7</v>
      </c>
      <c r="L11" s="4">
        <v>0</v>
      </c>
      <c r="M11" s="4">
        <v>0.63366336599999995</v>
      </c>
      <c r="N11" s="4">
        <v>0.67755991299999996</v>
      </c>
      <c r="O11" s="4">
        <v>0.71020408199999996</v>
      </c>
      <c r="P11" s="4">
        <v>0.75177305000000005</v>
      </c>
      <c r="Q11" s="3">
        <v>1</v>
      </c>
    </row>
    <row r="12" spans="2:17" ht="16">
      <c r="B12" s="4">
        <v>0.8</v>
      </c>
      <c r="C12" s="4">
        <v>0</v>
      </c>
      <c r="D12" s="4">
        <v>0.75178997599999997</v>
      </c>
      <c r="E12" s="4">
        <v>0.78969957099999999</v>
      </c>
      <c r="F12" s="4">
        <v>0.82312925199999998</v>
      </c>
      <c r="G12" s="4">
        <v>0.85433070899999997</v>
      </c>
      <c r="H12" s="3">
        <v>1</v>
      </c>
      <c r="I12" s="1"/>
      <c r="K12" s="4">
        <v>0.8</v>
      </c>
      <c r="L12" s="4">
        <v>0</v>
      </c>
      <c r="M12" s="4">
        <v>0.73282442699999994</v>
      </c>
      <c r="N12" s="4">
        <v>0.767164179</v>
      </c>
      <c r="O12" s="4">
        <v>0.79720279699999996</v>
      </c>
      <c r="P12" s="4">
        <v>0.82905982899999997</v>
      </c>
      <c r="Q12" s="3">
        <v>1</v>
      </c>
    </row>
    <row r="13" spans="2:17" ht="16">
      <c r="B13" s="4">
        <v>0.9</v>
      </c>
      <c r="C13" s="4">
        <v>0</v>
      </c>
      <c r="D13" s="4">
        <v>0.83404255299999996</v>
      </c>
      <c r="E13" s="4">
        <v>0.86486486500000004</v>
      </c>
      <c r="F13" s="4">
        <v>0.88979591800000002</v>
      </c>
      <c r="G13" s="4">
        <v>0.91082802500000004</v>
      </c>
      <c r="H13" s="3">
        <v>1</v>
      </c>
      <c r="I13" s="1"/>
      <c r="K13" s="4">
        <v>0.9</v>
      </c>
      <c r="L13" s="4">
        <v>0</v>
      </c>
      <c r="M13" s="4">
        <v>0.82093663900000002</v>
      </c>
      <c r="N13" s="4">
        <v>0.85113268600000003</v>
      </c>
      <c r="O13" s="4">
        <v>0.87188612099999996</v>
      </c>
      <c r="P13" s="4">
        <v>0.89545454499999999</v>
      </c>
      <c r="Q13" s="3">
        <v>1</v>
      </c>
    </row>
    <row r="14" spans="2:17" ht="16">
      <c r="B14" s="4">
        <v>1</v>
      </c>
      <c r="C14" s="4">
        <v>0</v>
      </c>
      <c r="D14" s="4">
        <v>0.92116182599999996</v>
      </c>
      <c r="E14" s="4">
        <v>0.93008474600000002</v>
      </c>
      <c r="F14" s="4">
        <v>0.94921875</v>
      </c>
      <c r="G14" s="4">
        <v>0.96969696999999999</v>
      </c>
      <c r="H14" s="3">
        <v>1</v>
      </c>
      <c r="I14" s="1"/>
      <c r="K14" s="4">
        <v>1</v>
      </c>
      <c r="L14" s="4">
        <v>0</v>
      </c>
      <c r="M14" s="4">
        <v>0.898058252</v>
      </c>
      <c r="N14" s="4">
        <v>0.92537313399999999</v>
      </c>
      <c r="O14" s="4">
        <v>0.94249201299999996</v>
      </c>
      <c r="P14" s="4">
        <v>0.955719557</v>
      </c>
      <c r="Q14" s="3">
        <v>1</v>
      </c>
    </row>
    <row r="15" spans="2:17" ht="16">
      <c r="B15" s="6"/>
      <c r="C15" s="6"/>
      <c r="D15" s="6"/>
      <c r="E15" s="6"/>
      <c r="F15" s="6"/>
      <c r="G15" s="6"/>
      <c r="H15" s="7"/>
      <c r="I15" s="1"/>
      <c r="K15" s="6"/>
      <c r="L15" s="6"/>
      <c r="M15" s="6"/>
      <c r="N15" s="6"/>
      <c r="O15" s="6"/>
      <c r="P15" s="6"/>
      <c r="Q15" s="7"/>
    </row>
    <row r="17" spans="1:11">
      <c r="A17" t="s">
        <v>14</v>
      </c>
      <c r="B17" t="e">
        <f>IF(BOY_agg="",NA(),BOY_agg)</f>
        <v>#N/A</v>
      </c>
      <c r="C17" t="e">
        <f>IF(OR(B17="",B17&lt;0,B17&gt;1),NA(),IF(B17=1,0.999,B17))</f>
        <v>#N/A</v>
      </c>
    </row>
    <row r="18" spans="1:11">
      <c r="A18" t="s">
        <v>82</v>
      </c>
      <c r="B18" t="e">
        <f>IF(MOY_agg="",NA(),MOY_agg)</f>
        <v>#N/A</v>
      </c>
      <c r="C18" t="e">
        <f>IF(OR(B18="",B18&lt;0,B18&gt;1),NA(),IF(B18=1,0.999,B18))</f>
        <v>#N/A</v>
      </c>
    </row>
    <row r="19" spans="1:11">
      <c r="A19" t="s">
        <v>15</v>
      </c>
      <c r="B19" t="e">
        <f>IF(goal_BOY_agg="",NA(),goal_BOY_agg)</f>
        <v>#N/A</v>
      </c>
      <c r="C19" t="e">
        <f>IF(OR(B19="",B19&lt;0,B19&gt;1),NA(),IF(B19=1,0.999,B19))</f>
        <v>#N/A</v>
      </c>
    </row>
    <row r="21" spans="1:11">
      <c r="A21" s="5" t="s">
        <v>12</v>
      </c>
    </row>
    <row r="22" spans="1:11" ht="16">
      <c r="A22" s="2" t="s">
        <v>9</v>
      </c>
      <c r="B22" s="1" t="e">
        <f>SUMPRODUCT((K3:K13&lt;=$C$17)*(K4:K14&gt;$C$17),(K4:K14))</f>
        <v>#N/A</v>
      </c>
      <c r="C22" t="e">
        <f>VLOOKUP($B$22,$K$5:$Q$14,2,FALSE)</f>
        <v>#N/A</v>
      </c>
      <c r="D22" t="e">
        <f>ROUND(VLOOKUP($B$22,$K$5:$Q$14,3,FALSE),2)</f>
        <v>#N/A</v>
      </c>
      <c r="E22" t="e">
        <f>ROUND(VLOOKUP($B$22,$K$5:$Q$14,4,FALSE),2)</f>
        <v>#N/A</v>
      </c>
      <c r="F22" t="e">
        <f>ROUND(VLOOKUP($B$22,$K$5:$Q$14,5,FALSE),2)</f>
        <v>#N/A</v>
      </c>
      <c r="G22" t="e">
        <f>ROUND(VLOOKUP($B$22,$K$5:$Q$14,6,FALSE),2)</f>
        <v>#N/A</v>
      </c>
      <c r="H22" t="e">
        <f>VLOOKUP($B$22,$K$5:$Q$14,7,FALSE)</f>
        <v>#N/A</v>
      </c>
      <c r="J22" s="2"/>
    </row>
    <row r="23" spans="1:11" ht="16">
      <c r="A23" s="2" t="s">
        <v>81</v>
      </c>
      <c r="B23" s="1" t="e">
        <f ca="1">OFFSET(J3,0,SUMPRODUCT((C22:G22&lt;=$C$18)*(D22:H22&gt;$C$18),COLUMN(B22:F22)))</f>
        <v>#N/A</v>
      </c>
      <c r="J23" s="2"/>
      <c r="K23" s="1"/>
    </row>
    <row r="24" spans="1:11" ht="16">
      <c r="A24" s="2"/>
      <c r="B24" s="1"/>
      <c r="J24" s="2"/>
      <c r="K24" s="1"/>
    </row>
    <row r="25" spans="1:11" ht="16">
      <c r="A25" s="5" t="s">
        <v>13</v>
      </c>
      <c r="B25" s="1"/>
      <c r="J25" s="2"/>
      <c r="K25" s="1"/>
    </row>
    <row r="26" spans="1:11" ht="16">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c r="A27" s="2" t="s">
        <v>9</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c r="A28" s="2" t="s">
        <v>6</v>
      </c>
      <c r="B28" t="e">
        <f ca="1">OFFSET(A26,0,MATCH(goal_agg,$B$3:$H$3,FALSE))</f>
        <v>#N/A</v>
      </c>
      <c r="C28" t="e">
        <f ca="1">OFFSET(A26,0,MATCH(goal_agg,$B$3:$H$3,FALSE)+1)</f>
        <v>#N/A</v>
      </c>
      <c r="D28" t="e">
        <f ca="1">CONCATENATE(TEXT(ROUND($B$28,2)*100,"0")," - ",TEXT(ROUND($C$28,2),"0%"))</f>
        <v>#N/A</v>
      </c>
    </row>
    <row r="29" spans="1:11">
      <c r="A29" s="2" t="s">
        <v>8</v>
      </c>
      <c r="B29" t="e">
        <f ca="1">OFFSET(A27,0,MATCH(goal_agg,$K$3:$Q$3,FALSE))</f>
        <v>#N/A</v>
      </c>
      <c r="C29" t="e">
        <f ca="1">OFFSET(A27,0,MATCH(goal_agg,$K$3:$Q$3,FALSE)+1)</f>
        <v>#N/A</v>
      </c>
      <c r="D29" t="e">
        <f ca="1">CONCATENATE(TEXT(ROUND($B$29,2)*100,"0")," - ",TEXT(ROUND($C$29,2),"0%"))</f>
        <v>#N/A</v>
      </c>
    </row>
  </sheetData>
  <sheetProtection algorithmName="SHA-512" hashValue="I4ORXTrEvkLrcqR/p1NzHSysFNNvCpCXuXBpEelqpUwr6ehUTHWrk2/VoTQIa2Cjcd+g7mH6JOsb5lt3KsGc9A==" saltValue="t/eVuz7BqhW0qcM8lNsRoA==" spinCount="100000" sheet="1" objects="1" scenarios="1"/>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9"/>
  <sheetViews>
    <sheetView workbookViewId="0">
      <selection activeCell="C18" sqref="C18"/>
    </sheetView>
  </sheetViews>
  <sheetFormatPr baseColWidth="10" defaultColWidth="8.83203125" defaultRowHeight="15"/>
  <cols>
    <col min="1" max="1" width="18.5" bestFit="1" customWidth="1"/>
    <col min="4" max="4" width="9.6640625" bestFit="1" customWidth="1"/>
  </cols>
  <sheetData>
    <row r="1" spans="2:17">
      <c r="B1" t="s">
        <v>10</v>
      </c>
      <c r="K1" t="s">
        <v>11</v>
      </c>
    </row>
    <row r="3" spans="2:17">
      <c r="B3" s="4" t="s">
        <v>5</v>
      </c>
      <c r="C3" s="4" t="s">
        <v>31</v>
      </c>
      <c r="D3" s="4" t="s">
        <v>17</v>
      </c>
      <c r="E3" s="4" t="s">
        <v>0</v>
      </c>
      <c r="F3" s="4" t="s">
        <v>18</v>
      </c>
      <c r="G3" s="4" t="s">
        <v>32</v>
      </c>
      <c r="H3" s="4"/>
      <c r="K3" s="4" t="s">
        <v>5</v>
      </c>
      <c r="L3" s="4" t="s">
        <v>31</v>
      </c>
      <c r="M3" s="4" t="s">
        <v>17</v>
      </c>
      <c r="N3" s="4" t="s">
        <v>0</v>
      </c>
      <c r="O3" s="4" t="s">
        <v>18</v>
      </c>
      <c r="P3" s="4" t="s">
        <v>32</v>
      </c>
      <c r="Q3" s="4"/>
    </row>
    <row r="4" spans="2:17">
      <c r="B4" s="4">
        <v>0</v>
      </c>
      <c r="C4" s="4"/>
      <c r="D4" s="4"/>
      <c r="E4" s="4"/>
      <c r="F4" s="4"/>
      <c r="G4" s="4"/>
      <c r="H4" s="4"/>
      <c r="K4" s="4">
        <v>0</v>
      </c>
      <c r="L4" s="4"/>
      <c r="M4" s="4"/>
      <c r="N4" s="4"/>
      <c r="O4" s="4"/>
      <c r="P4" s="4"/>
      <c r="Q4" s="4"/>
    </row>
    <row r="5" spans="2:17" ht="16">
      <c r="B5" s="4">
        <v>0.3</v>
      </c>
      <c r="C5" s="4">
        <v>0</v>
      </c>
      <c r="D5" s="4">
        <v>0.29787234000000001</v>
      </c>
      <c r="E5" s="4">
        <v>0.33128834400000001</v>
      </c>
      <c r="F5" s="4">
        <v>0.39572192499999997</v>
      </c>
      <c r="G5" s="4">
        <v>0.43827160500000001</v>
      </c>
      <c r="H5" s="3">
        <v>1</v>
      </c>
      <c r="K5" s="4">
        <v>0.3</v>
      </c>
      <c r="L5" s="4">
        <v>0</v>
      </c>
      <c r="M5" s="4">
        <v>0.21276595700000001</v>
      </c>
      <c r="N5" s="4">
        <v>0.26859504099999998</v>
      </c>
      <c r="O5" s="4">
        <v>0.33333333300000001</v>
      </c>
      <c r="P5" s="4">
        <v>0.368421053</v>
      </c>
      <c r="Q5" s="3">
        <v>1</v>
      </c>
    </row>
    <row r="6" spans="2:17" ht="16">
      <c r="B6" s="4">
        <v>0.4</v>
      </c>
      <c r="C6" s="4">
        <v>0</v>
      </c>
      <c r="D6" s="4">
        <v>0.38541666699999999</v>
      </c>
      <c r="E6" s="4">
        <v>0.43478260899999999</v>
      </c>
      <c r="F6" s="4">
        <v>0.48</v>
      </c>
      <c r="G6" s="4">
        <v>0.52380952400000003</v>
      </c>
      <c r="H6" s="3">
        <v>1</v>
      </c>
      <c r="I6" s="1"/>
      <c r="K6" s="4">
        <v>0.4</v>
      </c>
      <c r="L6" s="4">
        <v>0</v>
      </c>
      <c r="M6" s="4">
        <v>0.33819241999999999</v>
      </c>
      <c r="N6" s="4">
        <v>0.38349514600000001</v>
      </c>
      <c r="O6" s="4">
        <v>0.42198581600000001</v>
      </c>
      <c r="P6" s="4">
        <v>0.460431655</v>
      </c>
      <c r="Q6" s="3">
        <v>1</v>
      </c>
    </row>
    <row r="7" spans="2:17" ht="16">
      <c r="B7" s="4">
        <v>0.45</v>
      </c>
      <c r="C7" s="4">
        <v>0</v>
      </c>
      <c r="D7" s="4">
        <v>0.45814978000000001</v>
      </c>
      <c r="E7" s="4">
        <v>0.504</v>
      </c>
      <c r="F7" s="4">
        <v>0.54572271400000005</v>
      </c>
      <c r="G7" s="4">
        <v>0.60227272700000001</v>
      </c>
      <c r="H7" s="3">
        <v>1</v>
      </c>
      <c r="I7" s="1"/>
      <c r="K7" s="4">
        <v>0.45</v>
      </c>
      <c r="L7" s="4">
        <v>0</v>
      </c>
      <c r="M7" s="4">
        <v>0.42063492099999999</v>
      </c>
      <c r="N7" s="4">
        <v>0.46578947399999998</v>
      </c>
      <c r="O7" s="4">
        <v>0.49863013699999997</v>
      </c>
      <c r="P7" s="4">
        <v>0.53727506400000002</v>
      </c>
      <c r="Q7" s="3">
        <v>1</v>
      </c>
    </row>
    <row r="8" spans="2:17" ht="16">
      <c r="B8" s="4">
        <v>0.5</v>
      </c>
      <c r="C8" s="4">
        <v>0</v>
      </c>
      <c r="D8" s="4">
        <v>0.51731160899999995</v>
      </c>
      <c r="E8" s="4">
        <v>0.55516014199999997</v>
      </c>
      <c r="F8" s="4">
        <v>0.591772152</v>
      </c>
      <c r="G8" s="4">
        <v>0.63468634700000004</v>
      </c>
      <c r="H8" s="3">
        <v>1</v>
      </c>
      <c r="I8" s="1"/>
      <c r="K8" s="4">
        <v>0.5</v>
      </c>
      <c r="L8" s="4">
        <v>0</v>
      </c>
      <c r="M8" s="4">
        <v>0.47058823500000002</v>
      </c>
      <c r="N8" s="4">
        <v>0.50205761299999996</v>
      </c>
      <c r="O8" s="4">
        <v>0.53308823500000002</v>
      </c>
      <c r="P8" s="4">
        <v>0.56666666700000001</v>
      </c>
      <c r="Q8" s="3">
        <v>1</v>
      </c>
    </row>
    <row r="9" spans="2:17" ht="16">
      <c r="B9" s="4">
        <v>0.55000000000000004</v>
      </c>
      <c r="C9" s="4">
        <v>0</v>
      </c>
      <c r="D9" s="4">
        <v>0.56140350900000002</v>
      </c>
      <c r="E9" s="4">
        <v>0.60674157299999998</v>
      </c>
      <c r="F9" s="4">
        <v>0.64269662900000002</v>
      </c>
      <c r="G9" s="4">
        <v>0.68518518500000003</v>
      </c>
      <c r="H9" s="3">
        <v>1</v>
      </c>
      <c r="I9" s="1"/>
      <c r="K9" s="4">
        <v>0.55000000000000004</v>
      </c>
      <c r="L9" s="4">
        <v>0</v>
      </c>
      <c r="M9" s="4">
        <v>0.52173913000000005</v>
      </c>
      <c r="N9" s="4">
        <v>0.55765199200000004</v>
      </c>
      <c r="O9" s="4">
        <v>0.58986175100000005</v>
      </c>
      <c r="P9" s="4">
        <v>0.630901288</v>
      </c>
      <c r="Q9" s="3">
        <v>1</v>
      </c>
    </row>
    <row r="10" spans="2:17" ht="16">
      <c r="B10" s="4">
        <v>0.6</v>
      </c>
      <c r="C10" s="4">
        <v>0</v>
      </c>
      <c r="D10" s="4">
        <v>0.6</v>
      </c>
      <c r="E10" s="4">
        <v>0.64161849699999995</v>
      </c>
      <c r="F10" s="4">
        <v>0.67562723999999996</v>
      </c>
      <c r="G10" s="4">
        <v>0.71525423700000001</v>
      </c>
      <c r="H10" s="3">
        <v>1</v>
      </c>
      <c r="I10" s="1"/>
      <c r="K10" s="4">
        <v>0.6</v>
      </c>
      <c r="L10" s="4">
        <v>0</v>
      </c>
      <c r="M10" s="4">
        <v>0.56228956200000002</v>
      </c>
      <c r="N10" s="4">
        <v>0.59790209800000005</v>
      </c>
      <c r="O10" s="4">
        <v>0.62869198299999995</v>
      </c>
      <c r="P10" s="4">
        <v>0.66447368399999995</v>
      </c>
      <c r="Q10" s="3">
        <v>1</v>
      </c>
    </row>
    <row r="11" spans="2:17" ht="16">
      <c r="B11" s="4">
        <v>0.7</v>
      </c>
      <c r="C11" s="4">
        <v>0</v>
      </c>
      <c r="D11" s="4">
        <v>0.66572237999999995</v>
      </c>
      <c r="E11" s="4">
        <v>0.70676691700000005</v>
      </c>
      <c r="F11" s="4">
        <v>0.73770491800000004</v>
      </c>
      <c r="G11" s="4">
        <v>0.77544910199999995</v>
      </c>
      <c r="H11" s="3">
        <v>1</v>
      </c>
      <c r="I11" s="1"/>
      <c r="K11" s="4">
        <v>0.7</v>
      </c>
      <c r="L11" s="4">
        <v>0</v>
      </c>
      <c r="M11" s="4">
        <v>0.63157894699999995</v>
      </c>
      <c r="N11" s="4">
        <v>0.66754617400000005</v>
      </c>
      <c r="O11" s="4">
        <v>0.69871794899999995</v>
      </c>
      <c r="P11" s="4">
        <v>0.73429951699999996</v>
      </c>
      <c r="Q11" s="3">
        <v>1</v>
      </c>
    </row>
    <row r="12" spans="2:17" ht="16">
      <c r="B12" s="4">
        <v>0.8</v>
      </c>
      <c r="C12" s="4">
        <v>0</v>
      </c>
      <c r="D12" s="4">
        <v>0.75139664799999994</v>
      </c>
      <c r="E12" s="4">
        <v>0.78492239500000005</v>
      </c>
      <c r="F12" s="4">
        <v>0.81333333299999999</v>
      </c>
      <c r="G12" s="4">
        <v>0.84104046200000004</v>
      </c>
      <c r="H12" s="3">
        <v>1</v>
      </c>
      <c r="I12" s="1"/>
      <c r="K12" s="4">
        <v>0.8</v>
      </c>
      <c r="L12" s="4">
        <v>0</v>
      </c>
      <c r="M12" s="4">
        <v>0.72908366499999999</v>
      </c>
      <c r="N12" s="4">
        <v>0.75943396200000002</v>
      </c>
      <c r="O12" s="4">
        <v>0.78424015000000002</v>
      </c>
      <c r="P12" s="4">
        <v>0.81280788199999998</v>
      </c>
      <c r="Q12" s="3">
        <v>1</v>
      </c>
    </row>
    <row r="13" spans="2:17" ht="16">
      <c r="B13" s="4">
        <v>0.9</v>
      </c>
      <c r="C13" s="4">
        <v>0</v>
      </c>
      <c r="D13" s="4">
        <v>0.837837838</v>
      </c>
      <c r="E13" s="4">
        <v>0.86102719000000005</v>
      </c>
      <c r="F13" s="4">
        <v>0.88442211100000001</v>
      </c>
      <c r="G13" s="4">
        <v>0.90756302499999997</v>
      </c>
      <c r="H13" s="3">
        <v>1</v>
      </c>
      <c r="I13" s="1"/>
      <c r="K13" s="4">
        <v>0.9</v>
      </c>
      <c r="L13" s="4">
        <v>0</v>
      </c>
      <c r="M13" s="4">
        <v>0.81571815700000005</v>
      </c>
      <c r="N13" s="4">
        <v>0.84482758599999996</v>
      </c>
      <c r="O13" s="4">
        <v>0.86240786199999997</v>
      </c>
      <c r="P13" s="4">
        <v>0.884146341</v>
      </c>
      <c r="Q13" s="3">
        <v>1</v>
      </c>
    </row>
    <row r="14" spans="2:17" ht="16">
      <c r="B14" s="4">
        <v>1</v>
      </c>
      <c r="C14" s="4">
        <v>0</v>
      </c>
      <c r="D14" s="4">
        <v>0.922110553</v>
      </c>
      <c r="E14" s="4">
        <v>0.93085106399999995</v>
      </c>
      <c r="F14" s="4">
        <v>0.95338983099999997</v>
      </c>
      <c r="G14" s="4">
        <v>0.97198879599999999</v>
      </c>
      <c r="H14" s="3">
        <v>1</v>
      </c>
      <c r="I14" s="1"/>
      <c r="K14" s="4">
        <v>1</v>
      </c>
      <c r="L14" s="4">
        <v>0</v>
      </c>
      <c r="M14" s="4">
        <v>0.90869565200000002</v>
      </c>
      <c r="N14" s="4">
        <v>0.92592592600000001</v>
      </c>
      <c r="O14" s="4">
        <v>0.93902439000000004</v>
      </c>
      <c r="P14" s="4">
        <v>0.95882352900000001</v>
      </c>
      <c r="Q14" s="3">
        <v>1</v>
      </c>
    </row>
    <row r="15" spans="2:17" ht="16">
      <c r="B15" s="6"/>
      <c r="C15" s="6"/>
      <c r="D15" s="6"/>
      <c r="E15" s="6"/>
      <c r="F15" s="6"/>
      <c r="G15" s="6"/>
      <c r="H15" s="7"/>
      <c r="I15" s="1"/>
      <c r="K15" s="6"/>
      <c r="L15" s="6"/>
      <c r="M15" s="6"/>
      <c r="N15" s="6"/>
      <c r="O15" s="6"/>
      <c r="P15" s="6"/>
      <c r="Q15" s="7"/>
    </row>
    <row r="17" spans="1:11">
      <c r="A17" t="s">
        <v>14</v>
      </c>
      <c r="B17" t="e">
        <f>IF(BOY_agg="",NA(),BOY_agg)</f>
        <v>#N/A</v>
      </c>
      <c r="C17" t="e">
        <f>IF(OR(B17="",B17&lt;0,B17&gt;1),NA(),IF(B17=1,0.999,B17))</f>
        <v>#N/A</v>
      </c>
    </row>
    <row r="18" spans="1:11">
      <c r="A18" t="s">
        <v>82</v>
      </c>
      <c r="B18" t="e">
        <f>IF(MOY_agg="",NA(),MOY_agg)</f>
        <v>#N/A</v>
      </c>
      <c r="C18" t="e">
        <f>IF(OR(B18="",B18&lt;0,B18&gt;1),NA(),IF(B18=1,0.999,B18))</f>
        <v>#N/A</v>
      </c>
    </row>
    <row r="19" spans="1:11">
      <c r="A19" t="s">
        <v>15</v>
      </c>
      <c r="B19" t="e">
        <f>IF(goal_BOY_agg="",NA(),goal_BOY_agg)</f>
        <v>#N/A</v>
      </c>
      <c r="C19" t="e">
        <f>IF(OR(B19="",B19&lt;0,B19&gt;1),NA(),IF(B19=1,0.999,B19))</f>
        <v>#N/A</v>
      </c>
    </row>
    <row r="21" spans="1:11">
      <c r="A21" s="5" t="s">
        <v>12</v>
      </c>
    </row>
    <row r="22" spans="1:11" ht="16">
      <c r="A22" s="2" t="s">
        <v>9</v>
      </c>
      <c r="B22" s="1" t="e">
        <f>SUMPRODUCT((K3:K13&lt;=$C$17)*(K4:K14&gt;$C$17),(K4:K14))</f>
        <v>#N/A</v>
      </c>
      <c r="C22" t="e">
        <f>VLOOKUP($B$22,$K$5:$Q$14,2,FALSE)</f>
        <v>#N/A</v>
      </c>
      <c r="D22" t="e">
        <f>ROUND(VLOOKUP($B$22,$K$5:$Q$14,3,FALSE),2)</f>
        <v>#N/A</v>
      </c>
      <c r="E22" t="e">
        <f>ROUND(VLOOKUP($B$22,$K$5:$Q$14,4,FALSE),2)</f>
        <v>#N/A</v>
      </c>
      <c r="F22" t="e">
        <f>ROUND(VLOOKUP($B$22,$K$5:$Q$14,5,FALSE),2)</f>
        <v>#N/A</v>
      </c>
      <c r="G22" t="e">
        <f>ROUND(VLOOKUP($B$22,$K$5:$Q$14,6,FALSE),2)</f>
        <v>#N/A</v>
      </c>
      <c r="H22" t="e">
        <f>VLOOKUP($B$22,$K$5:$Q$14,7,FALSE)</f>
        <v>#N/A</v>
      </c>
      <c r="J22" s="2"/>
    </row>
    <row r="23" spans="1:11" ht="16">
      <c r="A23" s="2" t="s">
        <v>81</v>
      </c>
      <c r="B23" s="1" t="e">
        <f ca="1">OFFSET(J3,0,SUMPRODUCT((C22:G22&lt;=$C$18)*(D22:H22&gt;$C$18),COLUMN(B22:F22)))</f>
        <v>#N/A</v>
      </c>
      <c r="J23" s="2"/>
      <c r="K23" s="1"/>
    </row>
    <row r="24" spans="1:11" ht="16">
      <c r="A24" s="2"/>
      <c r="B24" s="1"/>
      <c r="J24" s="2"/>
      <c r="K24" s="1"/>
    </row>
    <row r="25" spans="1:11" ht="16">
      <c r="A25" s="5" t="s">
        <v>13</v>
      </c>
      <c r="B25" s="1"/>
      <c r="J25" s="2"/>
      <c r="K25" s="1"/>
    </row>
    <row r="26" spans="1:11" ht="16">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1" ht="16">
      <c r="A27" s="2" t="s">
        <v>9</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1">
      <c r="A28" s="2" t="s">
        <v>6</v>
      </c>
      <c r="B28" t="e">
        <f ca="1">OFFSET(A26,0,MATCH(goal_agg,$B$3:$H$3,FALSE))</f>
        <v>#N/A</v>
      </c>
      <c r="C28" t="e">
        <f ca="1">OFFSET(A26,0,MATCH(goal_agg,$B$3:$H$3,FALSE)+1)</f>
        <v>#N/A</v>
      </c>
      <c r="D28" t="e">
        <f ca="1">CONCATENATE(TEXT(ROUND($B$28,2)*100,"0")," - ",TEXT(ROUND($C$28,2),"0%"))</f>
        <v>#N/A</v>
      </c>
    </row>
    <row r="29" spans="1:11">
      <c r="A29" s="2" t="s">
        <v>8</v>
      </c>
      <c r="B29" t="e">
        <f ca="1">OFFSET(A27,0,MATCH(goal_agg,$K$3:$Q$3,FALSE))</f>
        <v>#N/A</v>
      </c>
      <c r="C29" t="e">
        <f ca="1">OFFSET(A27,0,MATCH(goal_agg,$K$3:$Q$3,FALSE)+1)</f>
        <v>#N/A</v>
      </c>
      <c r="D29" t="e">
        <f ca="1">CONCATENATE(TEXT(ROUND($B$29,2)*100,"0")," - ",TEXT(ROUND($C$29,2),"0%"))</f>
        <v>#N/A</v>
      </c>
    </row>
  </sheetData>
  <sheetProtection algorithmName="SHA-512" hashValue="HafqWaouqF/KHLbPn3koqvOSQkcyxiJSbdsNM+/oynjPAoeG4IKycjiYAaVbpgfiuMRosSLYAFoEI2oOKIy3gA==" saltValue="+RYEndnX18N3Is7VERk8DA=="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9"/>
  <sheetViews>
    <sheetView workbookViewId="0">
      <selection activeCell="H18" sqref="H18"/>
    </sheetView>
  </sheetViews>
  <sheetFormatPr baseColWidth="10" defaultColWidth="8.83203125" defaultRowHeight="15"/>
  <cols>
    <col min="1" max="1" width="18.5" bestFit="1" customWidth="1"/>
    <col min="4" max="4" width="9.6640625" bestFit="1" customWidth="1"/>
  </cols>
  <sheetData>
    <row r="1" spans="2:17">
      <c r="B1" t="s">
        <v>10</v>
      </c>
      <c r="K1" t="s">
        <v>11</v>
      </c>
    </row>
    <row r="3" spans="2:17">
      <c r="B3" s="4" t="s">
        <v>5</v>
      </c>
      <c r="C3" s="4" t="s">
        <v>31</v>
      </c>
      <c r="D3" s="4" t="s">
        <v>17</v>
      </c>
      <c r="E3" s="4" t="s">
        <v>0</v>
      </c>
      <c r="F3" s="4" t="s">
        <v>18</v>
      </c>
      <c r="G3" s="4" t="s">
        <v>32</v>
      </c>
      <c r="H3" s="4"/>
      <c r="K3" s="4" t="s">
        <v>5</v>
      </c>
      <c r="L3" s="4" t="s">
        <v>31</v>
      </c>
      <c r="M3" s="4" t="s">
        <v>17</v>
      </c>
      <c r="N3" s="4" t="s">
        <v>0</v>
      </c>
      <c r="O3" s="4" t="s">
        <v>18</v>
      </c>
      <c r="P3" s="4" t="s">
        <v>32</v>
      </c>
      <c r="Q3" s="4"/>
    </row>
    <row r="4" spans="2:17">
      <c r="B4" s="4">
        <v>0</v>
      </c>
      <c r="C4" s="4"/>
      <c r="D4" s="4"/>
      <c r="E4" s="4"/>
      <c r="F4" s="4"/>
      <c r="G4" s="4"/>
      <c r="H4" s="4"/>
      <c r="K4" s="4">
        <v>0</v>
      </c>
      <c r="L4" s="4"/>
      <c r="M4" s="4"/>
      <c r="N4" s="4"/>
      <c r="O4" s="4"/>
      <c r="P4" s="4"/>
      <c r="Q4" s="4"/>
    </row>
    <row r="5" spans="2:17">
      <c r="B5" s="4">
        <v>0.2</v>
      </c>
      <c r="C5" s="4">
        <v>0</v>
      </c>
      <c r="D5" s="4">
        <v>0.20689655200000001</v>
      </c>
      <c r="E5" s="4">
        <v>0.25384615399999999</v>
      </c>
      <c r="F5" s="4">
        <v>0.27777777799999998</v>
      </c>
      <c r="G5" s="4">
        <v>0.28448275899999997</v>
      </c>
      <c r="H5" s="4">
        <v>1</v>
      </c>
      <c r="K5" s="4">
        <v>0.2</v>
      </c>
      <c r="L5" s="4">
        <v>0</v>
      </c>
      <c r="M5" s="4">
        <v>0.15231788099999999</v>
      </c>
      <c r="N5" s="4">
        <v>0.20408163300000001</v>
      </c>
      <c r="O5" s="4">
        <v>0.25757575799999999</v>
      </c>
      <c r="P5" s="4">
        <v>0.31404958700000002</v>
      </c>
      <c r="Q5" s="4">
        <v>1</v>
      </c>
    </row>
    <row r="6" spans="2:17" ht="16">
      <c r="B6" s="4">
        <v>0.3</v>
      </c>
      <c r="C6" s="4">
        <v>0</v>
      </c>
      <c r="D6" s="4">
        <v>0.29285714299999999</v>
      </c>
      <c r="E6" s="4">
        <v>0.32638888900000002</v>
      </c>
      <c r="F6" s="4">
        <v>0.34883720899999998</v>
      </c>
      <c r="G6" s="4">
        <v>0.4</v>
      </c>
      <c r="H6" s="3">
        <v>1</v>
      </c>
      <c r="I6" s="1"/>
      <c r="K6" s="4">
        <v>0.3</v>
      </c>
      <c r="L6" s="4">
        <v>0</v>
      </c>
      <c r="M6" s="4">
        <v>0.23863636399999999</v>
      </c>
      <c r="N6" s="4">
        <v>0.26153846200000003</v>
      </c>
      <c r="O6" s="4">
        <v>0.27131782900000001</v>
      </c>
      <c r="P6" s="4">
        <v>0.39090909099999999</v>
      </c>
      <c r="Q6" s="3">
        <v>1</v>
      </c>
    </row>
    <row r="7" spans="2:17" ht="16">
      <c r="B7" s="4">
        <v>0.4</v>
      </c>
      <c r="C7" s="4">
        <v>0</v>
      </c>
      <c r="D7" s="4">
        <v>0.35294117600000002</v>
      </c>
      <c r="E7" s="4">
        <v>0.39512195100000003</v>
      </c>
      <c r="F7" s="4">
        <v>0.43949044599999998</v>
      </c>
      <c r="G7" s="4">
        <v>0.47580645199999999</v>
      </c>
      <c r="H7" s="3">
        <v>1</v>
      </c>
      <c r="I7" s="1"/>
      <c r="K7" s="4">
        <v>0.4</v>
      </c>
      <c r="L7" s="4">
        <v>0</v>
      </c>
      <c r="M7" s="4">
        <v>0.32972973</v>
      </c>
      <c r="N7" s="4">
        <v>0.35714285699999998</v>
      </c>
      <c r="O7" s="4">
        <v>0.40174672500000003</v>
      </c>
      <c r="P7" s="4">
        <v>0.45049505000000001</v>
      </c>
      <c r="Q7" s="3">
        <v>1</v>
      </c>
    </row>
    <row r="8" spans="2:17" ht="16">
      <c r="B8" s="4">
        <v>0.45</v>
      </c>
      <c r="C8" s="4">
        <v>0</v>
      </c>
      <c r="D8" s="4">
        <v>0.40437158499999998</v>
      </c>
      <c r="E8" s="4">
        <v>0.440860215</v>
      </c>
      <c r="F8" s="4">
        <v>0.491666667</v>
      </c>
      <c r="G8" s="4">
        <v>0.54330708699999997</v>
      </c>
      <c r="H8" s="3">
        <v>1</v>
      </c>
      <c r="I8" s="1"/>
      <c r="K8" s="4">
        <v>0.45</v>
      </c>
      <c r="L8" s="4">
        <v>0</v>
      </c>
      <c r="M8" s="4">
        <v>0.4</v>
      </c>
      <c r="N8" s="4">
        <v>0.42635658900000001</v>
      </c>
      <c r="O8" s="4">
        <v>0.48148148099999999</v>
      </c>
      <c r="P8" s="4">
        <v>0.51034482800000003</v>
      </c>
      <c r="Q8" s="3">
        <v>1</v>
      </c>
    </row>
    <row r="9" spans="2:17" ht="16">
      <c r="B9" s="4">
        <v>0.5</v>
      </c>
      <c r="C9" s="4">
        <v>0</v>
      </c>
      <c r="D9" s="4">
        <v>0.45161290300000001</v>
      </c>
      <c r="E9" s="4">
        <v>0.49756097599999999</v>
      </c>
      <c r="F9" s="4">
        <v>0.53913043500000002</v>
      </c>
      <c r="G9" s="4">
        <v>0.57999999999999996</v>
      </c>
      <c r="H9" s="3">
        <v>1</v>
      </c>
      <c r="I9" s="1"/>
      <c r="K9" s="4">
        <v>0.5</v>
      </c>
      <c r="L9" s="4">
        <v>0</v>
      </c>
      <c r="M9" s="4">
        <v>0.45344129599999999</v>
      </c>
      <c r="N9" s="4">
        <v>0.48730964500000001</v>
      </c>
      <c r="O9" s="4">
        <v>0.513513514</v>
      </c>
      <c r="P9" s="4">
        <v>0.54621848699999997</v>
      </c>
      <c r="Q9" s="3">
        <v>1</v>
      </c>
    </row>
    <row r="10" spans="2:17" ht="16">
      <c r="B10" s="4">
        <v>0.55000000000000004</v>
      </c>
      <c r="C10" s="4">
        <v>0</v>
      </c>
      <c r="D10" s="4">
        <v>0.50923482799999997</v>
      </c>
      <c r="E10" s="4">
        <v>0.54787233999999996</v>
      </c>
      <c r="F10" s="4">
        <v>0.58510638299999995</v>
      </c>
      <c r="G10" s="4">
        <v>0.61764705900000005</v>
      </c>
      <c r="H10" s="3">
        <v>1</v>
      </c>
      <c r="I10" s="1"/>
      <c r="K10" s="4">
        <v>0.55000000000000004</v>
      </c>
      <c r="L10" s="4">
        <v>0</v>
      </c>
      <c r="M10" s="4">
        <v>0.49246231200000001</v>
      </c>
      <c r="N10" s="4">
        <v>0.53036437199999997</v>
      </c>
      <c r="O10" s="4">
        <v>0.55801104999999995</v>
      </c>
      <c r="P10" s="4">
        <v>0.59106529200000002</v>
      </c>
      <c r="Q10" s="3">
        <v>1</v>
      </c>
    </row>
    <row r="11" spans="2:17" ht="16">
      <c r="B11" s="4">
        <v>0.6</v>
      </c>
      <c r="C11" s="4">
        <v>0</v>
      </c>
      <c r="D11" s="4">
        <v>0.54347826099999996</v>
      </c>
      <c r="E11" s="4">
        <v>0.58399999999999996</v>
      </c>
      <c r="F11" s="4">
        <v>0.623809524</v>
      </c>
      <c r="G11" s="4">
        <v>0.66433566399999999</v>
      </c>
      <c r="H11" s="3">
        <v>1</v>
      </c>
      <c r="I11" s="1"/>
      <c r="K11" s="4">
        <v>0.6</v>
      </c>
      <c r="L11" s="4">
        <v>0</v>
      </c>
      <c r="M11" s="4">
        <v>0.53763440900000004</v>
      </c>
      <c r="N11" s="4">
        <v>0.57489878500000002</v>
      </c>
      <c r="O11" s="4">
        <v>0.60846560800000005</v>
      </c>
      <c r="P11" s="4">
        <v>0.64356435599999995</v>
      </c>
      <c r="Q11" s="3">
        <v>1</v>
      </c>
    </row>
    <row r="12" spans="2:17" ht="16">
      <c r="B12" s="4">
        <v>0.7</v>
      </c>
      <c r="C12" s="4">
        <v>0</v>
      </c>
      <c r="D12" s="4">
        <v>0.612716763</v>
      </c>
      <c r="E12" s="4">
        <v>0.65665236100000002</v>
      </c>
      <c r="F12" s="4">
        <v>0.69672131100000001</v>
      </c>
      <c r="G12" s="4">
        <v>0.728971963</v>
      </c>
      <c r="H12" s="3">
        <v>1</v>
      </c>
      <c r="I12" s="1"/>
      <c r="K12" s="4">
        <v>0.7</v>
      </c>
      <c r="L12" s="4">
        <v>0</v>
      </c>
      <c r="M12" s="4">
        <v>0.60493827200000005</v>
      </c>
      <c r="N12" s="4">
        <v>0.64779874199999998</v>
      </c>
      <c r="O12" s="4">
        <v>0.68085106399999995</v>
      </c>
      <c r="P12" s="4">
        <v>0.71465295600000001</v>
      </c>
      <c r="Q12" s="3">
        <v>1</v>
      </c>
    </row>
    <row r="13" spans="2:17" ht="16">
      <c r="B13" s="4">
        <v>0.8</v>
      </c>
      <c r="C13" s="4">
        <v>0</v>
      </c>
      <c r="D13" s="4">
        <v>0.71365638799999997</v>
      </c>
      <c r="E13" s="4">
        <v>0.751037344</v>
      </c>
      <c r="F13" s="4">
        <v>0.77862595400000001</v>
      </c>
      <c r="G13" s="4">
        <v>0.81222707400000005</v>
      </c>
      <c r="H13" s="3">
        <v>1</v>
      </c>
      <c r="I13" s="1"/>
      <c r="K13" s="4">
        <v>0.8</v>
      </c>
      <c r="L13" s="4">
        <v>0</v>
      </c>
      <c r="M13" s="4">
        <v>0.70879120900000003</v>
      </c>
      <c r="N13" s="4">
        <v>0.74103585699999996</v>
      </c>
      <c r="O13" s="4">
        <v>0.76834862400000004</v>
      </c>
      <c r="P13" s="4">
        <v>0.798165138</v>
      </c>
      <c r="Q13" s="3">
        <v>1</v>
      </c>
    </row>
    <row r="14" spans="2:17" ht="16">
      <c r="B14" s="4">
        <v>0.9</v>
      </c>
      <c r="C14" s="4">
        <v>0</v>
      </c>
      <c r="D14" s="4">
        <v>0.81481481499999997</v>
      </c>
      <c r="E14" s="4">
        <v>0.83908046000000003</v>
      </c>
      <c r="F14" s="4">
        <v>0.86445783099999995</v>
      </c>
      <c r="G14" s="4">
        <v>0.88741721900000003</v>
      </c>
      <c r="H14" s="3">
        <v>1</v>
      </c>
      <c r="I14" s="1"/>
      <c r="K14" s="4">
        <v>0.9</v>
      </c>
      <c r="L14" s="4">
        <v>0</v>
      </c>
      <c r="M14" s="4">
        <v>0.81007751900000002</v>
      </c>
      <c r="N14" s="4">
        <v>0.83818770200000003</v>
      </c>
      <c r="O14" s="4">
        <v>0.85777777799999999</v>
      </c>
      <c r="P14" s="4">
        <v>0.87959866200000003</v>
      </c>
      <c r="Q14" s="3">
        <v>1</v>
      </c>
    </row>
    <row r="15" spans="2:17" ht="16">
      <c r="B15" s="4">
        <v>1</v>
      </c>
      <c r="C15" s="4">
        <v>0</v>
      </c>
      <c r="D15" s="4">
        <v>0.90060240999999996</v>
      </c>
      <c r="E15" s="4">
        <v>0.92168674699999997</v>
      </c>
      <c r="F15" s="4">
        <v>0.93624161100000003</v>
      </c>
      <c r="G15" s="4">
        <v>0.96666666700000003</v>
      </c>
      <c r="H15" s="3">
        <v>1</v>
      </c>
      <c r="I15" s="1"/>
      <c r="K15" s="4">
        <v>1</v>
      </c>
      <c r="L15" s="4">
        <v>0</v>
      </c>
      <c r="M15" s="4">
        <v>0.90595611300000001</v>
      </c>
      <c r="N15" s="4">
        <v>0.920382166</v>
      </c>
      <c r="O15" s="4">
        <v>0.94142259399999995</v>
      </c>
      <c r="P15" s="4">
        <v>0.96</v>
      </c>
      <c r="Q15" s="3">
        <v>1</v>
      </c>
    </row>
    <row r="17" spans="1:11">
      <c r="A17" t="s">
        <v>14</v>
      </c>
      <c r="B17" t="e">
        <f>IF(BOY_agg="",NA(),BOY_agg)</f>
        <v>#N/A</v>
      </c>
      <c r="C17" t="e">
        <f>IF(OR(B17="",B17&lt;0,B17&gt;1),NA(),IF(B17=1,0.999,B17))</f>
        <v>#N/A</v>
      </c>
    </row>
    <row r="18" spans="1:11">
      <c r="A18" t="s">
        <v>82</v>
      </c>
      <c r="B18" t="e">
        <f>IF(MOY_agg="",NA(),MOY_agg)</f>
        <v>#N/A</v>
      </c>
      <c r="C18" t="e">
        <f>IF(OR(B18="",B18&lt;0,B18&gt;1),NA(),IF(B18=1,0.999,B18))</f>
        <v>#N/A</v>
      </c>
    </row>
    <row r="19" spans="1:11">
      <c r="A19" t="s">
        <v>15</v>
      </c>
      <c r="B19" t="e">
        <f>IF(goal_BOY_agg="",NA(),goal_BOY_agg)</f>
        <v>#N/A</v>
      </c>
      <c r="C19" t="e">
        <f>IF(OR(B19="",B19&lt;0,B19&gt;1),NA(),IF(B19=1,0.999,B19))</f>
        <v>#N/A</v>
      </c>
    </row>
    <row r="21" spans="1:11">
      <c r="A21" s="5" t="s">
        <v>12</v>
      </c>
    </row>
    <row r="22" spans="1:11" ht="16">
      <c r="A22" s="2" t="s">
        <v>9</v>
      </c>
      <c r="B22" s="1" t="e">
        <f>SUMPRODUCT((K3:K14&lt;=$C$17)*(K4:K15&gt;$C$17),(K4:K15))</f>
        <v>#N/A</v>
      </c>
      <c r="C22" t="e">
        <f>VLOOKUP($B$22,$K$5:$Q$15,2,FALSE)</f>
        <v>#N/A</v>
      </c>
      <c r="D22" t="e">
        <f>ROUND(VLOOKUP($B$22,$K$5:$Q$15,3,FALSE),2)</f>
        <v>#N/A</v>
      </c>
      <c r="E22" t="e">
        <f>ROUND(VLOOKUP($B$22,$K$5:$Q$15,4,FALSE),2)</f>
        <v>#N/A</v>
      </c>
      <c r="F22" t="e">
        <f>ROUND(VLOOKUP($B$22,$K$5:$Q$15,5,FALSE),2)</f>
        <v>#N/A</v>
      </c>
      <c r="G22" t="e">
        <f>ROUND(VLOOKUP($B$22,$K$5:$Q$15,6,FALSE),2)</f>
        <v>#N/A</v>
      </c>
      <c r="H22" t="e">
        <f>ROUND(VLOOKUP($B$22,$K$5:$Q$15,7,FALSE),2)</f>
        <v>#N/A</v>
      </c>
      <c r="J22" s="2"/>
    </row>
    <row r="23" spans="1:11" ht="16">
      <c r="A23" s="2" t="s">
        <v>81</v>
      </c>
      <c r="B23" s="1" t="e">
        <f ca="1">OFFSET(J3,0,SUMPRODUCT((C22:G22&lt;=$C$18)*(D22:H22&gt;$C$18),COLUMN(B22:F22)))</f>
        <v>#N/A</v>
      </c>
      <c r="J23" s="2"/>
      <c r="K23" s="1"/>
    </row>
    <row r="24" spans="1:11" ht="16">
      <c r="A24" s="2"/>
      <c r="B24" s="1"/>
      <c r="J24" s="2"/>
      <c r="K24" s="1"/>
    </row>
    <row r="25" spans="1:11" ht="16">
      <c r="A25" s="5" t="s">
        <v>13</v>
      </c>
      <c r="B25" s="1"/>
      <c r="J25" s="2"/>
      <c r="K25" s="1"/>
    </row>
    <row r="26" spans="1:11" ht="16">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1" ht="16">
      <c r="A27" s="2" t="s">
        <v>9</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1">
      <c r="A28" s="2" t="s">
        <v>6</v>
      </c>
      <c r="B28" t="e">
        <f ca="1">OFFSET(A26,0,MATCH(goal_agg,$B$3:$H$3,FALSE))</f>
        <v>#N/A</v>
      </c>
      <c r="C28" t="e">
        <f ca="1">OFFSET(A26,0,MATCH(goal_agg,$B$3:$H$3,FALSE)+1)</f>
        <v>#N/A</v>
      </c>
      <c r="D28" t="e">
        <f ca="1">CONCATENATE(TEXT(ROUND($B$28,2)*100,"0")," - ",TEXT(ROUND($C$28,2),"0%"))</f>
        <v>#N/A</v>
      </c>
    </row>
    <row r="29" spans="1:11">
      <c r="A29" s="2" t="s">
        <v>8</v>
      </c>
      <c r="B29" t="e">
        <f ca="1">OFFSET(A27,0,MATCH(goal_agg,$K$3:$Q$3,FALSE))</f>
        <v>#N/A</v>
      </c>
      <c r="C29" t="e">
        <f ca="1">OFFSET(A27,0,MATCH(goal_agg,$K$3:$Q$3,FALSE)+1)</f>
        <v>#N/A</v>
      </c>
      <c r="D29" t="e">
        <f ca="1">CONCATENATE(TEXT(ROUND($B$29,2)*100,"0")," - ",TEXT(ROUND($C$29,2),"0%"))</f>
        <v>#N/A</v>
      </c>
    </row>
  </sheetData>
  <sheetProtection algorithmName="SHA-512" hashValue="zTle1kleZLdeOQwDN3xsA0UBIp9KxUdC2moXo304Il2SRzS3eRh9qIokMGmXaTyCvQzIIDasNAurn9gQ9yBSfw==" saltValue="lFLvClwqwkWzM6wCuUetyA==" spinCount="100000" sheet="1" objects="1" scenarios="1"/>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9"/>
  <sheetViews>
    <sheetView zoomScaleNormal="100" workbookViewId="0">
      <selection activeCell="G12" sqref="G12"/>
    </sheetView>
  </sheetViews>
  <sheetFormatPr baseColWidth="10" defaultColWidth="10.83203125" defaultRowHeight="15"/>
  <cols>
    <col min="1" max="2" width="6.5" style="8" customWidth="1"/>
    <col min="3" max="13" width="12.33203125" style="8" customWidth="1"/>
    <col min="14" max="14" width="6.5" style="8" customWidth="1"/>
    <col min="15" max="16384" width="10.83203125" style="8"/>
  </cols>
  <sheetData>
    <row r="1" spans="1:16" ht="24">
      <c r="A1" s="19"/>
      <c r="B1" s="62" t="s">
        <v>67</v>
      </c>
      <c r="C1" s="62"/>
      <c r="D1" s="62"/>
      <c r="E1" s="62"/>
      <c r="F1" s="62"/>
      <c r="G1" s="62"/>
      <c r="H1" s="62"/>
      <c r="I1" s="62"/>
      <c r="J1" s="62"/>
      <c r="K1" s="62"/>
      <c r="L1" s="62"/>
      <c r="M1" s="62"/>
      <c r="N1" s="62"/>
      <c r="O1" s="19"/>
      <c r="P1" s="19"/>
    </row>
    <row r="2" spans="1:16" ht="23">
      <c r="A2" s="19"/>
      <c r="B2" s="63" t="s">
        <v>66</v>
      </c>
      <c r="C2" s="63"/>
      <c r="D2" s="63"/>
      <c r="E2" s="63"/>
      <c r="F2" s="63"/>
      <c r="G2" s="63"/>
      <c r="H2" s="63"/>
      <c r="I2" s="63"/>
      <c r="J2" s="63"/>
      <c r="K2" s="63"/>
      <c r="L2" s="63"/>
      <c r="M2" s="63"/>
      <c r="N2" s="63"/>
      <c r="O2" s="19"/>
      <c r="P2" s="19"/>
    </row>
    <row r="3" spans="1:16" ht="16.5" customHeight="1">
      <c r="A3" s="19"/>
      <c r="B3" s="20"/>
      <c r="C3" s="20"/>
      <c r="D3" s="20"/>
      <c r="E3" s="20"/>
      <c r="F3" s="20"/>
      <c r="G3" s="20"/>
      <c r="H3" s="20"/>
      <c r="I3" s="20"/>
      <c r="J3" s="20"/>
      <c r="K3" s="20"/>
      <c r="L3" s="20"/>
      <c r="M3" s="20"/>
      <c r="N3" s="20"/>
      <c r="O3" s="19"/>
      <c r="P3" s="19"/>
    </row>
    <row r="4" spans="1:16" ht="47.25" customHeight="1">
      <c r="A4" s="19"/>
      <c r="B4" s="56" t="s">
        <v>72</v>
      </c>
      <c r="C4" s="56"/>
      <c r="D4" s="56"/>
      <c r="E4" s="56"/>
      <c r="F4" s="56"/>
      <c r="G4" s="56"/>
      <c r="H4" s="56"/>
      <c r="I4" s="56"/>
      <c r="J4" s="56"/>
      <c r="K4" s="56"/>
      <c r="L4" s="56"/>
      <c r="M4" s="56"/>
      <c r="N4" s="56"/>
      <c r="O4" s="19"/>
      <c r="P4" s="19"/>
    </row>
    <row r="5" spans="1:16" ht="12.75" customHeight="1">
      <c r="A5" s="19"/>
      <c r="B5" s="56"/>
      <c r="C5" s="56"/>
      <c r="D5" s="56"/>
      <c r="E5" s="56"/>
      <c r="F5" s="56"/>
      <c r="G5" s="56"/>
      <c r="H5" s="56"/>
      <c r="I5" s="56"/>
      <c r="J5" s="56"/>
      <c r="K5" s="56"/>
      <c r="L5" s="56"/>
      <c r="M5" s="56"/>
      <c r="N5" s="56"/>
      <c r="O5" s="19"/>
      <c r="P5" s="19"/>
    </row>
    <row r="6" spans="1:16" ht="15" customHeight="1">
      <c r="A6" s="19"/>
      <c r="B6" s="57" t="s">
        <v>84</v>
      </c>
      <c r="C6" s="57"/>
      <c r="D6" s="57"/>
      <c r="E6" s="57"/>
      <c r="F6" s="57"/>
      <c r="G6" s="57"/>
      <c r="H6" s="57"/>
      <c r="I6" s="57"/>
      <c r="J6" s="57"/>
      <c r="K6" s="57"/>
      <c r="L6" s="57"/>
      <c r="M6" s="57"/>
      <c r="N6" s="57"/>
      <c r="O6" s="19"/>
      <c r="P6" s="19"/>
    </row>
    <row r="7" spans="1:16" ht="74.25" customHeight="1">
      <c r="A7" s="19"/>
      <c r="B7" s="56" t="s">
        <v>85</v>
      </c>
      <c r="C7" s="56"/>
      <c r="D7" s="56"/>
      <c r="E7" s="56"/>
      <c r="F7" s="56"/>
      <c r="G7" s="56"/>
      <c r="H7" s="56"/>
      <c r="I7" s="56"/>
      <c r="J7" s="56"/>
      <c r="K7" s="56"/>
      <c r="L7" s="56"/>
      <c r="M7" s="56"/>
      <c r="N7" s="56"/>
      <c r="O7" s="19"/>
      <c r="P7" s="19"/>
    </row>
    <row r="8" spans="1:16" ht="13.5" customHeight="1">
      <c r="A8" s="19"/>
      <c r="B8" s="21"/>
      <c r="C8" s="21"/>
      <c r="D8" s="21"/>
      <c r="E8" s="21"/>
      <c r="F8" s="21"/>
      <c r="G8" s="21"/>
      <c r="H8" s="21"/>
      <c r="I8" s="21"/>
      <c r="J8" s="21"/>
      <c r="K8" s="21"/>
      <c r="L8" s="21"/>
      <c r="M8" s="21"/>
      <c r="N8" s="21"/>
      <c r="O8" s="19"/>
      <c r="P8" s="19"/>
    </row>
    <row r="9" spans="1:16" ht="16">
      <c r="A9" s="19"/>
      <c r="B9" s="57" t="s">
        <v>54</v>
      </c>
      <c r="C9" s="57"/>
      <c r="D9" s="57"/>
      <c r="E9" s="57"/>
      <c r="F9" s="57"/>
      <c r="G9" s="57"/>
      <c r="H9" s="57"/>
      <c r="I9" s="57"/>
      <c r="J9" s="57"/>
      <c r="K9" s="57"/>
      <c r="L9" s="57"/>
      <c r="M9" s="57"/>
      <c r="N9" s="57"/>
      <c r="O9" s="19"/>
      <c r="P9" s="19"/>
    </row>
    <row r="10" spans="1:16" ht="80" customHeight="1">
      <c r="A10" s="19"/>
      <c r="B10" s="58" t="s">
        <v>73</v>
      </c>
      <c r="C10" s="58"/>
      <c r="D10" s="58"/>
      <c r="E10" s="58"/>
      <c r="F10" s="58"/>
      <c r="G10" s="58"/>
      <c r="H10" s="58"/>
      <c r="I10" s="58"/>
      <c r="J10" s="58"/>
      <c r="K10" s="58"/>
      <c r="L10" s="58"/>
      <c r="M10" s="58"/>
      <c r="N10" s="58"/>
      <c r="O10" s="19"/>
      <c r="P10" s="19"/>
    </row>
    <row r="11" spans="1:16" ht="16">
      <c r="A11" s="19"/>
      <c r="B11" s="22"/>
      <c r="C11" s="22"/>
      <c r="D11" s="22"/>
      <c r="E11" s="22"/>
      <c r="F11" s="22"/>
      <c r="G11" s="22"/>
      <c r="H11" s="22"/>
      <c r="I11" s="22"/>
      <c r="J11" s="22"/>
      <c r="K11" s="22"/>
      <c r="L11" s="22"/>
      <c r="M11" s="22"/>
      <c r="N11" s="22"/>
      <c r="O11" s="19"/>
      <c r="P11" s="19"/>
    </row>
    <row r="12" spans="1:16" ht="34">
      <c r="A12" s="19"/>
      <c r="B12" s="22"/>
      <c r="C12" s="28" t="s">
        <v>30</v>
      </c>
      <c r="D12" s="29" t="s">
        <v>35</v>
      </c>
      <c r="E12" s="23"/>
      <c r="F12" s="28" t="s">
        <v>39</v>
      </c>
      <c r="G12" s="29" t="s">
        <v>35</v>
      </c>
      <c r="H12" s="23"/>
      <c r="I12" s="23"/>
      <c r="J12" s="23"/>
      <c r="K12" s="23"/>
      <c r="L12" s="59"/>
      <c r="M12" s="59"/>
      <c r="N12" s="22"/>
      <c r="O12" s="19"/>
      <c r="P12" s="19"/>
    </row>
    <row r="13" spans="1:16" ht="16">
      <c r="A13" s="19"/>
      <c r="B13" s="22"/>
      <c r="C13" s="24"/>
      <c r="D13" s="24"/>
      <c r="E13" s="23"/>
      <c r="F13" s="23"/>
      <c r="G13" s="23"/>
      <c r="H13" s="23"/>
      <c r="I13" s="23"/>
      <c r="J13" s="23"/>
      <c r="K13" s="23"/>
      <c r="L13" s="25"/>
      <c r="M13" s="25"/>
      <c r="N13" s="22"/>
      <c r="O13" s="19"/>
      <c r="P13" s="19"/>
    </row>
    <row r="14" spans="1:16" ht="16">
      <c r="A14" s="19"/>
      <c r="B14" s="22"/>
      <c r="C14" s="61" t="s">
        <v>36</v>
      </c>
      <c r="D14" s="60" t="s">
        <v>37</v>
      </c>
      <c r="E14" s="60"/>
      <c r="F14" s="60"/>
      <c r="G14" s="60"/>
      <c r="H14" s="60"/>
      <c r="I14" s="60" t="s">
        <v>38</v>
      </c>
      <c r="J14" s="60"/>
      <c r="K14" s="60"/>
      <c r="L14" s="60"/>
      <c r="M14" s="60"/>
      <c r="N14" s="22"/>
      <c r="O14" s="19"/>
      <c r="P14" s="19"/>
    </row>
    <row r="15" spans="1:16" ht="48" customHeight="1">
      <c r="A15" s="19"/>
      <c r="B15" s="22"/>
      <c r="C15" s="61"/>
      <c r="D15" s="40" t="s">
        <v>31</v>
      </c>
      <c r="E15" s="43" t="s">
        <v>17</v>
      </c>
      <c r="F15" s="43" t="s">
        <v>0</v>
      </c>
      <c r="G15" s="44" t="s">
        <v>18</v>
      </c>
      <c r="H15" s="44" t="s">
        <v>32</v>
      </c>
      <c r="I15" s="40" t="s">
        <v>31</v>
      </c>
      <c r="J15" s="43" t="s">
        <v>17</v>
      </c>
      <c r="K15" s="43" t="s">
        <v>0</v>
      </c>
      <c r="L15" s="44" t="s">
        <v>18</v>
      </c>
      <c r="M15" s="44" t="s">
        <v>32</v>
      </c>
      <c r="N15" s="22"/>
      <c r="O15" s="19"/>
      <c r="P15" s="19"/>
    </row>
    <row r="16" spans="1:16" ht="16">
      <c r="A16" s="19"/>
      <c r="B16" s="22"/>
      <c r="C16" s="30" t="str">
        <f ca="1">IFERROR(CONCATENATE(TEXT(INDIRECT("'"&amp;ranges_tab&amp;"'!K4")*100,"0")," - ",TEXT(INDIRECT("'"&amp;ranges_tab&amp;"'!K5"),"0%")),"")</f>
        <v/>
      </c>
      <c r="D16" s="31" t="str">
        <f ca="1">IFERROR(CONCATENATE(TEXT(ROUND(INDIRECT("'"&amp;ranges_tab&amp;"'!L5"),2)*100,"0")," - ",TEXT(ROUND(INDIRECT("'"&amp;ranges_tab&amp;"'!M5"),2),"0%")),"")</f>
        <v/>
      </c>
      <c r="E16" s="31" t="str">
        <f ca="1">IFERROR(CONCATENATE(TEXT(ROUND(INDIRECT("'"&amp;ranges_tab&amp;"'!M5"),2)*100,"0")," - ",TEXT(ROUND(INDIRECT("'"&amp;ranges_tab&amp;"'!N5"),2),"0%")),"")</f>
        <v/>
      </c>
      <c r="F16" s="31" t="str">
        <f ca="1">IFERROR(CONCATENATE(TEXT(ROUND(INDIRECT("'"&amp;ranges_tab&amp;"'!N5"),2)*100,"0")," - ",TEXT(ROUND(INDIRECT("'"&amp;ranges_tab&amp;"'!O5"),2),"0%")),"")</f>
        <v/>
      </c>
      <c r="G16" s="31" t="str">
        <f ca="1">IFERROR(CONCATENATE(TEXT(ROUND(INDIRECT("'"&amp;ranges_tab&amp;"'!O5")*100,2),"0")," - ",TEXT(ROUND(INDIRECT("'"&amp;ranges_tab&amp;"'!P5"),2),"0%")),"")</f>
        <v/>
      </c>
      <c r="H16" s="31" t="str">
        <f ca="1">IFERROR(CONCATENATE(TEXT(ROUND(INDIRECT("'"&amp;ranges_tab&amp;"'!P5"),2)*100,"0")," - ",TEXT(ROUND(INDIRECT("'"&amp;ranges_tab&amp;"'!Q5"),2),"0%")),"")</f>
        <v/>
      </c>
      <c r="I16" s="31" t="str">
        <f ca="1">IFERROR(CONCATENATE(TEXT(ROUND(INDIRECT("'"&amp;ranges_tab&amp;"'!C5"),2)*100,"0")," - ",TEXT(ROUND(INDIRECT("'"&amp;ranges_tab&amp;"'!D5"),2),"0%")),"")</f>
        <v/>
      </c>
      <c r="J16" s="31" t="str">
        <f ca="1">IFERROR(CONCATENATE(TEXT(ROUND(INDIRECT("'"&amp;ranges_tab&amp;"'!D5")*100,2),"0")," - ",TEXT(ROUND(INDIRECT("'"&amp;ranges_tab&amp;"'!E5"),2),"0%")),"")</f>
        <v/>
      </c>
      <c r="K16" s="31" t="str">
        <f ca="1">IFERROR(CONCATENATE(TEXT(ROUND(INDIRECT("'"&amp;ranges_tab&amp;"'!E5")*100,2),"0")," - ",TEXT(ROUND(INDIRECT("'"&amp;ranges_tab&amp;"'!F5"),2),"0%")),"")</f>
        <v/>
      </c>
      <c r="L16" s="31" t="str">
        <f ca="1">IFERROR(CONCATENATE(TEXT(ROUND(INDIRECT("'"&amp;ranges_tab&amp;"'!F5"),2)*100,"0")," - ",TEXT(ROUND(INDIRECT("'"&amp;ranges_tab&amp;"'!G5"),2),"0%")),"")</f>
        <v/>
      </c>
      <c r="M16" s="31" t="str">
        <f ca="1">IFERROR(CONCATENATE(TEXT(ROUND(INDIRECT("'"&amp;ranges_tab&amp;"'!G5"),2)*100,"0")," - ",TEXT(ROUND(INDIRECT("'"&amp;ranges_tab&amp;"'!H5"),2),"0%")),"")</f>
        <v/>
      </c>
      <c r="N16" s="22"/>
      <c r="O16" s="19"/>
      <c r="P16" s="19"/>
    </row>
    <row r="17" spans="1:16" ht="16">
      <c r="A17" s="19"/>
      <c r="B17" s="22"/>
      <c r="C17" s="30" t="str">
        <f ca="1">IFERROR(IF(INDIRECT("'"&amp;ranges_tab&amp;"'!K6")=0,"",CONCATENATE(TEXT(INDIRECT("'"&amp;ranges_tab&amp;"'!K5")*100,"0")," - ",TEXT(INDIRECT("'"&amp;ranges_tab&amp;"'!K6"),"0%"))),"")</f>
        <v/>
      </c>
      <c r="D17" s="31" t="str">
        <f ca="1">IFERROR(CONCATENATE(TEXT(ROUND(INDIRECT("'"&amp;ranges_tab&amp;"'!L6"),2)*100,"0")," - ",TEXT(ROUND(INDIRECT("'"&amp;ranges_tab&amp;"'!M6"),2),"0%")),"")</f>
        <v/>
      </c>
      <c r="E17" s="31" t="str">
        <f ca="1">IFERROR(CONCATENATE(TEXT(ROUND(INDIRECT("'"&amp;ranges_tab&amp;"'!M6"),2)*100,"0")," - ",TEXT(ROUND(INDIRECT("'"&amp;ranges_tab&amp;"'!N6"),2),"0%")),"")</f>
        <v/>
      </c>
      <c r="F17" s="31" t="str">
        <f ca="1">IFERROR(CONCATENATE(TEXT(ROUND(INDIRECT("'"&amp;ranges_tab&amp;"'!N6"),2)*100,"0")," - ",TEXT(ROUND(INDIRECT("'"&amp;ranges_tab&amp;"'!O6"),2),"0%")),"")</f>
        <v/>
      </c>
      <c r="G17" s="31" t="str">
        <f ca="1">IFERROR(CONCATENATE(TEXT(ROUND(INDIRECT("'"&amp;ranges_tab&amp;"'!O6")*100,2),"0")," - ",TEXT(ROUND(INDIRECT("'"&amp;ranges_tab&amp;"'!P6"),2),"0%")),"")</f>
        <v/>
      </c>
      <c r="H17" s="31" t="str">
        <f ca="1">IFERROR(CONCATENATE(TEXT(ROUND(INDIRECT("'"&amp;ranges_tab&amp;"'!P6"),2)*100,"0")," - ",TEXT(ROUND(INDIRECT("'"&amp;ranges_tab&amp;"'!Q6"),2),"0%")),"")</f>
        <v/>
      </c>
      <c r="I17" s="31" t="str">
        <f ca="1">IFERROR(CONCATENATE(TEXT(ROUND(INDIRECT("'"&amp;ranges_tab&amp;"'!C6"),2)*100,"0")," - ",TEXT(ROUND(INDIRECT("'"&amp;ranges_tab&amp;"'!D6"),2),"0%")),"")</f>
        <v/>
      </c>
      <c r="J17" s="31" t="str">
        <f ca="1">IFERROR(CONCATENATE(TEXT(ROUND(INDIRECT("'"&amp;ranges_tab&amp;"'!D6")*100,2),"0")," - ",TEXT(ROUND(INDIRECT("'"&amp;ranges_tab&amp;"'!E6"),2),"0%")),"")</f>
        <v/>
      </c>
      <c r="K17" s="31" t="str">
        <f ca="1">IFERROR(CONCATENATE(TEXT(ROUND(INDIRECT("'"&amp;ranges_tab&amp;"'!E6")*100,2),"0")," - ",TEXT(ROUND(INDIRECT("'"&amp;ranges_tab&amp;"'!F6"),2),"0%")),"")</f>
        <v/>
      </c>
      <c r="L17" s="31" t="str">
        <f ca="1">IFERROR(CONCATENATE(TEXT(ROUND(INDIRECT("'"&amp;ranges_tab&amp;"'!F6"),2)*100,"0")," - ",TEXT(ROUND(INDIRECT("'"&amp;ranges_tab&amp;"'!G6"),2),"0%")),"")</f>
        <v/>
      </c>
      <c r="M17" s="31" t="str">
        <f ca="1">IFERROR(CONCATENATE(TEXT(ROUND(INDIRECT("'"&amp;ranges_tab&amp;"'!G6"),2)*100,"0")," - ",TEXT(ROUND(INDIRECT("'"&amp;ranges_tab&amp;"'!H6"),2),"0%")),"")</f>
        <v/>
      </c>
      <c r="N17" s="22"/>
      <c r="O17" s="19"/>
      <c r="P17" s="19"/>
    </row>
    <row r="18" spans="1:16" ht="16">
      <c r="A18" s="19"/>
      <c r="B18" s="22"/>
      <c r="C18" s="30" t="str">
        <f ca="1">IFERROR(IF(INDIRECT("'"&amp;ranges_tab&amp;"'!K7")=0,"",CONCATENATE(TEXT(INDIRECT("'"&amp;ranges_tab&amp;"'!K6")*100,"0")," - ",TEXT(INDIRECT("'"&amp;ranges_tab&amp;"'!K7"),"0%"))),"")</f>
        <v/>
      </c>
      <c r="D18" s="31" t="str">
        <f ca="1">IFERROR(CONCATENATE(TEXT(ROUND(INDIRECT("'"&amp;ranges_tab&amp;"'!L7"),2)*100,"0")," - ",TEXT(ROUND(INDIRECT("'"&amp;ranges_tab&amp;"'!M7"),2),"0%")),"")</f>
        <v/>
      </c>
      <c r="E18" s="31" t="str">
        <f ca="1">IFERROR(CONCATENATE(TEXT(ROUND(INDIRECT("'"&amp;ranges_tab&amp;"'!M7"),2)*100,"0")," - ",TEXT(ROUND(INDIRECT("'"&amp;ranges_tab&amp;"'!N7"),2),"0%")),"")</f>
        <v/>
      </c>
      <c r="F18" s="31" t="str">
        <f ca="1">IFERROR(CONCATENATE(TEXT(ROUND(INDIRECT("'"&amp;ranges_tab&amp;"'!N7"),2)*100,"0")," - ",TEXT(ROUND(INDIRECT("'"&amp;ranges_tab&amp;"'!O7"),2),"0%")),"")</f>
        <v/>
      </c>
      <c r="G18" s="31" t="str">
        <f ca="1">IFERROR(CONCATENATE(TEXT(ROUND(INDIRECT("'"&amp;ranges_tab&amp;"'!O7")*100,2),"0")," - ",TEXT(ROUND(INDIRECT("'"&amp;ranges_tab&amp;"'!P7"),2),"0%")),"")</f>
        <v/>
      </c>
      <c r="H18" s="31" t="str">
        <f ca="1">IFERROR(CONCATENATE(TEXT(ROUND(INDIRECT("'"&amp;ranges_tab&amp;"'!P7"),2)*100,"0")," - ",TEXT(ROUND(INDIRECT("'"&amp;ranges_tab&amp;"'!Q7"),2),"0%")),"")</f>
        <v/>
      </c>
      <c r="I18" s="31" t="str">
        <f ca="1">IFERROR(CONCATENATE(TEXT(ROUND(INDIRECT("'"&amp;ranges_tab&amp;"'!C7"),2)*100,"0")," - ",TEXT(ROUND(INDIRECT("'"&amp;ranges_tab&amp;"'!D7"),2),"0%")),"")</f>
        <v/>
      </c>
      <c r="J18" s="31" t="str">
        <f ca="1">IFERROR(CONCATENATE(TEXT(ROUND(INDIRECT("'"&amp;ranges_tab&amp;"'!D7")*100,2),"0")," - ",TEXT(ROUND(INDIRECT("'"&amp;ranges_tab&amp;"'!E7"),2),"0%")),"")</f>
        <v/>
      </c>
      <c r="K18" s="31" t="str">
        <f ca="1">IFERROR(CONCATENATE(TEXT(ROUND(INDIRECT("'"&amp;ranges_tab&amp;"'!E7")*100,2),"0")," - ",TEXT(ROUND(INDIRECT("'"&amp;ranges_tab&amp;"'!F7"),2),"0%")),"")</f>
        <v/>
      </c>
      <c r="L18" s="31" t="str">
        <f ca="1">IFERROR(CONCATENATE(TEXT(ROUND(INDIRECT("'"&amp;ranges_tab&amp;"'!F7"),2)*100,"0")," - ",TEXT(ROUND(INDIRECT("'"&amp;ranges_tab&amp;"'!G7"),2),"0%")),"")</f>
        <v/>
      </c>
      <c r="M18" s="31" t="str">
        <f ca="1">IFERROR(CONCATENATE(TEXT(ROUND(INDIRECT("'"&amp;ranges_tab&amp;"'!G7"),2)*100,"0")," - ",TEXT(ROUND(INDIRECT("'"&amp;ranges_tab&amp;"'!H7"),2),"0%")),"")</f>
        <v/>
      </c>
      <c r="N18" s="22"/>
      <c r="O18" s="19"/>
      <c r="P18" s="19"/>
    </row>
    <row r="19" spans="1:16" ht="16">
      <c r="A19" s="19"/>
      <c r="B19" s="22"/>
      <c r="C19" s="30" t="str">
        <f ca="1">IFERROR(IF(INDIRECT("'"&amp;ranges_tab&amp;"'!K8")=0,"",CONCATENATE(TEXT(INDIRECT("'"&amp;ranges_tab&amp;"'!K7")*100,"0")," - ",TEXT(INDIRECT("'"&amp;ranges_tab&amp;"'!K8"),"0%"))),"")</f>
        <v/>
      </c>
      <c r="D19" s="31" t="str">
        <f ca="1">IFERROR(CONCATENATE(TEXT(ROUND(INDIRECT("'"&amp;ranges_tab&amp;"'!L8"),2)*100,"0")," - ",TEXT(ROUND(INDIRECT("'"&amp;ranges_tab&amp;"'!M8"),2),"0%")),"")</f>
        <v/>
      </c>
      <c r="E19" s="31" t="str">
        <f ca="1">IFERROR(CONCATENATE(TEXT(ROUND(INDIRECT("'"&amp;ranges_tab&amp;"'!M8"),2)*100,"0")," - ",TEXT(ROUND(INDIRECT("'"&amp;ranges_tab&amp;"'!N8"),2),"0%")),"")</f>
        <v/>
      </c>
      <c r="F19" s="31" t="str">
        <f ca="1">IFERROR(CONCATENATE(TEXT(ROUND(INDIRECT("'"&amp;ranges_tab&amp;"'!N8"),2)*100,"0")," - ",TEXT(ROUND(INDIRECT("'"&amp;ranges_tab&amp;"'!O8"),2),"0%")),"")</f>
        <v/>
      </c>
      <c r="G19" s="31" t="str">
        <f ca="1">IFERROR(CONCATENATE(TEXT(ROUND(INDIRECT("'"&amp;ranges_tab&amp;"'!O8")*100,2),"0")," - ",TEXT(ROUND(INDIRECT("'"&amp;ranges_tab&amp;"'!P8"),2),"0%")),"")</f>
        <v/>
      </c>
      <c r="H19" s="31" t="str">
        <f ca="1">IFERROR(CONCATENATE(TEXT(ROUND(INDIRECT("'"&amp;ranges_tab&amp;"'!P8"),2)*100,"0")," - ",TEXT(ROUND(INDIRECT("'"&amp;ranges_tab&amp;"'!Q8"),2),"0%")),"")</f>
        <v/>
      </c>
      <c r="I19" s="31" t="str">
        <f ca="1">IFERROR(CONCATENATE(TEXT(ROUND(INDIRECT("'"&amp;ranges_tab&amp;"'!C8"),2)*100,"0")," - ",TEXT(ROUND(INDIRECT("'"&amp;ranges_tab&amp;"'!D8"),2),"0%")),"")</f>
        <v/>
      </c>
      <c r="J19" s="31" t="str">
        <f ca="1">IFERROR(CONCATENATE(TEXT(ROUND(INDIRECT("'"&amp;ranges_tab&amp;"'!D8")*100,2),"0")," - ",TEXT(ROUND(INDIRECT("'"&amp;ranges_tab&amp;"'!E8"),2),"0%")),"")</f>
        <v/>
      </c>
      <c r="K19" s="31" t="str">
        <f ca="1">IFERROR(CONCATENATE(TEXT(ROUND(INDIRECT("'"&amp;ranges_tab&amp;"'!E8")*100,2),"0")," - ",TEXT(ROUND(INDIRECT("'"&amp;ranges_tab&amp;"'!F8"),2),"0%")),"")</f>
        <v/>
      </c>
      <c r="L19" s="31" t="str">
        <f ca="1">IFERROR(CONCATENATE(TEXT(ROUND(INDIRECT("'"&amp;ranges_tab&amp;"'!F8"),2)*100,"0")," - ",TEXT(ROUND(INDIRECT("'"&amp;ranges_tab&amp;"'!G8"),2),"0%")),"")</f>
        <v/>
      </c>
      <c r="M19" s="31" t="str">
        <f ca="1">IFERROR(CONCATENATE(TEXT(ROUND(INDIRECT("'"&amp;ranges_tab&amp;"'!G8"),2)*100,"0")," - ",TEXT(ROUND(INDIRECT("'"&amp;ranges_tab&amp;"'!H8"),2),"0%")),"")</f>
        <v/>
      </c>
      <c r="N19" s="22"/>
      <c r="O19" s="19"/>
      <c r="P19" s="19"/>
    </row>
    <row r="20" spans="1:16" ht="16">
      <c r="A20" s="19"/>
      <c r="B20" s="22"/>
      <c r="C20" s="30" t="str">
        <f ca="1">IFERROR(IF(INDIRECT("'"&amp;ranges_tab&amp;"'!K9")=0,"",CONCATENATE(TEXT(INDIRECT("'"&amp;ranges_tab&amp;"'!K8")*100,"0")," - ",TEXT(INDIRECT("'"&amp;ranges_tab&amp;"'!K9"),"0%"))),"")</f>
        <v/>
      </c>
      <c r="D20" s="31" t="str">
        <f ca="1">IFERROR(CONCATENATE(TEXT(ROUND(INDIRECT("'"&amp;ranges_tab&amp;"'!L9"),2)*100,"0")," - ",TEXT(ROUND(INDIRECT("'"&amp;ranges_tab&amp;"'!M9"),2),"0%")),"")</f>
        <v/>
      </c>
      <c r="E20" s="31" t="str">
        <f ca="1">IFERROR(CONCATENATE(TEXT(ROUND(INDIRECT("'"&amp;ranges_tab&amp;"'!M9"),2)*100,"0")," - ",TEXT(ROUND(INDIRECT("'"&amp;ranges_tab&amp;"'!N9"),2),"0%")),"")</f>
        <v/>
      </c>
      <c r="F20" s="31" t="str">
        <f ca="1">IFERROR(CONCATENATE(TEXT(ROUND(INDIRECT("'"&amp;ranges_tab&amp;"'!N9"),2)*100,"0")," - ",TEXT(ROUND(INDIRECT("'"&amp;ranges_tab&amp;"'!O9"),2),"0%")),"")</f>
        <v/>
      </c>
      <c r="G20" s="31" t="str">
        <f ca="1">IFERROR(CONCATENATE(TEXT(ROUND(INDIRECT("'"&amp;ranges_tab&amp;"'!O9")*100,2),"0")," - ",TEXT(ROUND(INDIRECT("'"&amp;ranges_tab&amp;"'!P9"),2),"0%")),"")</f>
        <v/>
      </c>
      <c r="H20" s="31" t="str">
        <f ca="1">IFERROR(CONCATENATE(TEXT(ROUND(INDIRECT("'"&amp;ranges_tab&amp;"'!P9"),2)*100,"0")," - ",TEXT(ROUND(INDIRECT("'"&amp;ranges_tab&amp;"'!Q9"),2),"0%")),"")</f>
        <v/>
      </c>
      <c r="I20" s="31" t="str">
        <f ca="1">IFERROR(CONCATENATE(TEXT(ROUND(INDIRECT("'"&amp;ranges_tab&amp;"'!C9"),2)*100,"0")," - ",TEXT(ROUND(INDIRECT("'"&amp;ranges_tab&amp;"'!D9"),2),"0%")),"")</f>
        <v/>
      </c>
      <c r="J20" s="31" t="str">
        <f ca="1">IFERROR(CONCATENATE(TEXT(ROUND(INDIRECT("'"&amp;ranges_tab&amp;"'!D9")*100,2),"0")," - ",TEXT(ROUND(INDIRECT("'"&amp;ranges_tab&amp;"'!E9"),2),"0%")),"")</f>
        <v/>
      </c>
      <c r="K20" s="31" t="str">
        <f ca="1">IFERROR(CONCATENATE(TEXT(ROUND(INDIRECT("'"&amp;ranges_tab&amp;"'!E9")*100,2),"0")," - ",TEXT(ROUND(INDIRECT("'"&amp;ranges_tab&amp;"'!F9"),2),"0%")),"")</f>
        <v/>
      </c>
      <c r="L20" s="31" t="str">
        <f ca="1">IFERROR(CONCATENATE(TEXT(ROUND(INDIRECT("'"&amp;ranges_tab&amp;"'!F9"),2)*100,"0")," - ",TEXT(ROUND(INDIRECT("'"&amp;ranges_tab&amp;"'!G9"),2),"0%")),"")</f>
        <v/>
      </c>
      <c r="M20" s="31" t="str">
        <f ca="1">IFERROR(CONCATENATE(TEXT(ROUND(INDIRECT("'"&amp;ranges_tab&amp;"'!G9"),2)*100,"0")," - ",TEXT(ROUND(INDIRECT("'"&amp;ranges_tab&amp;"'!H9"),2),"0%")),"")</f>
        <v/>
      </c>
      <c r="N20" s="22"/>
      <c r="O20" s="19"/>
      <c r="P20" s="19"/>
    </row>
    <row r="21" spans="1:16" ht="16">
      <c r="A21" s="19"/>
      <c r="B21" s="22"/>
      <c r="C21" s="30" t="str">
        <f ca="1">IFERROR(IF(INDIRECT("'"&amp;ranges_tab&amp;"'!K10")=0,"",CONCATENATE(TEXT(INDIRECT("'"&amp;ranges_tab&amp;"'!K9")*100,"0")," - ",TEXT(INDIRECT("'"&amp;ranges_tab&amp;"'!K10"),"0%"))),"")</f>
        <v/>
      </c>
      <c r="D21" s="31" t="str">
        <f ca="1">IFERROR(CONCATENATE(TEXT(ROUND(INDIRECT("'"&amp;ranges_tab&amp;"'!L10"),2)*100,"0")," - ",TEXT(ROUND(INDIRECT("'"&amp;ranges_tab&amp;"'!M10"),2),"0%")),"")</f>
        <v/>
      </c>
      <c r="E21" s="31" t="str">
        <f ca="1">IFERROR(CONCATENATE(TEXT(ROUND(INDIRECT("'"&amp;ranges_tab&amp;"'!M10"),2)*100,"0")," - ",TEXT(ROUND(INDIRECT("'"&amp;ranges_tab&amp;"'!N10"),2),"0%")),"")</f>
        <v/>
      </c>
      <c r="F21" s="31" t="str">
        <f ca="1">IFERROR(CONCATENATE(TEXT(ROUND(INDIRECT("'"&amp;ranges_tab&amp;"'!N10"),2)*100,"0")," - ",TEXT(ROUND(INDIRECT("'"&amp;ranges_tab&amp;"'!O10"),2),"0%")),"")</f>
        <v/>
      </c>
      <c r="G21" s="31" t="str">
        <f ca="1">IFERROR(CONCATENATE(TEXT(ROUND(INDIRECT("'"&amp;ranges_tab&amp;"'!O10")*100,2),"0")," - ",TEXT(ROUND(INDIRECT("'"&amp;ranges_tab&amp;"'!P10"),2),"0%")),"")</f>
        <v/>
      </c>
      <c r="H21" s="31" t="str">
        <f ca="1">IFERROR(CONCATENATE(TEXT(ROUND(INDIRECT("'"&amp;ranges_tab&amp;"'!P10"),2)*100,"0")," - ",TEXT(ROUND(INDIRECT("'"&amp;ranges_tab&amp;"'!Q10"),2),"0%")),"")</f>
        <v/>
      </c>
      <c r="I21" s="31" t="str">
        <f ca="1">IFERROR(CONCATENATE(TEXT(ROUND(INDIRECT("'"&amp;ranges_tab&amp;"'!C10"),2)*100,"0")," - ",TEXT(ROUND(INDIRECT("'"&amp;ranges_tab&amp;"'!D10"),2),"0%")),"")</f>
        <v/>
      </c>
      <c r="J21" s="31" t="str">
        <f ca="1">IFERROR(CONCATENATE(TEXT(ROUND(INDIRECT("'"&amp;ranges_tab&amp;"'!D10")*100,2),"0")," - ",TEXT(ROUND(INDIRECT("'"&amp;ranges_tab&amp;"'!E10"),2),"0%")),"")</f>
        <v/>
      </c>
      <c r="K21" s="31" t="str">
        <f ca="1">IFERROR(CONCATENATE(TEXT(ROUND(INDIRECT("'"&amp;ranges_tab&amp;"'!E10")*100,2),"0")," - ",TEXT(ROUND(INDIRECT("'"&amp;ranges_tab&amp;"'!F10"),2),"0%")),"")</f>
        <v/>
      </c>
      <c r="L21" s="31" t="str">
        <f ca="1">IFERROR(CONCATENATE(TEXT(ROUND(INDIRECT("'"&amp;ranges_tab&amp;"'!F10"),2)*100,"0")," - ",TEXT(ROUND(INDIRECT("'"&amp;ranges_tab&amp;"'!G10"),2),"0%")),"")</f>
        <v/>
      </c>
      <c r="M21" s="31" t="str">
        <f ca="1">IFERROR(CONCATENATE(TEXT(ROUND(INDIRECT("'"&amp;ranges_tab&amp;"'!G10"),2)*100,"0")," - ",TEXT(ROUND(INDIRECT("'"&amp;ranges_tab&amp;"'!H10"),2),"0%")),"")</f>
        <v/>
      </c>
      <c r="N21" s="22"/>
      <c r="O21" s="19"/>
      <c r="P21" s="19"/>
    </row>
    <row r="22" spans="1:16" ht="16">
      <c r="A22" s="19"/>
      <c r="B22" s="22"/>
      <c r="C22" s="30" t="str">
        <f ca="1">IFERROR(IF(INDIRECT("'"&amp;ranges_tab&amp;"'!K11")=0,"",CONCATENATE(TEXT(INDIRECT("'"&amp;ranges_tab&amp;"'!K10")*100,"0")," - ",TEXT(INDIRECT("'"&amp;ranges_tab&amp;"'!K11"),"0%"))),"")</f>
        <v/>
      </c>
      <c r="D22" s="31" t="str">
        <f ca="1">IFERROR(CONCATENATE(TEXT(ROUND(INDIRECT("'"&amp;ranges_tab&amp;"'!L11"),2)*100,"0")," - ",TEXT(ROUND(INDIRECT("'"&amp;ranges_tab&amp;"'!M11"),2),"0%")),"")</f>
        <v/>
      </c>
      <c r="E22" s="31" t="str">
        <f ca="1">IFERROR(CONCATENATE(TEXT(ROUND(INDIRECT("'"&amp;ranges_tab&amp;"'!M11"),2)*100,"0")," - ",TEXT(ROUND(INDIRECT("'"&amp;ranges_tab&amp;"'!N11"),2),"0%")),"")</f>
        <v/>
      </c>
      <c r="F22" s="31" t="str">
        <f ca="1">IFERROR(CONCATENATE(TEXT(ROUND(INDIRECT("'"&amp;ranges_tab&amp;"'!N11"),2)*100,"0")," - ",TEXT(ROUND(INDIRECT("'"&amp;ranges_tab&amp;"'!O11"),2),"0%")),"")</f>
        <v/>
      </c>
      <c r="G22" s="31" t="str">
        <f ca="1">IFERROR(CONCATENATE(TEXT(ROUND(INDIRECT("'"&amp;ranges_tab&amp;"'!O11")*100,2),"0")," - ",TEXT(ROUND(INDIRECT("'"&amp;ranges_tab&amp;"'!P11"),2),"0%")),"")</f>
        <v/>
      </c>
      <c r="H22" s="31" t="str">
        <f ca="1">IFERROR(CONCATENATE(TEXT(ROUND(INDIRECT("'"&amp;ranges_tab&amp;"'!P11"),2)*100,"0")," - ",TEXT(ROUND(INDIRECT("'"&amp;ranges_tab&amp;"'!Q11"),2),"0%")),"")</f>
        <v/>
      </c>
      <c r="I22" s="31" t="str">
        <f ca="1">IFERROR(CONCATENATE(TEXT(ROUND(INDIRECT("'"&amp;ranges_tab&amp;"'!C11"),2)*100,"0")," - ",TEXT(ROUND(INDIRECT("'"&amp;ranges_tab&amp;"'!D11"),2),"0%")),"")</f>
        <v/>
      </c>
      <c r="J22" s="31" t="str">
        <f ca="1">IFERROR(CONCATENATE(TEXT(ROUND(INDIRECT("'"&amp;ranges_tab&amp;"'!D11")*100,2),"0")," - ",TEXT(ROUND(INDIRECT("'"&amp;ranges_tab&amp;"'!E11"),2),"0%")),"")</f>
        <v/>
      </c>
      <c r="K22" s="31" t="str">
        <f ca="1">IFERROR(CONCATENATE(TEXT(ROUND(INDIRECT("'"&amp;ranges_tab&amp;"'!E11")*100,2),"0")," - ",TEXT(ROUND(INDIRECT("'"&amp;ranges_tab&amp;"'!F11"),2),"0%")),"")</f>
        <v/>
      </c>
      <c r="L22" s="31" t="str">
        <f ca="1">IFERROR(CONCATENATE(TEXT(ROUND(INDIRECT("'"&amp;ranges_tab&amp;"'!F11"),2)*100,"0")," - ",TEXT(ROUND(INDIRECT("'"&amp;ranges_tab&amp;"'!G11"),2),"0%")),"")</f>
        <v/>
      </c>
      <c r="M22" s="31" t="str">
        <f ca="1">IFERROR(CONCATENATE(TEXT(ROUND(INDIRECT("'"&amp;ranges_tab&amp;"'!G11"),2)*100,"0")," - ",TEXT(ROUND(INDIRECT("'"&amp;ranges_tab&amp;"'!H11"),2),"0%")),"")</f>
        <v/>
      </c>
      <c r="N22" s="22"/>
      <c r="O22" s="19"/>
      <c r="P22" s="19"/>
    </row>
    <row r="23" spans="1:16" ht="16">
      <c r="A23" s="19"/>
      <c r="B23" s="22"/>
      <c r="C23" s="30" t="str">
        <f ca="1">IFERROR(IF(INDIRECT("'"&amp;ranges_tab&amp;"'!K12")=0,"",CONCATENATE(TEXT(INDIRECT("'"&amp;ranges_tab&amp;"'!K11")*100,"0")," - ",TEXT(INDIRECT("'"&amp;ranges_tab&amp;"'!K12"),"0%"))),"")</f>
        <v/>
      </c>
      <c r="D23" s="31" t="str">
        <f ca="1">IFERROR(CONCATENATE(TEXT(ROUND(INDIRECT("'"&amp;ranges_tab&amp;"'!L12"),2)*100,"0")," - ",TEXT(ROUND(INDIRECT("'"&amp;ranges_tab&amp;"'!M12"),2),"0%")),"")</f>
        <v/>
      </c>
      <c r="E23" s="31" t="str">
        <f ca="1">IFERROR(CONCATENATE(TEXT(ROUND(INDIRECT("'"&amp;ranges_tab&amp;"'!M12"),2)*100,"0")," - ",TEXT(ROUND(INDIRECT("'"&amp;ranges_tab&amp;"'!N12"),2),"0%")),"")</f>
        <v/>
      </c>
      <c r="F23" s="31" t="str">
        <f ca="1">IFERROR(CONCATENATE(TEXT(ROUND(INDIRECT("'"&amp;ranges_tab&amp;"'!N12"),2)*100,"0")," - ",TEXT(ROUND(INDIRECT("'"&amp;ranges_tab&amp;"'!O12"),2),"0%")),"")</f>
        <v/>
      </c>
      <c r="G23" s="31" t="str">
        <f ca="1">IFERROR(CONCATENATE(TEXT(ROUND(INDIRECT("'"&amp;ranges_tab&amp;"'!O12")*100,2),"0")," - ",TEXT(ROUND(INDIRECT("'"&amp;ranges_tab&amp;"'!P12"),2),"0%")),"")</f>
        <v/>
      </c>
      <c r="H23" s="31" t="str">
        <f ca="1">IFERROR(CONCATENATE(TEXT(ROUND(INDIRECT("'"&amp;ranges_tab&amp;"'!P12"),2)*100,"0")," - ",TEXT(ROUND(INDIRECT("'"&amp;ranges_tab&amp;"'!Q12"),2),"0%")),"")</f>
        <v/>
      </c>
      <c r="I23" s="31" t="str">
        <f ca="1">IFERROR(CONCATENATE(TEXT(ROUND(INDIRECT("'"&amp;ranges_tab&amp;"'!C12"),2)*100,"0")," - ",TEXT(ROUND(INDIRECT("'"&amp;ranges_tab&amp;"'!D12"),2),"0%")),"")</f>
        <v/>
      </c>
      <c r="J23" s="31" t="str">
        <f ca="1">IFERROR(CONCATENATE(TEXT(ROUND(INDIRECT("'"&amp;ranges_tab&amp;"'!D12")*100,2),"0")," - ",TEXT(ROUND(INDIRECT("'"&amp;ranges_tab&amp;"'!E12"),2),"0%")),"")</f>
        <v/>
      </c>
      <c r="K23" s="31" t="str">
        <f ca="1">IFERROR(CONCATENATE(TEXT(ROUND(INDIRECT("'"&amp;ranges_tab&amp;"'!E12")*100,2),"0")," - ",TEXT(ROUND(INDIRECT("'"&amp;ranges_tab&amp;"'!F12"),2),"0%")),"")</f>
        <v/>
      </c>
      <c r="L23" s="31" t="str">
        <f ca="1">IFERROR(CONCATENATE(TEXT(ROUND(INDIRECT("'"&amp;ranges_tab&amp;"'!F12"),2)*100,"0")," - ",TEXT(ROUND(INDIRECT("'"&amp;ranges_tab&amp;"'!G12"),2),"0%")),"")</f>
        <v/>
      </c>
      <c r="M23" s="31" t="str">
        <f ca="1">IFERROR(CONCATENATE(TEXT(ROUND(INDIRECT("'"&amp;ranges_tab&amp;"'!G12"),2)*100,"0")," - ",TEXT(ROUND(INDIRECT("'"&amp;ranges_tab&amp;"'!H12"),2),"0%")),"")</f>
        <v/>
      </c>
      <c r="N23" s="22"/>
      <c r="O23" s="19"/>
      <c r="P23" s="19"/>
    </row>
    <row r="24" spans="1:16" ht="16">
      <c r="A24" s="19"/>
      <c r="B24" s="22"/>
      <c r="C24" s="30" t="str">
        <f ca="1">IFERROR(IF(INDIRECT("'"&amp;ranges_tab&amp;"'!K13")=0,"",CONCATENATE(TEXT(INDIRECT("'"&amp;ranges_tab&amp;"'!K12")*100,"0")," - ",TEXT(INDIRECT("'"&amp;ranges_tab&amp;"'!K13"),"0%"))),"")</f>
        <v/>
      </c>
      <c r="D24" s="31" t="str">
        <f ca="1">IFERROR(IF(INDIRECT("'"&amp;ranges_tab&amp;"'!M13")=0,"",CONCATENATE(TEXT(ROUND(INDIRECT("'"&amp;ranges_tab&amp;"'!L13"),2)*100,"0")," - ",TEXT(ROUND(INDIRECT("'"&amp;ranges_tab&amp;"'!M13"),2),"0%"))),"")</f>
        <v/>
      </c>
      <c r="E24" s="31" t="str">
        <f ca="1">IFERROR(IF(INDIRECT("'"&amp;ranges_tab&amp;"'!M13")=0,"",CONCATENATE(TEXT(ROUND(INDIRECT("'"&amp;ranges_tab&amp;"'!M13"),2)*100,"0")," - ",TEXT(ROUND(INDIRECT("'"&amp;ranges_tab&amp;"'!N13"),2),"0%"))),"")</f>
        <v/>
      </c>
      <c r="F24" s="31" t="str">
        <f ca="1">IFERROR(IF(INDIRECT("'"&amp;ranges_tab&amp;"'!N13")=0,"",CONCATENATE(TEXT(ROUND(INDIRECT("'"&amp;ranges_tab&amp;"'!N13"),2)*100,"0")," - ",TEXT(ROUND(INDIRECT("'"&amp;ranges_tab&amp;"'!O13"),2),"0%"))),"")</f>
        <v/>
      </c>
      <c r="G24" s="31" t="str">
        <f ca="1">IFERROR(IF(INDIRECT("'"&amp;ranges_tab&amp;"'!O13")=0,"",CONCATENATE(TEXT(ROUND(INDIRECT("'"&amp;ranges_tab&amp;"'!O13"),2)*100,"0")," - ",TEXT(ROUND(INDIRECT("'"&amp;ranges_tab&amp;"'!P13"),2),"0%"))),"")</f>
        <v/>
      </c>
      <c r="H24" s="31" t="str">
        <f ca="1">IFERROR(IF(INDIRECT("'"&amp;ranges_tab&amp;"'!P13")=0,"",CONCATENATE(TEXT(ROUND(INDIRECT("'"&amp;ranges_tab&amp;"'!P13"),2)*100,"0")," - ",TEXT(ROUND(INDIRECT("'"&amp;ranges_tab&amp;"'!Q13"),2),"0%"))),"")</f>
        <v/>
      </c>
      <c r="I24" s="31" t="str">
        <f ca="1">IFERROR(IF(INDIRECT("'"&amp;ranges_tab&amp;"'!D13")=0,"",CONCATENATE(TEXT(ROUND(INDIRECT("'"&amp;ranges_tab&amp;"'!C13"),2)*100,"0")," - ",TEXT(ROUND(INDIRECT("'"&amp;ranges_tab&amp;"'!D13"),2),"0%"))),"")</f>
        <v/>
      </c>
      <c r="J24" s="31" t="str">
        <f ca="1">IFERROR(IF(INDIRECT("'"&amp;ranges_tab&amp;"'!D13")=0,"",CONCATENATE(TEXT(ROUND(INDIRECT("'"&amp;ranges_tab&amp;"'!D13"),2)*100,"0")," - ",TEXT(ROUND(INDIRECT("'"&amp;ranges_tab&amp;"'!E13"),2),"0%"))),"")</f>
        <v/>
      </c>
      <c r="K24" s="31" t="str">
        <f ca="1">IFERROR(IF(INDIRECT("'"&amp;ranges_tab&amp;"'!E13")=0,"",CONCATENATE(TEXT(ROUND(INDIRECT("'"&amp;ranges_tab&amp;"'!E13"),2)*100,"0")," - ",TEXT(ROUND(INDIRECT("'"&amp;ranges_tab&amp;"'!F13"),2),"0%"))),"")</f>
        <v/>
      </c>
      <c r="L24" s="31" t="str">
        <f ca="1">IFERROR(IF(INDIRECT("'"&amp;ranges_tab&amp;"'!F13")=0,"",CONCATENATE(TEXT(ROUND(INDIRECT("'"&amp;ranges_tab&amp;"'!F13"),2)*100,"0")," - ",TEXT(ROUND(INDIRECT("'"&amp;ranges_tab&amp;"'!G13"),2),"0%"))),"")</f>
        <v/>
      </c>
      <c r="M24" s="31" t="str">
        <f ca="1">IFERROR(IF(INDIRECT("'"&amp;ranges_tab&amp;"'!G13")=0,"",CONCATENATE(TEXT(ROUND(INDIRECT("'"&amp;ranges_tab&amp;"'!G13"),2)*100,"0")," - ",TEXT(ROUND(INDIRECT("'"&amp;ranges_tab&amp;"'!H13"),2),"0%"))),"")</f>
        <v/>
      </c>
      <c r="N24" s="22"/>
      <c r="O24" s="19"/>
      <c r="P24" s="19"/>
    </row>
    <row r="25" spans="1:16" ht="16">
      <c r="A25" s="19"/>
      <c r="B25" s="22"/>
      <c r="C25" s="30" t="str">
        <f ca="1">IFERROR(IF(INDIRECT("'"&amp;ranges_tab&amp;"'!K14")=0,"",CONCATENATE(TEXT(INDIRECT("'"&amp;ranges_tab&amp;"'!K13")*100,"0")," - ",TEXT(INDIRECT("'"&amp;ranges_tab&amp;"'!K14"),"0%"))),"")</f>
        <v/>
      </c>
      <c r="D25" s="31" t="str">
        <f ca="1">IFERROR(IF(INDIRECT("'"&amp;ranges_tab&amp;"'!M14")=0,"",CONCATENATE(TEXT(ROUND(INDIRECT("'"&amp;ranges_tab&amp;"'!L14"),2)*100,"0")," - ",TEXT(ROUND(INDIRECT("'"&amp;ranges_tab&amp;"'!M14"),2),"0%"))),"")</f>
        <v/>
      </c>
      <c r="E25" s="31" t="str">
        <f ca="1">IFERROR(IF(INDIRECT("'"&amp;ranges_tab&amp;"'!M14")=0,"",CONCATENATE(TEXT(ROUND(INDIRECT("'"&amp;ranges_tab&amp;"'!M14"),2)*100,"0")," - ",TEXT(ROUND(INDIRECT("'"&amp;ranges_tab&amp;"'!N14"),2),"0%"))),"")</f>
        <v/>
      </c>
      <c r="F25" s="31" t="str">
        <f ca="1">IFERROR(IF(INDIRECT("'"&amp;ranges_tab&amp;"'!N14")=0,"",CONCATENATE(TEXT(ROUND(INDIRECT("'"&amp;ranges_tab&amp;"'!N14"),2)*100,"0")," - ",TEXT(ROUND(INDIRECT("'"&amp;ranges_tab&amp;"'!O14"),2),"0%"))),"")</f>
        <v/>
      </c>
      <c r="G25" s="31" t="str">
        <f ca="1">IFERROR(IF(INDIRECT("'"&amp;ranges_tab&amp;"'!O14")=0,"",CONCATENATE(TEXT(ROUND(INDIRECT("'"&amp;ranges_tab&amp;"'!O14"),2)*100,"0")," - ",TEXT(ROUND(INDIRECT("'"&amp;ranges_tab&amp;"'!P14"),2),"0%"))),"")</f>
        <v/>
      </c>
      <c r="H25" s="31" t="str">
        <f ca="1">IFERROR(IF(INDIRECT("'"&amp;ranges_tab&amp;"'!P14")=0,"",CONCATENATE(TEXT(ROUND(INDIRECT("'"&amp;ranges_tab&amp;"'!P14"),2)*100,"0")," - ",TEXT(ROUND(INDIRECT("'"&amp;ranges_tab&amp;"'!Q14"),2),"0%"))),"")</f>
        <v/>
      </c>
      <c r="I25" s="31" t="str">
        <f ca="1">IFERROR(IF(INDIRECT("'"&amp;ranges_tab&amp;"'!D14")=0,"",CONCATENATE(TEXT(ROUND(INDIRECT("'"&amp;ranges_tab&amp;"'!C14"),2)*100,"0")," - ",TEXT(ROUND(INDIRECT("'"&amp;ranges_tab&amp;"'!D14"),2),"0%"))),"")</f>
        <v/>
      </c>
      <c r="J25" s="31" t="str">
        <f ca="1">IFERROR(IF(INDIRECT("'"&amp;ranges_tab&amp;"'!D14")=0,"",CONCATENATE(TEXT(ROUND(INDIRECT("'"&amp;ranges_tab&amp;"'!D14"),2)*100,"0")," - ",TEXT(ROUND(INDIRECT("'"&amp;ranges_tab&amp;"'!E14"),2),"0%"))),"")</f>
        <v/>
      </c>
      <c r="K25" s="31" t="str">
        <f ca="1">IFERROR(IF(INDIRECT("'"&amp;ranges_tab&amp;"'!E14")=0,"",CONCATENATE(TEXT(ROUND(INDIRECT("'"&amp;ranges_tab&amp;"'!E14"),2)*100,"0")," - ",TEXT(ROUND(INDIRECT("'"&amp;ranges_tab&amp;"'!F14"),2),"0%"))),"")</f>
        <v/>
      </c>
      <c r="L25" s="31" t="str">
        <f ca="1">IFERROR(IF(INDIRECT("'"&amp;ranges_tab&amp;"'!F14")=0,"",CONCATENATE(TEXT(ROUND(INDIRECT("'"&amp;ranges_tab&amp;"'!F14"),2)*100,"0")," - ",TEXT(ROUND(INDIRECT("'"&amp;ranges_tab&amp;"'!G14"),2),"0%"))),"")</f>
        <v/>
      </c>
      <c r="M25" s="31" t="str">
        <f ca="1">IFERROR(IF(INDIRECT("'"&amp;ranges_tab&amp;"'!G14")=0,"",CONCATENATE(TEXT(ROUND(INDIRECT("'"&amp;ranges_tab&amp;"'!G14"),2)*100,"0")," - ",TEXT(ROUND(INDIRECT("'"&amp;ranges_tab&amp;"'!H14"),2),"0%"))),"")</f>
        <v/>
      </c>
      <c r="N25" s="22"/>
      <c r="O25" s="19"/>
      <c r="P25" s="19"/>
    </row>
    <row r="26" spans="1:16" ht="16">
      <c r="A26" s="19"/>
      <c r="B26" s="22"/>
      <c r="C26" s="30" t="str">
        <f ca="1">IFERROR(IF(INDIRECT("'"&amp;ranges_tab&amp;"'!K15")=0,"",CONCATENATE(TEXT(INDIRECT("'"&amp;ranges_tab&amp;"'!K14")*100,"0")," - ",TEXT(INDIRECT("'"&amp;ranges_tab&amp;"'!K15"),"0%"))),"")</f>
        <v/>
      </c>
      <c r="D26" s="31" t="str">
        <f ca="1">IFERROR(IF(INDIRECT("'"&amp;ranges_tab&amp;"'!M15")=0,"",CONCATENATE(TEXT(ROUND(INDIRECT("'"&amp;ranges_tab&amp;"'!L15"),2)*100,"0")," - ",TEXT(ROUND(INDIRECT("'"&amp;ranges_tab&amp;"'!M15"),2),"0%"))),"")</f>
        <v/>
      </c>
      <c r="E26" s="31" t="str">
        <f ca="1">IFERROR(IF(INDIRECT("'"&amp;ranges_tab&amp;"'!M15")=0,"",CONCATENATE(TEXT(ROUND(INDIRECT("'"&amp;ranges_tab&amp;"'!M15"),2)*100,"0")," - ",TEXT(ROUND(INDIRECT("'"&amp;ranges_tab&amp;"'!N15"),2),"0%"))),"")</f>
        <v/>
      </c>
      <c r="F26" s="31" t="str">
        <f ca="1">IFERROR(IF(INDIRECT("'"&amp;ranges_tab&amp;"'!N15")=0,"",CONCATENATE(TEXT(ROUND(INDIRECT("'"&amp;ranges_tab&amp;"'!N15"),2)*100,"0")," - ",TEXT(ROUND(INDIRECT("'"&amp;ranges_tab&amp;"'!O15"),2),"0%"))),"")</f>
        <v/>
      </c>
      <c r="G26" s="31" t="str">
        <f ca="1">IFERROR(IF(INDIRECT("'"&amp;ranges_tab&amp;"'!O15")=0,"",CONCATENATE(TEXT(ROUND(INDIRECT("'"&amp;ranges_tab&amp;"'!O15"),2)*100,"0")," - ",TEXT(ROUND(INDIRECT("'"&amp;ranges_tab&amp;"'!P15"),2),"0%"))),"")</f>
        <v/>
      </c>
      <c r="H26" s="31" t="str">
        <f ca="1">IFERROR(IF(INDIRECT("'"&amp;ranges_tab&amp;"'!P15")=0,"",CONCATENATE(TEXT(ROUND(INDIRECT("'"&amp;ranges_tab&amp;"'!P15"),2)*100,"0")," - ",TEXT(ROUND(INDIRECT("'"&amp;ranges_tab&amp;"'!Q15"),2),"0%"))),"")</f>
        <v/>
      </c>
      <c r="I26" s="31" t="str">
        <f ca="1">IFERROR(IF(INDIRECT("'"&amp;ranges_tab&amp;"'!D15")=0,"",CONCATENATE(TEXT(ROUND(INDIRECT("'"&amp;ranges_tab&amp;"'!C15"),2)*100,"0")," - ",TEXT(ROUND(INDIRECT("'"&amp;ranges_tab&amp;"'!D15"),2),"0%"))),"")</f>
        <v/>
      </c>
      <c r="J26" s="31" t="str">
        <f ca="1">IFERROR(IF(INDIRECT("'"&amp;ranges_tab&amp;"'!D15")=0,"",CONCATENATE(TEXT(ROUND(INDIRECT("'"&amp;ranges_tab&amp;"'!D15"),2)*100,"0")," - ",TEXT(ROUND(INDIRECT("'"&amp;ranges_tab&amp;"'!E15"),2),"0%"))),"")</f>
        <v/>
      </c>
      <c r="K26" s="31" t="str">
        <f ca="1">IFERROR(IF(INDIRECT("'"&amp;ranges_tab&amp;"'!E15")=0,"",CONCATENATE(TEXT(ROUND(INDIRECT("'"&amp;ranges_tab&amp;"'!E15"),2)*100,"0")," - ",TEXT(ROUND(INDIRECT("'"&amp;ranges_tab&amp;"'!F15"),2),"0%"))),"")</f>
        <v/>
      </c>
      <c r="L26" s="31" t="str">
        <f ca="1">IFERROR(IF(INDIRECT("'"&amp;ranges_tab&amp;"'!F15")=0,"",CONCATENATE(TEXT(ROUND(INDIRECT("'"&amp;ranges_tab&amp;"'!F15"),2)*100,"0")," - ",TEXT(ROUND(INDIRECT("'"&amp;ranges_tab&amp;"'!G15"),2),"0%"))),"")</f>
        <v/>
      </c>
      <c r="M26" s="31" t="str">
        <f ca="1">IFERROR(IF(INDIRECT("'"&amp;ranges_tab&amp;"'!G15")=0,"",CONCATENATE(TEXT(ROUND(INDIRECT("'"&amp;ranges_tab&amp;"'!G15"),2)*100,"0")," - ",TEXT(ROUND(INDIRECT("'"&amp;ranges_tab&amp;"'!H15"),2),"0%"))),"")</f>
        <v/>
      </c>
      <c r="N26" s="22"/>
      <c r="O26" s="19"/>
      <c r="P26" s="19"/>
    </row>
    <row r="27" spans="1:16" ht="16">
      <c r="A27" s="19"/>
      <c r="B27" s="22"/>
      <c r="C27" s="30"/>
      <c r="D27" s="31"/>
      <c r="E27" s="31"/>
      <c r="F27" s="31"/>
      <c r="G27" s="31"/>
      <c r="H27" s="31"/>
      <c r="I27" s="31"/>
      <c r="J27" s="31"/>
      <c r="K27" s="31"/>
      <c r="L27" s="31"/>
      <c r="M27" s="31"/>
      <c r="N27" s="22"/>
      <c r="O27" s="19"/>
      <c r="P27" s="19"/>
    </row>
    <row r="28" spans="1:16" ht="16">
      <c r="A28" s="19"/>
      <c r="B28" s="22"/>
      <c r="C28" s="30"/>
      <c r="D28" s="31"/>
      <c r="E28" s="31"/>
      <c r="F28" s="31"/>
      <c r="G28" s="31"/>
      <c r="H28" s="31"/>
      <c r="I28" s="31"/>
      <c r="J28" s="31"/>
      <c r="K28" s="31"/>
      <c r="L28" s="31"/>
      <c r="M28" s="31"/>
      <c r="N28" s="22"/>
      <c r="O28" s="19"/>
      <c r="P28" s="19"/>
    </row>
    <row r="29" spans="1:16" ht="16">
      <c r="A29" s="19"/>
      <c r="B29" s="22"/>
      <c r="C29" s="36"/>
      <c r="D29" s="31"/>
      <c r="E29" s="31"/>
      <c r="F29" s="31"/>
      <c r="G29" s="31"/>
      <c r="H29" s="31"/>
      <c r="I29" s="31"/>
      <c r="J29" s="31"/>
      <c r="K29" s="31"/>
      <c r="L29" s="31"/>
      <c r="M29" s="31"/>
      <c r="N29" s="22"/>
      <c r="O29" s="19"/>
      <c r="P29" s="19"/>
    </row>
    <row r="30" spans="1:16" ht="16">
      <c r="A30" s="19"/>
      <c r="B30" s="22"/>
      <c r="C30" s="36"/>
      <c r="D30" s="31"/>
      <c r="E30" s="31"/>
      <c r="F30" s="31"/>
      <c r="G30" s="31"/>
      <c r="H30" s="31"/>
      <c r="I30" s="31"/>
      <c r="J30" s="31"/>
      <c r="K30" s="31"/>
      <c r="L30" s="31"/>
      <c r="M30" s="31"/>
      <c r="N30" s="22"/>
      <c r="O30" s="19"/>
      <c r="P30" s="19"/>
    </row>
    <row r="31" spans="1:16" ht="16">
      <c r="A31" s="19"/>
      <c r="B31" s="22"/>
      <c r="C31" s="36"/>
      <c r="D31" s="31"/>
      <c r="E31" s="31"/>
      <c r="F31" s="31"/>
      <c r="G31" s="31"/>
      <c r="H31" s="31"/>
      <c r="I31" s="31"/>
      <c r="J31" s="31"/>
      <c r="K31" s="31"/>
      <c r="L31" s="31"/>
      <c r="M31" s="31"/>
      <c r="N31" s="22"/>
      <c r="O31" s="19"/>
      <c r="P31" s="19"/>
    </row>
    <row r="32" spans="1:16" ht="16">
      <c r="A32" s="19"/>
      <c r="B32" s="22"/>
      <c r="C32" s="36"/>
      <c r="D32" s="31"/>
      <c r="E32" s="31"/>
      <c r="F32" s="31"/>
      <c r="G32" s="31"/>
      <c r="H32" s="31"/>
      <c r="I32" s="31"/>
      <c r="J32" s="31"/>
      <c r="K32" s="31"/>
      <c r="L32" s="31"/>
      <c r="M32" s="31"/>
      <c r="N32" s="22"/>
      <c r="O32" s="19"/>
      <c r="P32" s="19"/>
    </row>
    <row r="33" spans="1:16" ht="16">
      <c r="A33" s="19"/>
      <c r="B33" s="22"/>
      <c r="C33" s="30"/>
      <c r="D33" s="31"/>
      <c r="E33" s="31"/>
      <c r="F33" s="31"/>
      <c r="G33" s="31"/>
      <c r="H33" s="31"/>
      <c r="I33" s="31"/>
      <c r="J33" s="31"/>
      <c r="K33" s="31"/>
      <c r="L33" s="31"/>
      <c r="M33" s="31"/>
      <c r="N33" s="22"/>
      <c r="O33" s="19"/>
      <c r="P33" s="19"/>
    </row>
    <row r="34" spans="1:16" ht="16">
      <c r="A34" s="19"/>
      <c r="B34" s="22"/>
      <c r="C34" s="22"/>
      <c r="D34" s="22"/>
      <c r="E34" s="22"/>
      <c r="F34" s="22"/>
      <c r="G34" s="22"/>
      <c r="H34" s="22"/>
      <c r="I34" s="22"/>
      <c r="J34" s="22"/>
      <c r="K34" s="22"/>
      <c r="L34" s="22"/>
      <c r="M34" s="22"/>
      <c r="N34" s="22"/>
      <c r="O34" s="19"/>
      <c r="P34" s="19"/>
    </row>
    <row r="35" spans="1:16" ht="16">
      <c r="A35" s="19"/>
      <c r="B35" s="26"/>
      <c r="C35" s="55" t="s">
        <v>50</v>
      </c>
      <c r="D35" s="55"/>
      <c r="E35" s="55"/>
      <c r="F35" s="55"/>
      <c r="G35" s="55"/>
      <c r="H35" s="55"/>
      <c r="I35" s="55"/>
      <c r="J35" s="55"/>
      <c r="K35" s="55"/>
      <c r="L35" s="55"/>
      <c r="M35" s="55"/>
      <c r="N35" s="26"/>
      <c r="O35" s="19"/>
      <c r="P35" s="19"/>
    </row>
    <row r="36" spans="1:16" ht="16">
      <c r="A36" s="19"/>
      <c r="B36" s="26"/>
      <c r="C36" s="26"/>
      <c r="D36" s="26"/>
      <c r="E36" s="26"/>
      <c r="F36" s="26"/>
      <c r="G36" s="26"/>
      <c r="H36" s="26"/>
      <c r="I36" s="26"/>
      <c r="J36" s="26"/>
      <c r="K36" s="26"/>
      <c r="L36" s="26"/>
      <c r="M36" s="26"/>
      <c r="N36" s="26"/>
      <c r="O36" s="19"/>
      <c r="P36" s="19"/>
    </row>
    <row r="37" spans="1:16" ht="16">
      <c r="A37" s="19"/>
      <c r="B37" s="27"/>
      <c r="C37" s="27"/>
      <c r="D37" s="27"/>
      <c r="E37" s="27"/>
      <c r="F37" s="27"/>
      <c r="G37" s="27"/>
      <c r="H37" s="27"/>
      <c r="I37" s="27"/>
      <c r="J37" s="27"/>
      <c r="K37" s="27"/>
      <c r="L37" s="27"/>
      <c r="M37" s="27"/>
      <c r="N37" s="27"/>
      <c r="O37" s="19"/>
      <c r="P37" s="19"/>
    </row>
    <row r="38" spans="1:16" ht="16">
      <c r="A38" s="19"/>
      <c r="B38" s="27"/>
      <c r="C38" s="27"/>
      <c r="D38" s="27"/>
      <c r="E38" s="27"/>
      <c r="F38" s="27"/>
      <c r="G38" s="27"/>
      <c r="H38" s="27"/>
      <c r="I38" s="27"/>
      <c r="J38" s="27"/>
      <c r="K38" s="27"/>
      <c r="L38" s="27"/>
      <c r="M38" s="27"/>
      <c r="N38" s="27"/>
      <c r="O38" s="19"/>
      <c r="P38" s="19"/>
    </row>
    <row r="39" spans="1:16">
      <c r="A39" s="19"/>
      <c r="B39" s="19"/>
      <c r="C39" s="19"/>
      <c r="D39" s="19"/>
      <c r="E39" s="19"/>
      <c r="F39" s="19"/>
      <c r="G39" s="19"/>
      <c r="H39" s="19"/>
      <c r="I39" s="19"/>
      <c r="J39" s="19"/>
      <c r="K39" s="19"/>
      <c r="L39" s="19"/>
      <c r="M39" s="19"/>
      <c r="N39" s="19"/>
      <c r="O39" s="19"/>
      <c r="P39" s="19"/>
    </row>
  </sheetData>
  <sheetProtection algorithmName="SHA-512" hashValue="X+Ae8kINI/EeSyLwepysNMMPHzHv0T6JERpFGcQHnIaJyT5XF5nFvx7KJVpMtEpdwLCUcUOnSipq6F7J5YockQ==" saltValue="P5ac1E07QVKVe6h0Z0wu1w==" spinCount="100000" sheet="1" objects="1" scenarios="1"/>
  <mergeCells count="13">
    <mergeCell ref="B1:N1"/>
    <mergeCell ref="B2:N2"/>
    <mergeCell ref="B4:N4"/>
    <mergeCell ref="B6:N6"/>
    <mergeCell ref="B7:N7"/>
    <mergeCell ref="C35:M35"/>
    <mergeCell ref="B5:N5"/>
    <mergeCell ref="B9:N9"/>
    <mergeCell ref="B10:N10"/>
    <mergeCell ref="L12:M12"/>
    <mergeCell ref="D14:H14"/>
    <mergeCell ref="I14:M14"/>
    <mergeCell ref="C14:C15"/>
  </mergeCells>
  <conditionalFormatting sqref="C16:C33">
    <cfRule type="notContainsBlanks" dxfId="5" priority="18">
      <formula>LEN(TRIM(C16))&gt;0</formula>
    </cfRule>
  </conditionalFormatting>
  <conditionalFormatting sqref="F15:F33 K15:K33">
    <cfRule type="notContainsBlanks" dxfId="4" priority="21">
      <formula>LEN(TRIM(F15))&gt;0</formula>
    </cfRule>
  </conditionalFormatting>
  <conditionalFormatting sqref="D15:D33 I15:I33">
    <cfRule type="notContainsBlanks" dxfId="3" priority="25">
      <formula>LEN(TRIM(D15))&gt;0</formula>
    </cfRule>
  </conditionalFormatting>
  <conditionalFormatting sqref="E15:E33 J15:J33">
    <cfRule type="notContainsBlanks" dxfId="2" priority="22">
      <formula>LEN(TRIM(E15))&gt;0</formula>
    </cfRule>
  </conditionalFormatting>
  <conditionalFormatting sqref="G15:G33 L15:L33">
    <cfRule type="notContainsBlanks" dxfId="1" priority="20">
      <formula>LEN(TRIM(G15))&gt;0</formula>
    </cfRule>
  </conditionalFormatting>
  <conditionalFormatting sqref="H15:H33 M15:M33">
    <cfRule type="notContainsBlanks" dxfId="0" priority="19">
      <formula>LEN(TRIM(H15))&gt;0</formula>
    </cfRule>
  </conditionalFormatting>
  <printOptions horizontalCentered="1" verticalCentered="1"/>
  <pageMargins left="0.5" right="0.5" top="0.75" bottom="0.75" header="0.3" footer="0.3"/>
  <pageSetup scale="6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validation'!$C$1:$C$3</xm:f>
          </x14:formula1>
          <xm:sqref>G12</xm:sqref>
        </x14:dataValidation>
        <x14:dataValidation type="list" allowBlank="1" showInputMessage="1" showErrorMessage="1" xr:uid="{00000000-0002-0000-0100-000001000000}">
          <x14:formula1>
            <xm:f>'Data validation'!$A$1:$A$11</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C3" sqref="C3"/>
    </sheetView>
  </sheetViews>
  <sheetFormatPr baseColWidth="10" defaultColWidth="8.83203125" defaultRowHeight="15"/>
  <sheetData>
    <row r="1" spans="1:3">
      <c r="A1" t="s">
        <v>35</v>
      </c>
      <c r="B1" s="18" t="s">
        <v>35</v>
      </c>
      <c r="C1" s="18" t="s">
        <v>35</v>
      </c>
    </row>
    <row r="2" spans="1:3">
      <c r="A2" t="s">
        <v>28</v>
      </c>
      <c r="B2" s="18" t="s">
        <v>0</v>
      </c>
      <c r="C2" t="s">
        <v>96</v>
      </c>
    </row>
    <row r="3" spans="1:3">
      <c r="A3" t="s">
        <v>27</v>
      </c>
      <c r="B3" s="18" t="s">
        <v>18</v>
      </c>
      <c r="C3" t="s">
        <v>55</v>
      </c>
    </row>
    <row r="4" spans="1:3">
      <c r="A4" t="s">
        <v>20</v>
      </c>
      <c r="B4" s="18" t="s">
        <v>32</v>
      </c>
    </row>
    <row r="5" spans="1:3">
      <c r="A5" t="s">
        <v>29</v>
      </c>
    </row>
    <row r="6" spans="1:3">
      <c r="A6" t="s">
        <v>21</v>
      </c>
    </row>
    <row r="7" spans="1:3">
      <c r="A7" t="s">
        <v>22</v>
      </c>
    </row>
    <row r="8" spans="1:3">
      <c r="A8" t="s">
        <v>23</v>
      </c>
    </row>
    <row r="9" spans="1:3">
      <c r="A9" t="s">
        <v>24</v>
      </c>
    </row>
    <row r="10" spans="1:3">
      <c r="A10" t="s">
        <v>25</v>
      </c>
    </row>
    <row r="11" spans="1:3">
      <c r="A11" t="s">
        <v>26</v>
      </c>
    </row>
  </sheetData>
  <sheetProtection algorithmName="SHA-512" hashValue="mYKVz9Wr7N92G24A+BecIB0DsyjGBsWd0hiYYbzN9JUQMY2pDmhEXzwAGaBq0hJZGQN8CFFQjAeY31WsVnkZiA==" saltValue="6KO6jw5SEcio5Od+7YEVL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
  <sheetViews>
    <sheetView workbookViewId="0">
      <selection activeCell="A11" sqref="A11"/>
    </sheetView>
  </sheetViews>
  <sheetFormatPr baseColWidth="10" defaultColWidth="8.83203125" defaultRowHeight="15"/>
  <sheetData>
    <row r="1" spans="1:2">
      <c r="A1" t="s">
        <v>86</v>
      </c>
      <c r="B1" s="32" t="s">
        <v>40</v>
      </c>
    </row>
    <row r="2" spans="1:2">
      <c r="A2" t="s">
        <v>87</v>
      </c>
      <c r="B2" s="32" t="s">
        <v>41</v>
      </c>
    </row>
    <row r="3" spans="1:2">
      <c r="A3" t="s">
        <v>88</v>
      </c>
      <c r="B3" s="32" t="s">
        <v>42</v>
      </c>
    </row>
    <row r="4" spans="1:2">
      <c r="A4" t="s">
        <v>89</v>
      </c>
      <c r="B4" s="32" t="s">
        <v>43</v>
      </c>
    </row>
    <row r="5" spans="1:2">
      <c r="A5" t="s">
        <v>90</v>
      </c>
      <c r="B5" s="32" t="s">
        <v>44</v>
      </c>
    </row>
    <row r="6" spans="1:2">
      <c r="A6" t="s">
        <v>91</v>
      </c>
      <c r="B6" s="32" t="s">
        <v>45</v>
      </c>
    </row>
    <row r="7" spans="1:2">
      <c r="A7" t="s">
        <v>92</v>
      </c>
      <c r="B7" s="32" t="s">
        <v>46</v>
      </c>
    </row>
    <row r="8" spans="1:2">
      <c r="A8" t="s">
        <v>93</v>
      </c>
      <c r="B8" s="32" t="s">
        <v>47</v>
      </c>
    </row>
    <row r="9" spans="1:2">
      <c r="A9" t="s">
        <v>94</v>
      </c>
      <c r="B9" s="32" t="s">
        <v>48</v>
      </c>
    </row>
    <row r="10" spans="1:2">
      <c r="A10" t="s">
        <v>95</v>
      </c>
      <c r="B10" s="32" t="s">
        <v>49</v>
      </c>
    </row>
    <row r="11" spans="1:2">
      <c r="A11" t="s">
        <v>56</v>
      </c>
      <c r="B11" s="32" t="s">
        <v>40</v>
      </c>
    </row>
    <row r="12" spans="1:2">
      <c r="A12" t="s">
        <v>57</v>
      </c>
      <c r="B12" s="32" t="s">
        <v>41</v>
      </c>
    </row>
    <row r="13" spans="1:2">
      <c r="A13" t="s">
        <v>58</v>
      </c>
      <c r="B13" s="32" t="s">
        <v>42</v>
      </c>
    </row>
    <row r="14" spans="1:2">
      <c r="A14" t="s">
        <v>59</v>
      </c>
      <c r="B14" s="32" t="s">
        <v>43</v>
      </c>
    </row>
    <row r="15" spans="1:2">
      <c r="A15" t="s">
        <v>65</v>
      </c>
      <c r="B15" s="32" t="s">
        <v>44</v>
      </c>
    </row>
    <row r="16" spans="1:2">
      <c r="A16" t="s">
        <v>60</v>
      </c>
      <c r="B16" s="32" t="s">
        <v>45</v>
      </c>
    </row>
    <row r="17" spans="1:2">
      <c r="A17" t="s">
        <v>61</v>
      </c>
      <c r="B17" s="32" t="s">
        <v>46</v>
      </c>
    </row>
    <row r="18" spans="1:2">
      <c r="A18" t="s">
        <v>62</v>
      </c>
      <c r="B18" s="32" t="s">
        <v>47</v>
      </c>
    </row>
    <row r="19" spans="1:2">
      <c r="A19" t="s">
        <v>64</v>
      </c>
      <c r="B19" s="32" t="s">
        <v>48</v>
      </c>
    </row>
    <row r="20" spans="1:2">
      <c r="A20" t="s">
        <v>63</v>
      </c>
      <c r="B20" s="32" t="s">
        <v>49</v>
      </c>
    </row>
  </sheetData>
  <sheetProtection algorithmName="SHA-512" hashValue="z3WZjiHQ02Z4KcbDArOuQZIJaboXHYlHO+cjfmObJqtzMG4yI79I0qh8AnqtRKH2mdL0U+SgAwsuvJ9sa9Oa3A==" saltValue="MOAKo8MZc+OFNfiUFSsee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9"/>
  <sheetViews>
    <sheetView workbookViewId="0">
      <selection activeCell="C22" sqref="C22"/>
    </sheetView>
  </sheetViews>
  <sheetFormatPr baseColWidth="10" defaultColWidth="8.83203125" defaultRowHeight="15"/>
  <cols>
    <col min="1" max="1" width="14.83203125" bestFit="1" customWidth="1"/>
    <col min="4" max="4" width="9.6640625" bestFit="1" customWidth="1"/>
  </cols>
  <sheetData>
    <row r="1" spans="2:17">
      <c r="B1" t="s">
        <v>10</v>
      </c>
      <c r="K1" t="s">
        <v>11</v>
      </c>
    </row>
    <row r="3" spans="2:17">
      <c r="B3" s="4" t="s">
        <v>5</v>
      </c>
      <c r="C3" s="4" t="s">
        <v>31</v>
      </c>
      <c r="D3" s="4" t="s">
        <v>17</v>
      </c>
      <c r="E3" s="4" t="s">
        <v>0</v>
      </c>
      <c r="F3" s="4" t="s">
        <v>18</v>
      </c>
      <c r="G3" s="4" t="s">
        <v>32</v>
      </c>
      <c r="H3" s="4"/>
      <c r="K3" s="4" t="s">
        <v>5</v>
      </c>
      <c r="L3" s="4" t="s">
        <v>31</v>
      </c>
      <c r="M3" s="4" t="s">
        <v>17</v>
      </c>
      <c r="N3" s="4" t="s">
        <v>0</v>
      </c>
      <c r="O3" s="4" t="s">
        <v>18</v>
      </c>
      <c r="P3" s="4" t="s">
        <v>32</v>
      </c>
      <c r="Q3" s="4"/>
    </row>
    <row r="4" spans="2:17">
      <c r="B4" s="4">
        <v>0</v>
      </c>
      <c r="C4" s="4"/>
      <c r="D4" s="4"/>
      <c r="E4" s="4"/>
      <c r="F4" s="4"/>
      <c r="G4" s="4"/>
      <c r="H4" s="4"/>
      <c r="K4" s="4">
        <v>0</v>
      </c>
      <c r="L4" s="4"/>
      <c r="M4" s="4"/>
      <c r="N4" s="4"/>
      <c r="O4" s="4"/>
      <c r="P4" s="4"/>
      <c r="Q4" s="4"/>
    </row>
    <row r="5" spans="2:17" ht="16">
      <c r="B5" s="4">
        <v>0.2</v>
      </c>
      <c r="C5" s="4">
        <v>0</v>
      </c>
      <c r="D5" s="4">
        <v>0.44736842100000002</v>
      </c>
      <c r="E5" s="4">
        <v>0.55000000000000004</v>
      </c>
      <c r="F5" s="4">
        <v>0.69090909099999998</v>
      </c>
      <c r="G5" s="4">
        <v>0.78926829300000001</v>
      </c>
      <c r="H5" s="3">
        <v>1</v>
      </c>
      <c r="I5" s="1"/>
      <c r="K5" s="4">
        <v>0.2</v>
      </c>
      <c r="L5" s="4">
        <v>0</v>
      </c>
      <c r="M5" s="4">
        <v>0.24561403500000001</v>
      </c>
      <c r="N5" s="4">
        <v>0.35483871</v>
      </c>
      <c r="O5" s="4">
        <v>0.46875</v>
      </c>
      <c r="P5" s="4">
        <v>0.59677419399999998</v>
      </c>
      <c r="Q5" s="3">
        <v>1</v>
      </c>
    </row>
    <row r="6" spans="2:17" ht="16">
      <c r="B6" s="4">
        <v>0.3</v>
      </c>
      <c r="C6" s="4">
        <v>0</v>
      </c>
      <c r="D6" s="4">
        <v>0.48076923100000002</v>
      </c>
      <c r="E6" s="4">
        <v>0.61842105300000005</v>
      </c>
      <c r="F6" s="4">
        <v>0.73134328400000004</v>
      </c>
      <c r="G6" s="4">
        <v>0.803921569</v>
      </c>
      <c r="H6" s="3">
        <v>1</v>
      </c>
      <c r="I6" s="1"/>
      <c r="K6" s="4">
        <v>0.3</v>
      </c>
      <c r="L6" s="4">
        <v>0</v>
      </c>
      <c r="M6" s="4">
        <v>0.31818181800000001</v>
      </c>
      <c r="N6" s="4">
        <v>0.43333333299999999</v>
      </c>
      <c r="O6" s="4">
        <v>0.52459016400000003</v>
      </c>
      <c r="P6" s="4">
        <v>0.634146341</v>
      </c>
      <c r="Q6" s="3">
        <v>1</v>
      </c>
    </row>
    <row r="7" spans="2:17" ht="16">
      <c r="B7" s="4">
        <v>0.4</v>
      </c>
      <c r="C7" s="4">
        <v>0</v>
      </c>
      <c r="D7" s="4">
        <v>0.546666667</v>
      </c>
      <c r="E7" s="4">
        <v>0.65625</v>
      </c>
      <c r="F7" s="4">
        <v>0.73333333300000003</v>
      </c>
      <c r="G7" s="4">
        <v>0.808510638</v>
      </c>
      <c r="H7" s="3">
        <v>1</v>
      </c>
      <c r="I7" s="1"/>
      <c r="K7" s="4">
        <v>0.4</v>
      </c>
      <c r="L7" s="4">
        <v>0</v>
      </c>
      <c r="M7" s="4">
        <v>0.38554216899999999</v>
      </c>
      <c r="N7" s="4">
        <v>0.47826087</v>
      </c>
      <c r="O7" s="4">
        <v>0.55752212400000001</v>
      </c>
      <c r="P7" s="4">
        <v>0.65384615400000001</v>
      </c>
      <c r="Q7" s="3">
        <v>1</v>
      </c>
    </row>
    <row r="8" spans="2:17" ht="16">
      <c r="B8" s="4">
        <v>0.45</v>
      </c>
      <c r="C8" s="4">
        <v>0</v>
      </c>
      <c r="D8" s="4">
        <v>0.55263157900000004</v>
      </c>
      <c r="E8" s="4">
        <v>0.67021276600000002</v>
      </c>
      <c r="F8" s="4">
        <v>0.76271186400000002</v>
      </c>
      <c r="G8" s="4">
        <v>0.836734694</v>
      </c>
      <c r="H8" s="3">
        <v>1</v>
      </c>
      <c r="I8" s="1"/>
      <c r="K8" s="4">
        <v>0.45</v>
      </c>
      <c r="L8" s="4">
        <v>0</v>
      </c>
      <c r="M8" s="4">
        <v>0.42553191499999998</v>
      </c>
      <c r="N8" s="4">
        <v>0.51041666699999999</v>
      </c>
      <c r="O8" s="4">
        <v>0.590909091</v>
      </c>
      <c r="P8" s="4">
        <v>0.68333333299999999</v>
      </c>
      <c r="Q8" s="3">
        <v>1</v>
      </c>
    </row>
    <row r="9" spans="2:17" ht="16">
      <c r="B9" s="4">
        <v>0.5</v>
      </c>
      <c r="C9" s="4">
        <v>0</v>
      </c>
      <c r="D9" s="4">
        <v>0.62857142899999996</v>
      </c>
      <c r="E9" s="4">
        <v>0.71134020600000003</v>
      </c>
      <c r="F9" s="4">
        <v>0.78461538500000005</v>
      </c>
      <c r="G9" s="4">
        <v>0.85483871</v>
      </c>
      <c r="H9" s="3">
        <v>1</v>
      </c>
      <c r="I9" s="1"/>
      <c r="K9" s="4">
        <v>0.5</v>
      </c>
      <c r="L9" s="4">
        <v>0</v>
      </c>
      <c r="M9" s="4">
        <v>0.47887323900000001</v>
      </c>
      <c r="N9" s="4">
        <v>0.57017543900000001</v>
      </c>
      <c r="O9" s="4">
        <v>0.640625</v>
      </c>
      <c r="P9" s="4">
        <v>0.71739130399999995</v>
      </c>
      <c r="Q9" s="3">
        <v>1</v>
      </c>
    </row>
    <row r="10" spans="2:17" ht="16">
      <c r="B10" s="4">
        <v>0.55000000000000004</v>
      </c>
      <c r="C10" s="4">
        <v>0</v>
      </c>
      <c r="D10" s="4">
        <v>0.63095238099999995</v>
      </c>
      <c r="E10" s="4">
        <v>0.72222222199999997</v>
      </c>
      <c r="F10" s="4">
        <v>0.80246913600000003</v>
      </c>
      <c r="G10" s="4">
        <v>0.86419753099999996</v>
      </c>
      <c r="H10" s="3">
        <v>1</v>
      </c>
      <c r="I10" s="1"/>
      <c r="K10" s="4">
        <v>0.55000000000000004</v>
      </c>
      <c r="L10" s="4">
        <v>0</v>
      </c>
      <c r="M10" s="4">
        <v>0.50434782600000005</v>
      </c>
      <c r="N10" s="4">
        <v>0.58571428599999997</v>
      </c>
      <c r="O10" s="4">
        <v>0.65</v>
      </c>
      <c r="P10" s="4">
        <v>0.73584905700000003</v>
      </c>
      <c r="Q10" s="3">
        <v>1</v>
      </c>
    </row>
    <row r="11" spans="2:17" ht="16">
      <c r="B11" s="4">
        <v>0.6</v>
      </c>
      <c r="C11" s="4">
        <v>0</v>
      </c>
      <c r="D11" s="4">
        <v>0.62686567199999998</v>
      </c>
      <c r="E11" s="4">
        <v>0.72527472500000001</v>
      </c>
      <c r="F11" s="4">
        <v>0.80487804900000004</v>
      </c>
      <c r="G11" s="4">
        <v>0.88</v>
      </c>
      <c r="H11" s="3">
        <v>1</v>
      </c>
      <c r="I11" s="1"/>
      <c r="K11" s="4">
        <v>0.6</v>
      </c>
      <c r="L11" s="4">
        <v>0</v>
      </c>
      <c r="M11" s="4">
        <v>0.52777777800000003</v>
      </c>
      <c r="N11" s="4">
        <v>0.617283951</v>
      </c>
      <c r="O11" s="4">
        <v>0.69230769199999997</v>
      </c>
      <c r="P11" s="4">
        <v>0.77011494300000005</v>
      </c>
      <c r="Q11" s="3">
        <v>1</v>
      </c>
    </row>
    <row r="12" spans="2:17" ht="16">
      <c r="B12" s="4">
        <v>0.7</v>
      </c>
      <c r="C12" s="4">
        <v>0</v>
      </c>
      <c r="D12" s="4">
        <v>0.675675676</v>
      </c>
      <c r="E12" s="4">
        <v>0.76363636400000001</v>
      </c>
      <c r="F12" s="4">
        <v>0.82499999999999996</v>
      </c>
      <c r="G12" s="4">
        <v>0.88607594899999997</v>
      </c>
      <c r="H12" s="3">
        <v>1</v>
      </c>
      <c r="I12" s="1"/>
      <c r="K12" s="4">
        <v>0.7</v>
      </c>
      <c r="L12" s="4">
        <v>0</v>
      </c>
      <c r="M12" s="4">
        <v>0.57608695700000001</v>
      </c>
      <c r="N12" s="4">
        <v>0.65853658500000001</v>
      </c>
      <c r="O12" s="4">
        <v>0.72277227700000002</v>
      </c>
      <c r="P12" s="4">
        <v>0.80459770100000005</v>
      </c>
      <c r="Q12" s="3">
        <v>1</v>
      </c>
    </row>
    <row r="13" spans="2:17" ht="16">
      <c r="B13" s="4">
        <v>0.8</v>
      </c>
      <c r="C13" s="4">
        <v>0</v>
      </c>
      <c r="D13" s="4">
        <v>0.69662921300000002</v>
      </c>
      <c r="E13" s="4">
        <v>0.78947368399999995</v>
      </c>
      <c r="F13" s="4">
        <v>0.84946236600000002</v>
      </c>
      <c r="G13" s="4">
        <v>0.90666666699999998</v>
      </c>
      <c r="H13" s="3">
        <v>1</v>
      </c>
      <c r="I13" s="1"/>
      <c r="K13" s="4">
        <v>0.8</v>
      </c>
      <c r="L13" s="4">
        <v>0</v>
      </c>
      <c r="M13" s="4">
        <v>0.64285714299999996</v>
      </c>
      <c r="N13" s="4">
        <v>0.72380952399999998</v>
      </c>
      <c r="O13" s="4">
        <v>0.77380952400000003</v>
      </c>
      <c r="P13" s="4">
        <v>0.836734694</v>
      </c>
      <c r="Q13" s="3">
        <v>1</v>
      </c>
    </row>
    <row r="14" spans="2:17" ht="16">
      <c r="B14" s="4">
        <v>0.9</v>
      </c>
      <c r="C14" s="4">
        <v>0</v>
      </c>
      <c r="D14" s="4">
        <v>0.74418604700000002</v>
      </c>
      <c r="E14" s="4">
        <v>0.83333333300000001</v>
      </c>
      <c r="F14" s="4">
        <v>0.88524590199999997</v>
      </c>
      <c r="G14" s="4">
        <v>0.93457943899999996</v>
      </c>
      <c r="H14" s="3">
        <v>1</v>
      </c>
      <c r="I14" s="1"/>
      <c r="K14" s="4">
        <v>0.9</v>
      </c>
      <c r="L14" s="4">
        <v>0</v>
      </c>
      <c r="M14" s="4">
        <v>0.70769230800000005</v>
      </c>
      <c r="N14" s="4">
        <v>0.76991150399999997</v>
      </c>
      <c r="O14" s="4">
        <v>0.82558139500000005</v>
      </c>
      <c r="P14" s="4">
        <v>0.88461538500000003</v>
      </c>
      <c r="Q14" s="3">
        <v>1</v>
      </c>
    </row>
    <row r="15" spans="2:17" ht="16">
      <c r="B15" s="4">
        <v>1</v>
      </c>
      <c r="C15" s="4">
        <v>0</v>
      </c>
      <c r="D15" s="4">
        <v>0.81428571400000005</v>
      </c>
      <c r="E15" s="4">
        <v>0.89361702099999996</v>
      </c>
      <c r="F15" s="4">
        <v>0.929411765</v>
      </c>
      <c r="G15" s="4">
        <v>0.95283018900000005</v>
      </c>
      <c r="H15" s="3">
        <v>1</v>
      </c>
      <c r="I15" s="1"/>
      <c r="K15" s="4">
        <v>1</v>
      </c>
      <c r="L15" s="4">
        <v>0</v>
      </c>
      <c r="M15" s="4">
        <v>0.80722891600000002</v>
      </c>
      <c r="N15" s="4">
        <v>0.85074626900000005</v>
      </c>
      <c r="O15" s="4">
        <v>0.88372092999999996</v>
      </c>
      <c r="P15" s="4">
        <v>0.92</v>
      </c>
      <c r="Q15" s="3">
        <v>1</v>
      </c>
    </row>
    <row r="16" spans="2:17" ht="16">
      <c r="B16" s="6"/>
      <c r="C16" s="6"/>
      <c r="D16" s="6"/>
      <c r="E16" s="6"/>
      <c r="F16" s="6"/>
      <c r="G16" s="6"/>
      <c r="H16" s="7"/>
      <c r="I16" s="1"/>
      <c r="K16" s="6"/>
      <c r="L16" s="6"/>
      <c r="M16" s="6"/>
      <c r="N16" s="6"/>
      <c r="O16" s="6"/>
      <c r="P16" s="6"/>
      <c r="Q16" s="7"/>
    </row>
    <row r="17" spans="1:17" ht="16">
      <c r="A17" t="s">
        <v>14</v>
      </c>
      <c r="B17" t="e">
        <f>IF(BOY_K="",NA(),BOY_K)</f>
        <v>#N/A</v>
      </c>
      <c r="C17" t="e">
        <f>IF(OR(B17="",B17&lt;0,B17&gt;1),NA(),IF(B17=1,0.999,B17))</f>
        <v>#N/A</v>
      </c>
      <c r="I17" s="1"/>
      <c r="K17" s="6"/>
      <c r="L17" s="6"/>
      <c r="M17" s="6"/>
      <c r="N17" s="6"/>
      <c r="O17" s="6"/>
      <c r="P17" s="6"/>
      <c r="Q17" s="7"/>
    </row>
    <row r="18" spans="1:17" ht="16">
      <c r="A18" t="s">
        <v>82</v>
      </c>
      <c r="B18" t="e">
        <f>IF(MOY_K="",NA(),MOY_K)</f>
        <v>#N/A</v>
      </c>
      <c r="C18" t="e">
        <f>IF(OR(B18="",B18&lt;0,B18&gt;1),NA(),IF(B18=1,0.999,B18))</f>
        <v>#N/A</v>
      </c>
      <c r="I18" s="1"/>
      <c r="K18" s="6"/>
      <c r="L18" s="6"/>
      <c r="M18" s="6"/>
      <c r="N18" s="6"/>
      <c r="O18" s="6"/>
      <c r="P18" s="6"/>
      <c r="Q18" s="7"/>
    </row>
    <row r="19" spans="1:17" ht="16">
      <c r="A19" t="s">
        <v>15</v>
      </c>
      <c r="B19" t="e">
        <f>IF(goal_BOY_K="",NA(),goal_BOY_K)</f>
        <v>#N/A</v>
      </c>
      <c r="C19" t="e">
        <f>IF(OR(B19="",B19&lt;0,B19&gt;1),NA(),IF(B19=1,0.999,B19))</f>
        <v>#N/A</v>
      </c>
      <c r="I19" s="1"/>
      <c r="K19" s="6"/>
      <c r="L19" s="6"/>
      <c r="M19" s="6"/>
      <c r="N19" s="6"/>
      <c r="O19" s="6"/>
      <c r="P19" s="6"/>
      <c r="Q19" s="7"/>
    </row>
    <row r="21" spans="1:17">
      <c r="A21" s="5" t="s">
        <v>12</v>
      </c>
    </row>
    <row r="22" spans="1:17" ht="16">
      <c r="A22" s="2" t="s">
        <v>9</v>
      </c>
      <c r="B22" s="1" t="e">
        <f>SUMPRODUCT((K3:K14&lt;=$C$17)*(K4:K15&gt;$C$17),(K4:K15))</f>
        <v>#N/A</v>
      </c>
      <c r="C22" t="e">
        <f>VLOOKUP($B$22,$K$5:$Q$15,2,FALSE)</f>
        <v>#N/A</v>
      </c>
      <c r="D22" t="e">
        <f>ROUND(VLOOKUP($B$22,$K$5:$Q$15,3,FALSE),2)</f>
        <v>#N/A</v>
      </c>
      <c r="E22" t="e">
        <f>ROUND(VLOOKUP($B$22,$K$5:$Q$15,4,FALSE),2)</f>
        <v>#N/A</v>
      </c>
      <c r="F22" t="e">
        <f>ROUND(VLOOKUP($B$22,$K$5:$Q$15,5,FALSE),2)</f>
        <v>#N/A</v>
      </c>
      <c r="G22" t="e">
        <f>ROUND(VLOOKUP($B$22,$K$5:$Q$15,6,FALSE),2)</f>
        <v>#N/A</v>
      </c>
      <c r="H22" t="e">
        <f>VLOOKUP($B$22,$K$5:$Q$15,7,FALSE)</f>
        <v>#N/A</v>
      </c>
      <c r="J22" s="2"/>
    </row>
    <row r="23" spans="1:17" ht="16">
      <c r="A23" s="2" t="s">
        <v>81</v>
      </c>
      <c r="B23" s="1" t="e">
        <f ca="1">OFFSET(J3,0,SUMPRODUCT((C22:G22&lt;=$C$18)*(D22:H22&gt;$C$18),COLUMN(B22:F22)))</f>
        <v>#N/A</v>
      </c>
      <c r="J23" s="2"/>
      <c r="K23" s="1"/>
    </row>
    <row r="24" spans="1:17" ht="16">
      <c r="A24" s="2"/>
      <c r="B24" s="1"/>
      <c r="J24" s="2"/>
      <c r="K24" s="1"/>
    </row>
    <row r="25" spans="1:17" ht="16">
      <c r="A25" s="5" t="s">
        <v>13</v>
      </c>
      <c r="B25" s="1"/>
      <c r="J25" s="2"/>
      <c r="K25" s="1"/>
    </row>
    <row r="26" spans="1:17" ht="16">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c r="A27" s="2" t="s">
        <v>9</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c r="A28" s="2" t="s">
        <v>6</v>
      </c>
      <c r="B28" t="e">
        <f ca="1">OFFSET(A26,0,MATCH(goal_K,$B$3:$H$3,FALSE))</f>
        <v>#N/A</v>
      </c>
      <c r="C28" t="e">
        <f ca="1">OFFSET(A26,0,MATCH(goal_K,$B$3:$H$3,FALSE)+1)</f>
        <v>#N/A</v>
      </c>
      <c r="D28" t="e">
        <f ca="1">CONCATENATE(TEXT(ROUND($B$28,2)*100,"0")," - ",TEXT(ROUND($C$28,2),"0%"))</f>
        <v>#N/A</v>
      </c>
    </row>
    <row r="29" spans="1:17">
      <c r="A29" s="2" t="s">
        <v>8</v>
      </c>
      <c r="B29" t="e">
        <f ca="1">OFFSET(A27,0,MATCH(goal_K,$K$3:$Q$3,FALSE))</f>
        <v>#N/A</v>
      </c>
      <c r="C29" t="e">
        <f ca="1">OFFSET(A27,0,MATCH(goal_K,$K$3:$Q$3,FALSE)+1)</f>
        <v>#N/A</v>
      </c>
      <c r="D29" t="e">
        <f ca="1">CONCATENATE(TEXT(ROUND($B$29,2)*100,"0")," - ",TEXT(ROUND($C$29,2),"0%"))</f>
        <v>#N/A</v>
      </c>
    </row>
  </sheetData>
  <sheetProtection algorithmName="SHA-512" hashValue="sTu2RwWKdLllRFJTHHva+itrYw/Cmvxvo4sBDiBszSA1pHSlFS8uVdSx3rKh8F/A7U8Ni8FA7tOChJ45kvR+pg==" saltValue="EZA3sQvJ8h/zz1s1/y7lLA=="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29"/>
  <sheetViews>
    <sheetView workbookViewId="0">
      <selection activeCell="F22" sqref="F22"/>
    </sheetView>
  </sheetViews>
  <sheetFormatPr baseColWidth="10" defaultColWidth="8.83203125" defaultRowHeight="15"/>
  <cols>
    <col min="1" max="1" width="14.83203125" bestFit="1" customWidth="1"/>
    <col min="4" max="4" width="9.6640625" bestFit="1" customWidth="1"/>
  </cols>
  <sheetData>
    <row r="1" spans="2:17">
      <c r="B1" t="s">
        <v>10</v>
      </c>
      <c r="K1" t="s">
        <v>11</v>
      </c>
    </row>
    <row r="3" spans="2:17">
      <c r="B3" s="4" t="s">
        <v>5</v>
      </c>
      <c r="C3" s="4" t="s">
        <v>31</v>
      </c>
      <c r="D3" s="4" t="s">
        <v>17</v>
      </c>
      <c r="E3" s="4" t="s">
        <v>0</v>
      </c>
      <c r="F3" s="4" t="s">
        <v>18</v>
      </c>
      <c r="G3" s="4" t="s">
        <v>32</v>
      </c>
      <c r="H3" s="4"/>
      <c r="K3" s="4" t="s">
        <v>5</v>
      </c>
      <c r="L3" s="4" t="s">
        <v>31</v>
      </c>
      <c r="M3" s="4" t="s">
        <v>17</v>
      </c>
      <c r="N3" s="4" t="s">
        <v>0</v>
      </c>
      <c r="O3" s="4" t="s">
        <v>18</v>
      </c>
      <c r="P3" s="4" t="s">
        <v>32</v>
      </c>
      <c r="Q3" s="4"/>
    </row>
    <row r="4" spans="2:17">
      <c r="B4" s="4">
        <v>0</v>
      </c>
      <c r="C4" s="4"/>
      <c r="D4" s="4"/>
      <c r="E4" s="4"/>
      <c r="F4" s="4"/>
      <c r="G4" s="4"/>
      <c r="H4" s="4"/>
      <c r="K4" s="4">
        <v>0</v>
      </c>
      <c r="L4" s="4"/>
      <c r="M4" s="4"/>
      <c r="N4" s="4"/>
      <c r="O4" s="4"/>
      <c r="P4" s="4"/>
      <c r="Q4" s="4"/>
    </row>
    <row r="5" spans="2:17" ht="16">
      <c r="B5" s="4">
        <v>0.2</v>
      </c>
      <c r="C5" s="4">
        <v>0</v>
      </c>
      <c r="D5" s="4">
        <v>0.234375</v>
      </c>
      <c r="E5" s="4">
        <v>0.31578947400000001</v>
      </c>
      <c r="F5" s="4">
        <v>0.4</v>
      </c>
      <c r="G5" s="4">
        <v>0.486486486</v>
      </c>
      <c r="H5" s="3">
        <v>1</v>
      </c>
      <c r="I5" s="1"/>
      <c r="K5" s="4">
        <v>0.2</v>
      </c>
      <c r="L5" s="4">
        <v>0</v>
      </c>
      <c r="M5" s="4">
        <v>0.21428571399999999</v>
      </c>
      <c r="N5" s="4">
        <v>0.29310344799999999</v>
      </c>
      <c r="O5" s="4">
        <v>0.36111111099999998</v>
      </c>
      <c r="P5" s="4">
        <v>0.45161290300000001</v>
      </c>
      <c r="Q5" s="3">
        <v>1</v>
      </c>
    </row>
    <row r="6" spans="2:17" ht="16">
      <c r="B6" s="4">
        <v>0.3</v>
      </c>
      <c r="C6" s="4">
        <v>0</v>
      </c>
      <c r="D6" s="4">
        <v>0.35135135099999998</v>
      </c>
      <c r="E6" s="4">
        <v>0.41428571400000003</v>
      </c>
      <c r="F6" s="4">
        <v>0.487804878</v>
      </c>
      <c r="G6" s="4">
        <v>0.56756756799999997</v>
      </c>
      <c r="H6" s="3">
        <v>1</v>
      </c>
      <c r="I6" s="1"/>
      <c r="K6" s="4">
        <v>0.3</v>
      </c>
      <c r="L6" s="4">
        <v>0</v>
      </c>
      <c r="M6" s="4">
        <v>0.30841121500000002</v>
      </c>
      <c r="N6" s="4">
        <v>0.36904761899999999</v>
      </c>
      <c r="O6" s="4">
        <v>0.43650793700000001</v>
      </c>
      <c r="P6" s="4">
        <v>0.52</v>
      </c>
      <c r="Q6" s="3">
        <v>1</v>
      </c>
    </row>
    <row r="7" spans="2:17" ht="16">
      <c r="B7" s="4">
        <v>0.4</v>
      </c>
      <c r="C7" s="4">
        <v>0</v>
      </c>
      <c r="D7" s="4">
        <v>0.40163934400000001</v>
      </c>
      <c r="E7" s="4">
        <v>0.46788990800000002</v>
      </c>
      <c r="F7" s="4">
        <v>0.53846153799999996</v>
      </c>
      <c r="G7" s="4">
        <v>0.61538461499999997</v>
      </c>
      <c r="H7" s="3">
        <v>1</v>
      </c>
      <c r="I7" s="1"/>
      <c r="K7" s="4">
        <v>0.4</v>
      </c>
      <c r="L7" s="4">
        <v>0</v>
      </c>
      <c r="M7" s="4">
        <v>0.37142857099999999</v>
      </c>
      <c r="N7" s="4">
        <v>0.43478260899999999</v>
      </c>
      <c r="O7" s="4">
        <v>0.50537634399999998</v>
      </c>
      <c r="P7" s="4">
        <v>0.56989247300000001</v>
      </c>
      <c r="Q7" s="3">
        <v>1</v>
      </c>
    </row>
    <row r="8" spans="2:17" ht="16">
      <c r="B8" s="4">
        <v>0.45</v>
      </c>
      <c r="C8" s="4">
        <v>0</v>
      </c>
      <c r="D8" s="4">
        <v>0.44680851100000002</v>
      </c>
      <c r="E8" s="4">
        <v>0.52941176499999998</v>
      </c>
      <c r="F8" s="4">
        <v>0.58974358999999998</v>
      </c>
      <c r="G8" s="4">
        <v>0.65789473700000001</v>
      </c>
      <c r="H8" s="3">
        <v>1</v>
      </c>
      <c r="I8" s="1"/>
      <c r="K8" s="4">
        <v>0.45</v>
      </c>
      <c r="L8" s="4">
        <v>0</v>
      </c>
      <c r="M8" s="4">
        <v>0.41538461500000001</v>
      </c>
      <c r="N8" s="4">
        <v>0.49579831899999999</v>
      </c>
      <c r="O8" s="4">
        <v>0.56140350900000002</v>
      </c>
      <c r="P8" s="4">
        <v>0.63265306099999996</v>
      </c>
      <c r="Q8" s="3">
        <v>1</v>
      </c>
    </row>
    <row r="9" spans="2:17" ht="16">
      <c r="B9" s="4">
        <v>0.5</v>
      </c>
      <c r="C9" s="4">
        <v>0</v>
      </c>
      <c r="D9" s="4">
        <v>0.50485436900000003</v>
      </c>
      <c r="E9" s="4">
        <v>0.56896551699999998</v>
      </c>
      <c r="F9" s="4">
        <v>0.62626262600000004</v>
      </c>
      <c r="G9" s="4">
        <v>0.70454545499999999</v>
      </c>
      <c r="H9" s="3">
        <v>1</v>
      </c>
      <c r="I9" s="1"/>
      <c r="K9" s="4">
        <v>0.5</v>
      </c>
      <c r="L9" s="4">
        <v>0</v>
      </c>
      <c r="M9" s="4">
        <v>0.47826087</v>
      </c>
      <c r="N9" s="4">
        <v>0.546875</v>
      </c>
      <c r="O9" s="4">
        <v>0.59677419399999998</v>
      </c>
      <c r="P9" s="4">
        <v>0.66911764699999998</v>
      </c>
      <c r="Q9" s="3">
        <v>1</v>
      </c>
    </row>
    <row r="10" spans="2:17" ht="16">
      <c r="B10" s="4">
        <v>0.55000000000000004</v>
      </c>
      <c r="C10" s="4">
        <v>0</v>
      </c>
      <c r="D10" s="4">
        <v>0.524752475</v>
      </c>
      <c r="E10" s="4">
        <v>0.58510638299999995</v>
      </c>
      <c r="F10" s="4">
        <v>0.64406779700000005</v>
      </c>
      <c r="G10" s="4">
        <v>0.71929824600000003</v>
      </c>
      <c r="H10" s="3">
        <v>1</v>
      </c>
      <c r="I10" s="1"/>
      <c r="K10" s="4">
        <v>0.55000000000000004</v>
      </c>
      <c r="L10" s="4">
        <v>0</v>
      </c>
      <c r="M10" s="4">
        <v>0.50282485899999996</v>
      </c>
      <c r="N10" s="4">
        <v>0.56363636399999995</v>
      </c>
      <c r="O10" s="4">
        <v>0.61818181800000005</v>
      </c>
      <c r="P10" s="4">
        <v>0.68292682900000001</v>
      </c>
      <c r="Q10" s="3">
        <v>1</v>
      </c>
    </row>
    <row r="11" spans="2:17" ht="16">
      <c r="B11" s="4">
        <v>0.6</v>
      </c>
      <c r="C11" s="4">
        <v>0</v>
      </c>
      <c r="D11" s="4">
        <v>0.54285714299999999</v>
      </c>
      <c r="E11" s="4">
        <v>0.61320754700000002</v>
      </c>
      <c r="F11" s="4">
        <v>0.66906474800000004</v>
      </c>
      <c r="G11" s="4">
        <v>0.74285714300000005</v>
      </c>
      <c r="H11" s="3">
        <v>1</v>
      </c>
      <c r="I11" s="1"/>
      <c r="K11" s="4">
        <v>0.6</v>
      </c>
      <c r="L11" s="4">
        <v>0</v>
      </c>
      <c r="M11" s="4">
        <v>0.54074074100000002</v>
      </c>
      <c r="N11" s="4">
        <v>0.60839160800000003</v>
      </c>
      <c r="O11" s="4">
        <v>0.659090909</v>
      </c>
      <c r="P11" s="4">
        <v>0.72499999999999998</v>
      </c>
      <c r="Q11" s="3">
        <v>1</v>
      </c>
    </row>
    <row r="12" spans="2:17" ht="16">
      <c r="B12" s="4">
        <v>0.7</v>
      </c>
      <c r="C12" s="4">
        <v>0</v>
      </c>
      <c r="D12" s="4">
        <v>0.60465116299999999</v>
      </c>
      <c r="E12" s="4">
        <v>0.66883116899999995</v>
      </c>
      <c r="F12" s="4">
        <v>0.71559633</v>
      </c>
      <c r="G12" s="4">
        <v>0.77966101700000001</v>
      </c>
      <c r="H12" s="3">
        <v>1</v>
      </c>
      <c r="I12" s="1"/>
      <c r="K12" s="4">
        <v>0.7</v>
      </c>
      <c r="L12" s="4">
        <v>0</v>
      </c>
      <c r="M12" s="4">
        <v>0.58387096800000005</v>
      </c>
      <c r="N12" s="4">
        <v>0.65217391300000005</v>
      </c>
      <c r="O12" s="4">
        <v>0.70689655200000001</v>
      </c>
      <c r="P12" s="4">
        <v>0.765625</v>
      </c>
      <c r="Q12" s="3">
        <v>1</v>
      </c>
    </row>
    <row r="13" spans="2:17" ht="16">
      <c r="B13" s="4">
        <v>0.8</v>
      </c>
      <c r="C13" s="4">
        <v>0</v>
      </c>
      <c r="D13" s="4">
        <v>0.67816091999999994</v>
      </c>
      <c r="E13" s="4">
        <v>0.74576271199999999</v>
      </c>
      <c r="F13" s="4">
        <v>0.79452054800000005</v>
      </c>
      <c r="G13" s="4">
        <v>0.85074626900000005</v>
      </c>
      <c r="H13" s="3">
        <v>1</v>
      </c>
      <c r="I13" s="1"/>
      <c r="K13" s="4">
        <v>0.8</v>
      </c>
      <c r="L13" s="4">
        <v>0</v>
      </c>
      <c r="M13" s="4">
        <v>0.67901234600000004</v>
      </c>
      <c r="N13" s="4">
        <v>0.743243243</v>
      </c>
      <c r="O13" s="4">
        <v>0.79245283</v>
      </c>
      <c r="P13" s="4">
        <v>0.84507042300000002</v>
      </c>
      <c r="Q13" s="3">
        <v>1</v>
      </c>
    </row>
    <row r="14" spans="2:17" ht="16">
      <c r="B14" s="4">
        <v>0.9</v>
      </c>
      <c r="C14" s="4">
        <v>0</v>
      </c>
      <c r="D14" s="4">
        <v>0.75824175800000004</v>
      </c>
      <c r="E14" s="4">
        <v>0.81927710799999998</v>
      </c>
      <c r="F14" s="4">
        <v>0.85950413199999998</v>
      </c>
      <c r="G14" s="4">
        <v>0.907407407</v>
      </c>
      <c r="H14" s="3">
        <v>1</v>
      </c>
      <c r="I14" s="1"/>
      <c r="K14" s="4">
        <v>0.9</v>
      </c>
      <c r="L14" s="4">
        <v>0</v>
      </c>
      <c r="M14" s="4">
        <v>0.75949367099999998</v>
      </c>
      <c r="N14" s="4">
        <v>0.81720430099999997</v>
      </c>
      <c r="O14" s="4">
        <v>0.86407767000000002</v>
      </c>
      <c r="P14" s="4">
        <v>0.90361445799999995</v>
      </c>
      <c r="Q14" s="3">
        <v>1</v>
      </c>
    </row>
    <row r="15" spans="2:17" ht="16">
      <c r="B15" s="4">
        <v>1</v>
      </c>
      <c r="C15" s="4">
        <v>0</v>
      </c>
      <c r="D15" s="4">
        <v>0.77777777800000003</v>
      </c>
      <c r="E15" s="4">
        <v>0.88636363600000001</v>
      </c>
      <c r="F15" s="4">
        <v>0.91071428600000004</v>
      </c>
      <c r="G15" s="4">
        <v>0.96350365000000004</v>
      </c>
      <c r="H15" s="3">
        <v>1</v>
      </c>
      <c r="I15" s="1"/>
      <c r="K15" s="4">
        <v>1</v>
      </c>
      <c r="L15" s="4">
        <v>0</v>
      </c>
      <c r="M15" s="4">
        <v>0.8125</v>
      </c>
      <c r="N15" s="4">
        <v>0.88695652199999997</v>
      </c>
      <c r="O15" s="4">
        <v>0.93181818199999999</v>
      </c>
      <c r="P15" s="4">
        <v>0.96666666700000003</v>
      </c>
      <c r="Q15" s="3">
        <v>1</v>
      </c>
    </row>
    <row r="16" spans="2:17" ht="16">
      <c r="B16" s="6"/>
      <c r="C16" s="6"/>
      <c r="D16" s="6"/>
      <c r="E16" s="6"/>
      <c r="F16" s="6"/>
      <c r="G16" s="6"/>
      <c r="H16" s="7"/>
      <c r="I16" s="1"/>
      <c r="K16" s="6"/>
      <c r="L16" s="6"/>
      <c r="M16" s="6"/>
      <c r="N16" s="6"/>
      <c r="O16" s="6"/>
      <c r="P16" s="6"/>
      <c r="Q16" s="7"/>
    </row>
    <row r="17" spans="1:17" ht="16">
      <c r="A17" t="s">
        <v>14</v>
      </c>
      <c r="B17" t="e">
        <f>IF(BOY_1="",NA(),BOY_1)</f>
        <v>#N/A</v>
      </c>
      <c r="C17" t="e">
        <f>IF(OR(B17="",B17&lt;0,B17&gt;1),NA(),IF(B17=1,0.999,B17))</f>
        <v>#N/A</v>
      </c>
      <c r="I17" s="1"/>
      <c r="K17" s="6"/>
      <c r="L17" s="6"/>
      <c r="M17" s="6"/>
      <c r="N17" s="6"/>
      <c r="O17" s="6"/>
      <c r="P17" s="6"/>
      <c r="Q17" s="7"/>
    </row>
    <row r="18" spans="1:17" ht="16">
      <c r="A18" t="s">
        <v>82</v>
      </c>
      <c r="B18" t="e">
        <f>IF(MOY_1="",NA(),MOY_1)</f>
        <v>#N/A</v>
      </c>
      <c r="C18" t="e">
        <f>IF(OR(B18="",B18&lt;0,B18&gt;1),NA(),IF(B18=1,0.999,B18))</f>
        <v>#N/A</v>
      </c>
      <c r="I18" s="1"/>
      <c r="K18" s="6"/>
      <c r="L18" s="6"/>
      <c r="M18" s="6"/>
      <c r="N18" s="6"/>
      <c r="O18" s="6"/>
      <c r="P18" s="6"/>
      <c r="Q18" s="7"/>
    </row>
    <row r="19" spans="1:17" ht="16">
      <c r="A19" t="s">
        <v>15</v>
      </c>
      <c r="B19" t="e">
        <f>IF(goal_BOY_1="",NA(),goal_BOY_1)</f>
        <v>#N/A</v>
      </c>
      <c r="C19" t="e">
        <f>IF(OR(B19="",B19&lt;0,B19&gt;1),NA(),IF(B19=1,0.999,B19))</f>
        <v>#N/A</v>
      </c>
      <c r="I19" s="1"/>
      <c r="K19" s="6"/>
      <c r="L19" s="6"/>
      <c r="M19" s="6"/>
      <c r="N19" s="6"/>
      <c r="O19" s="6"/>
      <c r="P19" s="6"/>
      <c r="Q19" s="7"/>
    </row>
    <row r="21" spans="1:17">
      <c r="A21" s="5" t="s">
        <v>12</v>
      </c>
    </row>
    <row r="22" spans="1:17" ht="16">
      <c r="A22" s="2" t="s">
        <v>9</v>
      </c>
      <c r="B22" s="1" t="e">
        <f>SUMPRODUCT((K3:K14&lt;=$C$17)*(K4:K15&gt;$C$17),(K4:K15))</f>
        <v>#N/A</v>
      </c>
      <c r="C22" t="e">
        <f>VLOOKUP($B$22,$K$5:$Q$15,2,FALSE)</f>
        <v>#N/A</v>
      </c>
      <c r="D22" t="e">
        <f>ROUND(VLOOKUP($B$22,$K$5:$Q$15,3,FALSE),2)</f>
        <v>#N/A</v>
      </c>
      <c r="E22" t="e">
        <f>ROUND(VLOOKUP($B$22,$K$5:$Q$15,4,FALSE),2)</f>
        <v>#N/A</v>
      </c>
      <c r="F22" t="e">
        <f>ROUND(VLOOKUP($B$22,$K$5:$Q$15,5,FALSE),2)</f>
        <v>#N/A</v>
      </c>
      <c r="G22" t="e">
        <f>ROUND(VLOOKUP($B$22,$K$5:$Q$15,6,FALSE),2)</f>
        <v>#N/A</v>
      </c>
      <c r="H22" t="e">
        <f>VLOOKUP($B$22,$K$5:$Q$15,7,FALSE)</f>
        <v>#N/A</v>
      </c>
      <c r="J22" s="2"/>
    </row>
    <row r="23" spans="1:17" ht="16">
      <c r="A23" s="2" t="s">
        <v>81</v>
      </c>
      <c r="B23" s="1" t="e">
        <f ca="1">OFFSET(J3,0,SUMPRODUCT((C22:G22&lt;=$C$18)*(D22:H22&gt;$C$18),COLUMN(B22:F22)))</f>
        <v>#N/A</v>
      </c>
      <c r="J23" s="2"/>
      <c r="K23" s="1"/>
    </row>
    <row r="24" spans="1:17" ht="16">
      <c r="A24" s="2"/>
      <c r="B24" s="1"/>
      <c r="J24" s="2"/>
      <c r="K24" s="1"/>
    </row>
    <row r="25" spans="1:17" ht="16">
      <c r="A25" s="5" t="s">
        <v>13</v>
      </c>
      <c r="B25" s="1"/>
      <c r="J25" s="2"/>
      <c r="K25" s="1"/>
    </row>
    <row r="26" spans="1:17" ht="16">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c r="A27" s="2" t="s">
        <v>9</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c r="A28" s="2" t="s">
        <v>6</v>
      </c>
      <c r="B28" t="e">
        <f ca="1">OFFSET(A26,0,MATCH(goal_1,$B$3:$H$3,FALSE))</f>
        <v>#N/A</v>
      </c>
      <c r="C28" t="e">
        <f ca="1">OFFSET(A26,0,MATCH(goal_1,$B$3:$H$3,FALSE)+1)</f>
        <v>#N/A</v>
      </c>
      <c r="D28" t="e">
        <f ca="1">CONCATENATE(TEXT(ROUND($B$28,2)*100,"0")," - ",TEXT(ROUND($C$28,2),"0%"))</f>
        <v>#N/A</v>
      </c>
    </row>
    <row r="29" spans="1:17">
      <c r="A29" s="2" t="s">
        <v>8</v>
      </c>
      <c r="B29" t="e">
        <f ca="1">OFFSET(A27,0,MATCH(goal_1,$K$3:$Q$3,FALSE))</f>
        <v>#N/A</v>
      </c>
      <c r="C29" t="e">
        <f ca="1">OFFSET(A27,0,MATCH(goal_1,$K$3:$Q$3,FALSE)+1)</f>
        <v>#N/A</v>
      </c>
      <c r="D29" t="e">
        <f ca="1">CONCATENATE(TEXT(ROUND($B$29,2)*100,"0")," - ",TEXT(ROUND($C$29,2),"0%"))</f>
        <v>#N/A</v>
      </c>
    </row>
  </sheetData>
  <sheetProtection algorithmName="SHA-512" hashValue="+CZQhhaRSXLFxT7vVeRs/hFJHOe9dt8sKW7nMpkkAWxa/sNJOKkn0RCQgcBW2yrULWVeb4h9gjKRM6PPfkJCjA==" saltValue="oItChSu9b3lQL5OQdzsckw=="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9"/>
  <sheetViews>
    <sheetView workbookViewId="0">
      <selection activeCell="B22" sqref="B22"/>
    </sheetView>
  </sheetViews>
  <sheetFormatPr baseColWidth="10" defaultColWidth="8.83203125" defaultRowHeight="15"/>
  <cols>
    <col min="1" max="1" width="14.83203125" bestFit="1" customWidth="1"/>
    <col min="4" max="4" width="9.6640625" bestFit="1" customWidth="1"/>
  </cols>
  <sheetData>
    <row r="1" spans="2:17">
      <c r="B1" t="s">
        <v>10</v>
      </c>
      <c r="K1" t="s">
        <v>11</v>
      </c>
    </row>
    <row r="3" spans="2:17">
      <c r="B3" s="4" t="s">
        <v>5</v>
      </c>
      <c r="C3" s="4" t="s">
        <v>31</v>
      </c>
      <c r="D3" s="4" t="s">
        <v>17</v>
      </c>
      <c r="E3" s="4" t="s">
        <v>0</v>
      </c>
      <c r="F3" s="4" t="s">
        <v>18</v>
      </c>
      <c r="G3" s="4" t="s">
        <v>32</v>
      </c>
      <c r="H3" s="4"/>
      <c r="K3" s="4" t="s">
        <v>5</v>
      </c>
      <c r="L3" s="4" t="s">
        <v>31</v>
      </c>
      <c r="M3" s="4" t="s">
        <v>17</v>
      </c>
      <c r="N3" s="4" t="s">
        <v>0</v>
      </c>
      <c r="O3" s="4" t="s">
        <v>18</v>
      </c>
      <c r="P3" s="4" t="s">
        <v>32</v>
      </c>
      <c r="Q3" s="4"/>
    </row>
    <row r="4" spans="2:17">
      <c r="B4" s="4">
        <v>0</v>
      </c>
      <c r="C4" s="4"/>
      <c r="D4" s="4"/>
      <c r="E4" s="4"/>
      <c r="F4" s="4"/>
      <c r="G4" s="4"/>
      <c r="H4" s="4"/>
      <c r="K4" s="4">
        <v>0</v>
      </c>
      <c r="L4" s="4"/>
      <c r="M4" s="4"/>
      <c r="N4" s="4"/>
      <c r="O4" s="4"/>
      <c r="P4" s="4"/>
      <c r="Q4" s="4"/>
    </row>
    <row r="5" spans="2:17" ht="16">
      <c r="B5" s="4">
        <v>0.3</v>
      </c>
      <c r="C5" s="4">
        <v>0</v>
      </c>
      <c r="D5" s="4">
        <v>0.18181818199999999</v>
      </c>
      <c r="E5" s="4">
        <v>0.22580645199999999</v>
      </c>
      <c r="F5" s="4">
        <v>0.28260869599999999</v>
      </c>
      <c r="G5" s="4">
        <v>0.35714285699999998</v>
      </c>
      <c r="H5" s="3">
        <v>1</v>
      </c>
      <c r="I5" s="1"/>
      <c r="K5" s="4">
        <v>0.3</v>
      </c>
      <c r="L5" s="4">
        <v>0</v>
      </c>
      <c r="M5" s="4">
        <v>0.177777778</v>
      </c>
      <c r="N5" s="4">
        <v>0.25</v>
      </c>
      <c r="O5" s="4">
        <v>0.28888888899999998</v>
      </c>
      <c r="P5" s="4">
        <v>0.33333333300000001</v>
      </c>
      <c r="Q5" s="3">
        <v>1</v>
      </c>
    </row>
    <row r="6" spans="2:17" ht="16">
      <c r="B6" s="4">
        <v>0.4</v>
      </c>
      <c r="C6" s="4">
        <v>0</v>
      </c>
      <c r="D6" s="4">
        <v>0.3125</v>
      </c>
      <c r="E6" s="4">
        <v>0.36249999999999999</v>
      </c>
      <c r="F6" s="4">
        <v>0.407407407</v>
      </c>
      <c r="G6" s="4">
        <v>0.47222222200000002</v>
      </c>
      <c r="H6" s="3">
        <v>1</v>
      </c>
      <c r="I6" s="1"/>
      <c r="K6" s="4">
        <v>0.4</v>
      </c>
      <c r="L6" s="4">
        <v>0</v>
      </c>
      <c r="M6" s="4">
        <v>0.33962264199999997</v>
      </c>
      <c r="N6" s="4">
        <v>0.37777777800000001</v>
      </c>
      <c r="O6" s="4">
        <v>0.42</v>
      </c>
      <c r="P6" s="4">
        <v>0.45714285700000001</v>
      </c>
      <c r="Q6" s="3">
        <v>1</v>
      </c>
    </row>
    <row r="7" spans="2:17" ht="16">
      <c r="B7" s="4">
        <v>0.45</v>
      </c>
      <c r="C7" s="4">
        <v>0</v>
      </c>
      <c r="D7" s="4">
        <v>0.39130434800000002</v>
      </c>
      <c r="E7" s="4">
        <v>0.446428571</v>
      </c>
      <c r="F7" s="4">
        <v>0.49090909100000002</v>
      </c>
      <c r="G7" s="4">
        <v>0.55555555599999995</v>
      </c>
      <c r="H7" s="3">
        <v>1</v>
      </c>
      <c r="I7" s="1"/>
      <c r="K7" s="4">
        <v>0.45</v>
      </c>
      <c r="L7" s="4">
        <v>0</v>
      </c>
      <c r="M7" s="4">
        <v>0.408450704</v>
      </c>
      <c r="N7" s="4">
        <v>0.44210526300000003</v>
      </c>
      <c r="O7" s="4">
        <v>0.48181818199999998</v>
      </c>
      <c r="P7" s="4">
        <v>0.53061224500000004</v>
      </c>
      <c r="Q7" s="3">
        <v>1</v>
      </c>
    </row>
    <row r="8" spans="2:17" ht="16">
      <c r="B8" s="4">
        <v>0.5</v>
      </c>
      <c r="C8" s="4">
        <v>0</v>
      </c>
      <c r="D8" s="4">
        <v>0.41860465099999999</v>
      </c>
      <c r="E8" s="4">
        <v>0.472727273</v>
      </c>
      <c r="F8" s="4">
        <v>0.52439024400000001</v>
      </c>
      <c r="G8" s="4">
        <v>0.58823529399999996</v>
      </c>
      <c r="H8" s="3">
        <v>1</v>
      </c>
      <c r="I8" s="1"/>
      <c r="K8" s="4">
        <v>0.5</v>
      </c>
      <c r="L8" s="4">
        <v>0</v>
      </c>
      <c r="M8" s="4">
        <v>0.43333333299999999</v>
      </c>
      <c r="N8" s="4">
        <v>0.482758621</v>
      </c>
      <c r="O8" s="4">
        <v>0.51421188600000001</v>
      </c>
      <c r="P8" s="4">
        <v>0.56321839100000004</v>
      </c>
      <c r="Q8" s="3">
        <v>1</v>
      </c>
    </row>
    <row r="9" spans="2:17" ht="16">
      <c r="B9" s="4">
        <v>0.55000000000000004</v>
      </c>
      <c r="C9" s="4">
        <v>0</v>
      </c>
      <c r="D9" s="4">
        <v>0.47499999999999998</v>
      </c>
      <c r="E9" s="4">
        <v>0.52380952400000003</v>
      </c>
      <c r="F9" s="4">
        <v>0.56470588200000005</v>
      </c>
      <c r="G9" s="4">
        <v>0.62195122000000003</v>
      </c>
      <c r="H9" s="3">
        <v>1</v>
      </c>
      <c r="I9" s="1"/>
      <c r="K9" s="4">
        <v>0.55000000000000004</v>
      </c>
      <c r="L9" s="4">
        <v>0</v>
      </c>
      <c r="M9" s="4">
        <v>0.505434783</v>
      </c>
      <c r="N9" s="4">
        <v>0.52941176499999998</v>
      </c>
      <c r="O9" s="4">
        <v>0.56818181800000001</v>
      </c>
      <c r="P9" s="4">
        <v>0.60550458699999998</v>
      </c>
      <c r="Q9" s="3">
        <v>1</v>
      </c>
    </row>
    <row r="10" spans="2:17" ht="16">
      <c r="B10" s="4">
        <v>0.6</v>
      </c>
      <c r="C10" s="4">
        <v>0</v>
      </c>
      <c r="D10" s="4">
        <v>0.51923076899999998</v>
      </c>
      <c r="E10" s="4">
        <v>0.56451612900000003</v>
      </c>
      <c r="F10" s="4">
        <v>0.60714285700000004</v>
      </c>
      <c r="G10" s="4">
        <v>0.65853658500000001</v>
      </c>
      <c r="H10" s="3">
        <v>1</v>
      </c>
      <c r="I10" s="1"/>
      <c r="K10" s="4">
        <v>0.6</v>
      </c>
      <c r="L10" s="4">
        <v>0</v>
      </c>
      <c r="M10" s="4">
        <v>0.55000000000000004</v>
      </c>
      <c r="N10" s="4">
        <v>0.58536585399999996</v>
      </c>
      <c r="O10" s="4">
        <v>0.61788617899999998</v>
      </c>
      <c r="P10" s="4">
        <v>0.65294117600000001</v>
      </c>
      <c r="Q10" s="3">
        <v>1</v>
      </c>
    </row>
    <row r="11" spans="2:17" ht="16">
      <c r="B11" s="4">
        <v>0.7</v>
      </c>
      <c r="C11" s="4">
        <v>0</v>
      </c>
      <c r="D11" s="4">
        <v>0.58565737100000004</v>
      </c>
      <c r="E11" s="4">
        <v>0.63529411800000002</v>
      </c>
      <c r="F11" s="4">
        <v>0.67883211700000001</v>
      </c>
      <c r="G11" s="4">
        <v>0.72413793100000001</v>
      </c>
      <c r="H11" s="3">
        <v>1</v>
      </c>
      <c r="I11" s="1"/>
      <c r="K11" s="4">
        <v>0.7</v>
      </c>
      <c r="L11" s="4">
        <v>0</v>
      </c>
      <c r="M11" s="4">
        <v>0.61538461499999997</v>
      </c>
      <c r="N11" s="4">
        <v>0.65384615400000001</v>
      </c>
      <c r="O11" s="4">
        <v>0.68292682900000001</v>
      </c>
      <c r="P11" s="4">
        <v>0.71875</v>
      </c>
      <c r="Q11" s="3">
        <v>1</v>
      </c>
    </row>
    <row r="12" spans="2:17" ht="16">
      <c r="B12" s="4">
        <v>0.8</v>
      </c>
      <c r="C12" s="4">
        <v>0</v>
      </c>
      <c r="D12" s="4">
        <v>0.67058823499999998</v>
      </c>
      <c r="E12" s="4">
        <v>0.72173913000000001</v>
      </c>
      <c r="F12" s="4">
        <v>0.75824175800000004</v>
      </c>
      <c r="G12" s="4">
        <v>0.8</v>
      </c>
      <c r="H12" s="3">
        <v>1</v>
      </c>
      <c r="I12" s="1"/>
      <c r="K12" s="4">
        <v>0.8</v>
      </c>
      <c r="L12" s="4">
        <v>0</v>
      </c>
      <c r="M12" s="4">
        <v>0.69747899199999996</v>
      </c>
      <c r="N12" s="4">
        <v>0.73684210500000002</v>
      </c>
      <c r="O12" s="4">
        <v>0.76829268299999998</v>
      </c>
      <c r="P12" s="4">
        <v>0.79861111100000004</v>
      </c>
      <c r="Q12" s="3">
        <v>1</v>
      </c>
    </row>
    <row r="13" spans="2:17" ht="16">
      <c r="B13" s="4">
        <v>0.9</v>
      </c>
      <c r="C13" s="4">
        <v>0</v>
      </c>
      <c r="D13" s="4">
        <v>0.77290836699999999</v>
      </c>
      <c r="E13" s="4">
        <v>0.81506849299999995</v>
      </c>
      <c r="F13" s="4">
        <v>0.84666666700000004</v>
      </c>
      <c r="G13" s="4">
        <v>0.87777777800000001</v>
      </c>
      <c r="H13" s="3">
        <v>1</v>
      </c>
      <c r="I13" s="1"/>
      <c r="K13" s="4">
        <v>0.9</v>
      </c>
      <c r="L13" s="4">
        <v>0</v>
      </c>
      <c r="M13" s="4">
        <v>0.79518072299999998</v>
      </c>
      <c r="N13" s="4">
        <v>0.83098591499999996</v>
      </c>
      <c r="O13" s="4">
        <v>0.85542168699999999</v>
      </c>
      <c r="P13" s="4">
        <v>0.88571428600000002</v>
      </c>
      <c r="Q13" s="3">
        <v>1</v>
      </c>
    </row>
    <row r="14" spans="2:17" ht="16">
      <c r="B14" s="4">
        <v>1</v>
      </c>
      <c r="C14" s="4">
        <v>0</v>
      </c>
      <c r="D14" s="4">
        <v>0.87301587300000005</v>
      </c>
      <c r="E14" s="4">
        <v>0.90178571399999996</v>
      </c>
      <c r="F14" s="4">
        <v>0.92682926799999998</v>
      </c>
      <c r="G14" s="4">
        <v>0.95384615399999995</v>
      </c>
      <c r="H14" s="3">
        <v>1</v>
      </c>
      <c r="I14" s="1"/>
      <c r="K14" s="4">
        <v>1</v>
      </c>
      <c r="L14" s="4">
        <v>0</v>
      </c>
      <c r="M14" s="4">
        <v>0.89024390200000003</v>
      </c>
      <c r="N14" s="4">
        <v>0.91603053400000001</v>
      </c>
      <c r="O14" s="4">
        <v>0.93693693700000003</v>
      </c>
      <c r="P14" s="4">
        <v>0.96</v>
      </c>
      <c r="Q14" s="3">
        <v>1</v>
      </c>
    </row>
    <row r="15" spans="2:17" ht="16">
      <c r="B15" s="6"/>
      <c r="C15" s="6"/>
      <c r="D15" s="6"/>
      <c r="E15" s="6"/>
      <c r="F15" s="6"/>
      <c r="G15" s="6"/>
      <c r="H15" s="7"/>
      <c r="I15" s="1"/>
      <c r="K15" s="6"/>
      <c r="L15" s="6"/>
      <c r="M15" s="6"/>
      <c r="N15" s="6"/>
      <c r="O15" s="6"/>
      <c r="P15" s="6"/>
      <c r="Q15" s="7"/>
    </row>
    <row r="16" spans="2:17" ht="16">
      <c r="B16" s="6"/>
      <c r="C16" s="6"/>
      <c r="D16" s="6"/>
      <c r="E16" s="6"/>
      <c r="F16" s="6"/>
      <c r="G16" s="6"/>
      <c r="H16" s="7"/>
      <c r="I16" s="1"/>
      <c r="K16" s="6"/>
      <c r="L16" s="6"/>
      <c r="M16" s="6"/>
      <c r="N16" s="6"/>
      <c r="O16" s="6"/>
      <c r="P16" s="6"/>
      <c r="Q16" s="7"/>
    </row>
    <row r="17" spans="1:17" ht="16">
      <c r="A17" t="s">
        <v>14</v>
      </c>
      <c r="B17" t="e">
        <f>IF(BOY_2="",NA(),BOY_2)</f>
        <v>#N/A</v>
      </c>
      <c r="C17" t="e">
        <f>IF(OR(B17="",B17&lt;0,B17&gt;1),NA(),IF(B17=1,0.999,B17))</f>
        <v>#N/A</v>
      </c>
      <c r="I17" s="1"/>
      <c r="K17" s="6"/>
      <c r="L17" s="6"/>
      <c r="M17" s="6"/>
      <c r="N17" s="6"/>
      <c r="O17" s="6"/>
      <c r="P17" s="6"/>
      <c r="Q17" s="7"/>
    </row>
    <row r="18" spans="1:17" ht="16">
      <c r="A18" t="s">
        <v>82</v>
      </c>
      <c r="B18" t="e">
        <f>IF(MOY_2="",NA(),MOY_2)</f>
        <v>#N/A</v>
      </c>
      <c r="C18" t="e">
        <f>IF(OR(B18="",B18&lt;0,B18&gt;1),NA(),IF(B18=1,0.999,B18))</f>
        <v>#N/A</v>
      </c>
      <c r="I18" s="1"/>
      <c r="K18" s="6"/>
      <c r="L18" s="6"/>
      <c r="M18" s="6"/>
      <c r="N18" s="6"/>
      <c r="O18" s="6"/>
      <c r="P18" s="6"/>
      <c r="Q18" s="7"/>
    </row>
    <row r="19" spans="1:17" ht="16">
      <c r="A19" t="s">
        <v>15</v>
      </c>
      <c r="B19" t="e">
        <f>IF(goal_BOY_2="",NA(),goal_BOY_2)</f>
        <v>#N/A</v>
      </c>
      <c r="C19" t="e">
        <f>IF(OR(B19="",B19&lt;0,B19&gt;1),NA(),IF(B19=0,0.999,B19))</f>
        <v>#N/A</v>
      </c>
      <c r="I19" s="1"/>
      <c r="K19" s="6"/>
      <c r="L19" s="6"/>
      <c r="M19" s="6"/>
      <c r="N19" s="6"/>
      <c r="O19" s="6"/>
      <c r="P19" s="6"/>
      <c r="Q19" s="7"/>
    </row>
    <row r="21" spans="1:17">
      <c r="A21" s="5" t="s">
        <v>12</v>
      </c>
    </row>
    <row r="22" spans="1:17" ht="16">
      <c r="A22" s="2" t="s">
        <v>9</v>
      </c>
      <c r="B22" s="1" t="e">
        <f>SUMPRODUCT((K3:K13&lt;=$C$17)*(K4:K14&gt;$C$17),(K4:K14))</f>
        <v>#N/A</v>
      </c>
      <c r="C22" t="e">
        <f>VLOOKUP($B$22,$K$5:$Q$14,2,FALSE)</f>
        <v>#N/A</v>
      </c>
      <c r="D22" t="e">
        <f>ROUND(VLOOKUP($B$22,$K$5:$Q$14,3,FALSE),2)</f>
        <v>#N/A</v>
      </c>
      <c r="E22" t="e">
        <f>ROUND(VLOOKUP($B$22,$K$5:$Q$14,4,FALSE),2)</f>
        <v>#N/A</v>
      </c>
      <c r="F22" t="e">
        <f>ROUND(VLOOKUP($B$22,$K$5:$Q$14,5,FALSE),2)</f>
        <v>#N/A</v>
      </c>
      <c r="G22" t="e">
        <f>ROUND(VLOOKUP($B$22,$K$5:$Q$14,6,FALSE),2)</f>
        <v>#N/A</v>
      </c>
      <c r="H22" t="e">
        <f>VLOOKUP($B$22,$K$5:$Q$14,7,FALSE)</f>
        <v>#N/A</v>
      </c>
      <c r="J22" s="2"/>
    </row>
    <row r="23" spans="1:17" ht="16">
      <c r="A23" s="2" t="s">
        <v>81</v>
      </c>
      <c r="B23" s="1" t="e">
        <f ca="1">OFFSET(J3,0,SUMPRODUCT((C22:G22&lt;=$C$18)*(D22:H22&gt;$C$18),COLUMN(B22:F22)))</f>
        <v>#N/A</v>
      </c>
      <c r="J23" s="2"/>
      <c r="K23" s="1"/>
    </row>
    <row r="24" spans="1:17" ht="16">
      <c r="A24" s="2"/>
      <c r="B24" s="1"/>
      <c r="J24" s="2"/>
      <c r="K24" s="1"/>
    </row>
    <row r="25" spans="1:17" ht="16">
      <c r="A25" s="5" t="s">
        <v>13</v>
      </c>
      <c r="B25" s="1"/>
      <c r="J25" s="2"/>
      <c r="K25" s="1"/>
    </row>
    <row r="26" spans="1:17" ht="16">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7" ht="16">
      <c r="A27" s="2" t="s">
        <v>9</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7">
      <c r="A28" s="2" t="s">
        <v>6</v>
      </c>
      <c r="B28" t="e">
        <f ca="1">OFFSET(A26,0,MATCH(goal_2,$B$3:$H$3,FALSE))</f>
        <v>#N/A</v>
      </c>
      <c r="C28" t="e">
        <f ca="1">OFFSET(A26,0,MATCH(goal_2,$B$3:$H$3,FALSE)+1)</f>
        <v>#N/A</v>
      </c>
      <c r="D28" t="e">
        <f ca="1">CONCATENATE(TEXT(ROUND($B$28,2)*100,"0")," - ",TEXT(ROUND($C$28,2),"0%"))</f>
        <v>#N/A</v>
      </c>
    </row>
    <row r="29" spans="1:17">
      <c r="A29" s="2" t="s">
        <v>8</v>
      </c>
      <c r="B29" t="e">
        <f ca="1">OFFSET(A27,0,MATCH(goal_2,$K$3:$Q$3,FALSE))</f>
        <v>#N/A</v>
      </c>
      <c r="C29" t="e">
        <f ca="1">OFFSET(A27,0,MATCH(goal_2,$K$3:$Q$3,FALSE)+1)</f>
        <v>#N/A</v>
      </c>
      <c r="D29" t="e">
        <f ca="1">CONCATENATE(TEXT(ROUND($B$29,2)*100,"0")," - ",TEXT(ROUND($C$29,2),"0%"))</f>
        <v>#N/A</v>
      </c>
    </row>
  </sheetData>
  <sheetProtection algorithmName="SHA-512" hashValue="bh2drKtdGEpiwGs0/zltGBmEeYSkG7L0oZ/HVv2scCwwW+KreG9vbWRPmUE04XiV+kMDFAUyMjO0RZV4Op/iHQ==" saltValue="KMlMG+7bg0FJqSGK8JL5hA=="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29"/>
  <sheetViews>
    <sheetView workbookViewId="0">
      <selection activeCell="A19" sqref="A19"/>
    </sheetView>
  </sheetViews>
  <sheetFormatPr baseColWidth="10" defaultColWidth="8.83203125" defaultRowHeight="15"/>
  <cols>
    <col min="1" max="1" width="14.83203125" bestFit="1" customWidth="1"/>
    <col min="4" max="4" width="9.6640625" bestFit="1" customWidth="1"/>
  </cols>
  <sheetData>
    <row r="1" spans="2:17">
      <c r="B1" t="s">
        <v>10</v>
      </c>
      <c r="K1" t="s">
        <v>11</v>
      </c>
    </row>
    <row r="3" spans="2:17">
      <c r="B3" s="4" t="s">
        <v>5</v>
      </c>
      <c r="C3" s="4" t="s">
        <v>31</v>
      </c>
      <c r="D3" s="4" t="s">
        <v>17</v>
      </c>
      <c r="E3" s="4" t="s">
        <v>0</v>
      </c>
      <c r="F3" s="4" t="s">
        <v>18</v>
      </c>
      <c r="G3" s="4" t="s">
        <v>32</v>
      </c>
      <c r="H3" s="4"/>
      <c r="K3" s="4" t="s">
        <v>5</v>
      </c>
      <c r="L3" s="4" t="s">
        <v>31</v>
      </c>
      <c r="M3" s="4" t="s">
        <v>17</v>
      </c>
      <c r="N3" s="4" t="s">
        <v>0</v>
      </c>
      <c r="O3" s="4" t="s">
        <v>18</v>
      </c>
      <c r="P3" s="4" t="s">
        <v>32</v>
      </c>
      <c r="Q3" s="4"/>
    </row>
    <row r="4" spans="2:17">
      <c r="B4" s="4">
        <v>0</v>
      </c>
      <c r="C4" s="4"/>
      <c r="D4" s="4"/>
      <c r="E4" s="4"/>
      <c r="F4" s="4"/>
      <c r="G4" s="4"/>
      <c r="H4" s="4"/>
      <c r="K4" s="4">
        <v>0</v>
      </c>
      <c r="L4" s="4"/>
      <c r="M4" s="4"/>
      <c r="N4" s="4"/>
      <c r="O4" s="4"/>
      <c r="P4" s="4"/>
      <c r="Q4" s="4"/>
    </row>
    <row r="5" spans="2:17" ht="16">
      <c r="B5" s="4">
        <v>0.3</v>
      </c>
      <c r="C5" s="4">
        <v>0</v>
      </c>
      <c r="D5" s="4">
        <v>0.19354838699999999</v>
      </c>
      <c r="E5" s="4">
        <v>0.26315789499999998</v>
      </c>
      <c r="F5" s="4">
        <v>0.32978723399999998</v>
      </c>
      <c r="G5" s="4">
        <v>0.41935483899999998</v>
      </c>
      <c r="H5" s="3">
        <v>1</v>
      </c>
      <c r="I5" s="1"/>
      <c r="K5" s="4">
        <v>0.3</v>
      </c>
      <c r="L5" s="4">
        <v>0</v>
      </c>
      <c r="M5" s="4">
        <v>0.171875</v>
      </c>
      <c r="N5" s="4">
        <v>0.23728813600000001</v>
      </c>
      <c r="O5" s="4">
        <v>0.27397260299999998</v>
      </c>
      <c r="P5" s="4">
        <v>0.375</v>
      </c>
      <c r="Q5" s="3">
        <v>1</v>
      </c>
    </row>
    <row r="6" spans="2:17" ht="16">
      <c r="B6" s="4">
        <v>0.4</v>
      </c>
      <c r="C6" s="4">
        <v>0</v>
      </c>
      <c r="D6" s="4">
        <v>0.31343283599999999</v>
      </c>
      <c r="E6" s="4">
        <v>0.37931034499999999</v>
      </c>
      <c r="F6" s="4">
        <v>0.42028985499999999</v>
      </c>
      <c r="G6" s="4">
        <v>0.46052631599999999</v>
      </c>
      <c r="H6" s="3">
        <v>1</v>
      </c>
      <c r="I6" s="1"/>
      <c r="K6" s="4">
        <v>0.4</v>
      </c>
      <c r="L6" s="4">
        <v>0</v>
      </c>
      <c r="M6" s="4">
        <v>0.26666666700000002</v>
      </c>
      <c r="N6" s="4">
        <v>0.30827067699999999</v>
      </c>
      <c r="O6" s="4">
        <v>0.35135135099999998</v>
      </c>
      <c r="P6" s="4">
        <v>0.40384615400000001</v>
      </c>
      <c r="Q6" s="3">
        <v>1</v>
      </c>
    </row>
    <row r="7" spans="2:17" ht="16">
      <c r="B7" s="4">
        <v>0.45</v>
      </c>
      <c r="C7" s="4">
        <v>0</v>
      </c>
      <c r="D7" s="4">
        <v>0.36507936499999999</v>
      </c>
      <c r="E7" s="4">
        <v>0.418918919</v>
      </c>
      <c r="F7" s="4">
        <v>0.47058823500000002</v>
      </c>
      <c r="G7" s="4">
        <v>0.55555555599999995</v>
      </c>
      <c r="H7" s="3">
        <v>1</v>
      </c>
      <c r="I7" s="1"/>
      <c r="K7" s="4">
        <v>0.45</v>
      </c>
      <c r="L7" s="4">
        <v>0</v>
      </c>
      <c r="M7" s="4">
        <v>0.35416666699999999</v>
      </c>
      <c r="N7" s="4">
        <v>0.405405405</v>
      </c>
      <c r="O7" s="4">
        <v>0.43478260899999999</v>
      </c>
      <c r="P7" s="4">
        <v>0.49122807000000002</v>
      </c>
      <c r="Q7" s="3">
        <v>1</v>
      </c>
    </row>
    <row r="8" spans="2:17" ht="16">
      <c r="B8" s="4">
        <v>0.5</v>
      </c>
      <c r="C8" s="4">
        <v>0</v>
      </c>
      <c r="D8" s="4">
        <v>0.43010752699999999</v>
      </c>
      <c r="E8" s="4">
        <v>0.49295774599999997</v>
      </c>
      <c r="F8" s="4">
        <v>0.53658536599999995</v>
      </c>
      <c r="G8" s="4">
        <v>0.60344827599999995</v>
      </c>
      <c r="H8" s="3">
        <v>1</v>
      </c>
      <c r="I8" s="1"/>
      <c r="K8" s="4">
        <v>0.5</v>
      </c>
      <c r="L8" s="4">
        <v>0</v>
      </c>
      <c r="M8" s="4">
        <v>0.39215686300000002</v>
      </c>
      <c r="N8" s="4">
        <v>0.44285714300000001</v>
      </c>
      <c r="O8" s="4">
        <v>0.48837209300000001</v>
      </c>
      <c r="P8" s="4">
        <v>0.54255319099999999</v>
      </c>
      <c r="Q8" s="3">
        <v>1</v>
      </c>
    </row>
    <row r="9" spans="2:17" ht="16">
      <c r="B9" s="4">
        <v>0.55000000000000004</v>
      </c>
      <c r="C9" s="4">
        <v>0</v>
      </c>
      <c r="D9" s="4">
        <v>0.48809523799999999</v>
      </c>
      <c r="E9" s="4">
        <v>0.54545454500000001</v>
      </c>
      <c r="F9" s="4">
        <v>0.57777777799999996</v>
      </c>
      <c r="G9" s="4">
        <v>0.62903225799999996</v>
      </c>
      <c r="H9" s="3">
        <v>1</v>
      </c>
      <c r="I9" s="1"/>
      <c r="K9" s="4">
        <v>0.55000000000000004</v>
      </c>
      <c r="L9" s="4">
        <v>0</v>
      </c>
      <c r="M9" s="4">
        <v>0.44736842100000002</v>
      </c>
      <c r="N9" s="4">
        <v>0.50549450500000004</v>
      </c>
      <c r="O9" s="4">
        <v>0.54</v>
      </c>
      <c r="P9" s="4">
        <v>0.58064516099999997</v>
      </c>
      <c r="Q9" s="3">
        <v>1</v>
      </c>
    </row>
    <row r="10" spans="2:17" ht="16">
      <c r="B10" s="4">
        <v>0.6</v>
      </c>
      <c r="C10" s="4">
        <v>0</v>
      </c>
      <c r="D10" s="4">
        <v>0.51219512199999995</v>
      </c>
      <c r="E10" s="4">
        <v>0.57377049199999997</v>
      </c>
      <c r="F10" s="4">
        <v>0.61904761900000005</v>
      </c>
      <c r="G10" s="4">
        <v>0.67241379300000004</v>
      </c>
      <c r="H10" s="3">
        <v>1</v>
      </c>
      <c r="I10" s="1"/>
      <c r="K10" s="4">
        <v>0.6</v>
      </c>
      <c r="L10" s="4">
        <v>0</v>
      </c>
      <c r="M10" s="4">
        <v>0.49473684200000001</v>
      </c>
      <c r="N10" s="4">
        <v>0.53932584299999997</v>
      </c>
      <c r="O10" s="4">
        <v>0.57627118600000005</v>
      </c>
      <c r="P10" s="4">
        <v>0.625</v>
      </c>
      <c r="Q10" s="3">
        <v>1</v>
      </c>
    </row>
    <row r="11" spans="2:17" ht="16">
      <c r="B11" s="4">
        <v>0.7</v>
      </c>
      <c r="C11" s="4">
        <v>0</v>
      </c>
      <c r="D11" s="4">
        <v>0.58730158700000001</v>
      </c>
      <c r="E11" s="4">
        <v>0.64150943400000005</v>
      </c>
      <c r="F11" s="4">
        <v>0.68571428599999995</v>
      </c>
      <c r="G11" s="4">
        <v>0.73469387799999997</v>
      </c>
      <c r="H11" s="3">
        <v>1</v>
      </c>
      <c r="I11" s="1"/>
      <c r="K11" s="4">
        <v>0.7</v>
      </c>
      <c r="L11" s="4">
        <v>0</v>
      </c>
      <c r="M11" s="4">
        <v>0.56043955999999995</v>
      </c>
      <c r="N11" s="4">
        <v>0.61363636399999999</v>
      </c>
      <c r="O11" s="4">
        <v>0.65384615400000001</v>
      </c>
      <c r="P11" s="4">
        <v>0.69811320799999999</v>
      </c>
      <c r="Q11" s="3">
        <v>1</v>
      </c>
    </row>
    <row r="12" spans="2:17" ht="16">
      <c r="B12" s="4">
        <v>0.8</v>
      </c>
      <c r="C12" s="4">
        <v>0</v>
      </c>
      <c r="D12" s="4">
        <v>0.69047619000000005</v>
      </c>
      <c r="E12" s="4">
        <v>0.73873873899999998</v>
      </c>
      <c r="F12" s="4">
        <v>0.77372262800000002</v>
      </c>
      <c r="G12" s="4">
        <v>0.81481481499999997</v>
      </c>
      <c r="H12" s="3">
        <v>1</v>
      </c>
      <c r="I12" s="1"/>
      <c r="K12" s="4">
        <v>0.8</v>
      </c>
      <c r="L12" s="4">
        <v>0</v>
      </c>
      <c r="M12" s="4">
        <v>0.66906474800000004</v>
      </c>
      <c r="N12" s="4">
        <v>0.71428571399999996</v>
      </c>
      <c r="O12" s="4">
        <v>0.75151515199999996</v>
      </c>
      <c r="P12" s="4">
        <v>0.78571428600000004</v>
      </c>
      <c r="Q12" s="3">
        <v>1</v>
      </c>
    </row>
    <row r="13" spans="2:17" ht="16">
      <c r="B13" s="4">
        <v>0.9</v>
      </c>
      <c r="C13" s="4">
        <v>0</v>
      </c>
      <c r="D13" s="4">
        <v>0.79047619000000002</v>
      </c>
      <c r="E13" s="4">
        <v>0.82733812900000003</v>
      </c>
      <c r="F13" s="4">
        <v>0.85987261100000001</v>
      </c>
      <c r="G13" s="4">
        <v>0.89247311799999995</v>
      </c>
      <c r="H13" s="3">
        <v>1</v>
      </c>
      <c r="I13" s="1"/>
      <c r="K13" s="4">
        <v>0.9</v>
      </c>
      <c r="L13" s="4">
        <v>0</v>
      </c>
      <c r="M13" s="4">
        <v>0.76991150399999997</v>
      </c>
      <c r="N13" s="4">
        <v>0.80645161300000001</v>
      </c>
      <c r="O13" s="4">
        <v>0.83695652200000004</v>
      </c>
      <c r="P13" s="4">
        <v>0.87037036999999995</v>
      </c>
      <c r="Q13" s="3">
        <v>1</v>
      </c>
    </row>
    <row r="14" spans="2:17" ht="16">
      <c r="B14" s="4">
        <v>1</v>
      </c>
      <c r="C14" s="4">
        <v>0</v>
      </c>
      <c r="D14" s="4">
        <v>0.88372092999999996</v>
      </c>
      <c r="E14" s="4">
        <v>0.90825688100000002</v>
      </c>
      <c r="F14" s="4">
        <v>0.928571429</v>
      </c>
      <c r="G14" s="4">
        <v>0.95</v>
      </c>
      <c r="H14" s="3">
        <v>1</v>
      </c>
      <c r="I14" s="1"/>
      <c r="K14" s="4">
        <v>1</v>
      </c>
      <c r="L14" s="4">
        <v>0</v>
      </c>
      <c r="M14" s="4">
        <v>0.87254902000000001</v>
      </c>
      <c r="N14" s="4">
        <v>0.89705882400000003</v>
      </c>
      <c r="O14" s="4">
        <v>0.92307692299999999</v>
      </c>
      <c r="P14" s="4">
        <v>0.94805194800000003</v>
      </c>
      <c r="Q14" s="3">
        <v>1</v>
      </c>
    </row>
    <row r="15" spans="2:17" ht="16">
      <c r="B15" s="6"/>
      <c r="C15" s="6"/>
      <c r="D15" s="6"/>
      <c r="E15" s="6"/>
      <c r="F15" s="6"/>
      <c r="G15" s="6"/>
      <c r="H15" s="7"/>
      <c r="I15" s="1"/>
      <c r="K15" s="6"/>
      <c r="L15" s="6"/>
      <c r="M15" s="6"/>
      <c r="N15" s="6"/>
      <c r="O15" s="6"/>
      <c r="P15" s="6"/>
      <c r="Q15" s="7"/>
    </row>
    <row r="16" spans="2:17" ht="16">
      <c r="B16" s="6"/>
      <c r="C16" s="6"/>
      <c r="D16" s="6"/>
      <c r="E16" s="6"/>
      <c r="F16" s="6"/>
      <c r="G16" s="6"/>
      <c r="H16" s="7"/>
      <c r="I16" s="1"/>
      <c r="K16" s="6"/>
      <c r="L16" s="6"/>
      <c r="M16" s="6"/>
      <c r="N16" s="6"/>
      <c r="O16" s="6"/>
      <c r="P16" s="6"/>
      <c r="Q16" s="7"/>
    </row>
    <row r="17" spans="1:17" ht="16">
      <c r="A17" t="s">
        <v>14</v>
      </c>
      <c r="B17" t="e">
        <f>IF(BOY_3="",NA(),BOY_3)</f>
        <v>#N/A</v>
      </c>
      <c r="C17" t="e">
        <f>IF(OR(B17="",B17&lt;0,B17&gt;1),NA(),IF(B17=1,0.999,B17))</f>
        <v>#N/A</v>
      </c>
      <c r="I17" s="1"/>
      <c r="K17" s="6"/>
      <c r="L17" s="6"/>
      <c r="M17" s="6"/>
      <c r="N17" s="6"/>
      <c r="O17" s="6"/>
      <c r="P17" s="6"/>
      <c r="Q17" s="7"/>
    </row>
    <row r="18" spans="1:17" ht="16">
      <c r="A18" t="s">
        <v>82</v>
      </c>
      <c r="B18" t="e">
        <f>IF(MOY_3="",NA(),MOY_3)</f>
        <v>#N/A</v>
      </c>
      <c r="C18" t="e">
        <f>IF(OR(B18="",B18&lt;0,B18&gt;1),NA(),IF(B18=1,0.999,B18))</f>
        <v>#N/A</v>
      </c>
      <c r="I18" s="1"/>
      <c r="K18" s="6"/>
      <c r="L18" s="6"/>
      <c r="M18" s="6"/>
      <c r="N18" s="6"/>
      <c r="O18" s="6"/>
      <c r="P18" s="6"/>
      <c r="Q18" s="7"/>
    </row>
    <row r="19" spans="1:17" ht="16">
      <c r="A19" t="s">
        <v>15</v>
      </c>
      <c r="B19" t="e">
        <f>IF(goal_BOY_3="",NA(),goal_BOY_3)</f>
        <v>#N/A</v>
      </c>
      <c r="C19" t="e">
        <f>IF(OR(B19="",B19&lt;0,B19&gt;1),NA(),IF(B19=1,0.999,B19))</f>
        <v>#N/A</v>
      </c>
      <c r="I19" s="1"/>
      <c r="K19" s="6"/>
      <c r="L19" s="6"/>
      <c r="M19" s="6"/>
      <c r="N19" s="6"/>
      <c r="O19" s="6"/>
      <c r="P19" s="6"/>
      <c r="Q19" s="7"/>
    </row>
    <row r="21" spans="1:17">
      <c r="A21" s="5" t="s">
        <v>12</v>
      </c>
    </row>
    <row r="22" spans="1:17" ht="16">
      <c r="A22" s="2" t="s">
        <v>9</v>
      </c>
      <c r="B22" s="1" t="e">
        <f>SUMPRODUCT((K3:K13&lt;=$C$17)*(K4:K14&gt;$C$17),(K4:K14))</f>
        <v>#N/A</v>
      </c>
      <c r="C22" t="e">
        <f>VLOOKUP($B$22,$K$5:$Q$14,2,FALSE)</f>
        <v>#N/A</v>
      </c>
      <c r="D22" t="e">
        <f>ROUND(VLOOKUP($B$22,$K$5:$Q$14,3,FALSE),2)</f>
        <v>#N/A</v>
      </c>
      <c r="E22" t="e">
        <f>ROUND(VLOOKUP($B$22,$K$5:$Q$14,4,FALSE),2)</f>
        <v>#N/A</v>
      </c>
      <c r="F22" t="e">
        <f>ROUND(VLOOKUP($B$22,$K$5:$Q$14,5,FALSE),2)</f>
        <v>#N/A</v>
      </c>
      <c r="G22" t="e">
        <f>ROUND(VLOOKUP($B$22,$K$5:$Q$14,6,FALSE),2)</f>
        <v>#N/A</v>
      </c>
      <c r="H22" t="e">
        <f>VLOOKUP($B$22,$K$5:$Q$14,7,FALSE)</f>
        <v>#N/A</v>
      </c>
      <c r="J22" s="2"/>
    </row>
    <row r="23" spans="1:17" ht="16">
      <c r="A23" s="2" t="s">
        <v>81</v>
      </c>
      <c r="B23" s="1" t="e">
        <f ca="1">OFFSET(J3,0,SUMPRODUCT((C22:G22&lt;=$C$18)*(D22:H22&gt;$C$18),COLUMN(B22:F22)))</f>
        <v>#N/A</v>
      </c>
      <c r="J23" s="2"/>
      <c r="K23" s="1"/>
    </row>
    <row r="24" spans="1:17" ht="16">
      <c r="A24" s="2"/>
      <c r="B24" s="1"/>
      <c r="J24" s="2"/>
      <c r="K24" s="1"/>
    </row>
    <row r="25" spans="1:17" ht="16">
      <c r="A25" s="5" t="s">
        <v>13</v>
      </c>
      <c r="B25" s="1"/>
      <c r="J25" s="2"/>
      <c r="K25" s="1"/>
    </row>
    <row r="26" spans="1:17" ht="16">
      <c r="A26" s="2" t="s">
        <v>7</v>
      </c>
      <c r="B26" s="1" t="e">
        <f>SUMPRODUCT((B3:B13&lt;=$C$19)*(B4:B14&gt;$C$19),(B4:B14))</f>
        <v>#N/A</v>
      </c>
      <c r="C26" t="e">
        <f>VLOOKUP($B$26,$B$5:$H$14,2,FALSE)</f>
        <v>#N/A</v>
      </c>
      <c r="D26" t="e">
        <f>VLOOKUP($B$26,$B$5:$H$14,3,FALSE)</f>
        <v>#N/A</v>
      </c>
      <c r="E26" t="e">
        <f>VLOOKUP($B$26,$B$5:$H$14,4,FALSE)</f>
        <v>#N/A</v>
      </c>
      <c r="F26" t="e">
        <f>VLOOKUP($B$26,$B$5:$H$14,5,FALSE)</f>
        <v>#N/A</v>
      </c>
      <c r="G26" t="e">
        <f>VLOOKUP($B$26,$B$5:$H$14,6,FALSE)</f>
        <v>#N/A</v>
      </c>
      <c r="H26" t="e">
        <f>VLOOKUP($B$26,$B$5:$H$14,7,FALSE)</f>
        <v>#N/A</v>
      </c>
      <c r="J26" s="2"/>
    </row>
    <row r="27" spans="1:17" ht="16">
      <c r="A27" s="2" t="s">
        <v>9</v>
      </c>
      <c r="B27" s="1"/>
      <c r="C27" t="e">
        <f>VLOOKUP($B$26,$K$5:$Q$14,2,FALSE)</f>
        <v>#N/A</v>
      </c>
      <c r="D27" t="e">
        <f>VLOOKUP($B$26,$K$5:$Q$14,3,FALSE)</f>
        <v>#N/A</v>
      </c>
      <c r="E27" t="e">
        <f>VLOOKUP($B$26,$K$5:$Q$14,4,FALSE)</f>
        <v>#N/A</v>
      </c>
      <c r="F27" t="e">
        <f>VLOOKUP($B$26,$K$5:$Q$14,5,FALSE)</f>
        <v>#N/A</v>
      </c>
      <c r="G27" t="e">
        <f>VLOOKUP($B$26,$K$5:$Q$14,6,FALSE)</f>
        <v>#N/A</v>
      </c>
      <c r="H27" t="e">
        <f>VLOOKUP($B$26,$K$5:$Q$14,7,FALSE)</f>
        <v>#N/A</v>
      </c>
      <c r="J27" s="2"/>
      <c r="K27" s="1"/>
    </row>
    <row r="28" spans="1:17">
      <c r="A28" s="2" t="s">
        <v>6</v>
      </c>
      <c r="B28" t="e">
        <f ca="1">OFFSET(A26,0,MATCH(goal_3,$B$3:$H$3,FALSE))</f>
        <v>#N/A</v>
      </c>
      <c r="C28" t="e">
        <f ca="1">OFFSET(A26,0,MATCH(goal_3,$B$3:$H$3,FALSE)+1)</f>
        <v>#N/A</v>
      </c>
      <c r="D28" t="e">
        <f ca="1">CONCATENATE(TEXT(ROUND($B$28,2)*100,"0")," - ",TEXT(ROUND($C$28,2),"0%"))</f>
        <v>#N/A</v>
      </c>
    </row>
    <row r="29" spans="1:17">
      <c r="A29" s="2" t="s">
        <v>8</v>
      </c>
      <c r="B29" t="e">
        <f ca="1">OFFSET(A27,0,MATCH(goal_3,$K$3:$Q$3,FALSE))</f>
        <v>#N/A</v>
      </c>
      <c r="C29" t="e">
        <f ca="1">OFFSET(A27,0,MATCH(goal_3,$K$3:$Q$3,FALSE)+1)</f>
        <v>#N/A</v>
      </c>
      <c r="D29" t="e">
        <f ca="1">CONCATENATE(TEXT(ROUND($B$29,2)*100,"0")," - ",TEXT(ROUND($C$29,2),"0%"))</f>
        <v>#N/A</v>
      </c>
    </row>
  </sheetData>
  <sheetProtection algorithmName="SHA-512" hashValue="aJgxbRsu2HYpzyGIn8iVRHO5K8EfA5uhKknyG29+UYgbVYjhmxfGxIhEBJnzEogl63xieg4R2uV7BQ+D/VQawQ==" saltValue="NgC8GLGsgYP3cW2DoAPm0A==" spinCount="100000"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9"/>
  <sheetViews>
    <sheetView workbookViewId="0">
      <selection activeCell="A19" sqref="A19"/>
    </sheetView>
  </sheetViews>
  <sheetFormatPr baseColWidth="10" defaultColWidth="8.83203125" defaultRowHeight="15"/>
  <cols>
    <col min="1" max="1" width="14.83203125" bestFit="1" customWidth="1"/>
    <col min="4" max="4" width="9.6640625" bestFit="1" customWidth="1"/>
  </cols>
  <sheetData>
    <row r="1" spans="2:17">
      <c r="B1" t="s">
        <v>10</v>
      </c>
      <c r="K1" t="s">
        <v>11</v>
      </c>
    </row>
    <row r="3" spans="2:17">
      <c r="B3" s="4" t="s">
        <v>5</v>
      </c>
      <c r="C3" s="4" t="s">
        <v>31</v>
      </c>
      <c r="D3" s="4" t="s">
        <v>17</v>
      </c>
      <c r="E3" s="4" t="s">
        <v>0</v>
      </c>
      <c r="F3" s="4" t="s">
        <v>18</v>
      </c>
      <c r="G3" s="4" t="s">
        <v>32</v>
      </c>
      <c r="H3" s="4"/>
      <c r="K3" s="4" t="s">
        <v>5</v>
      </c>
      <c r="L3" s="4" t="s">
        <v>31</v>
      </c>
      <c r="M3" s="4" t="s">
        <v>17</v>
      </c>
      <c r="N3" s="4" t="s">
        <v>0</v>
      </c>
      <c r="O3" s="4" t="s">
        <v>18</v>
      </c>
      <c r="P3" s="4" t="s">
        <v>32</v>
      </c>
      <c r="Q3" s="4"/>
    </row>
    <row r="4" spans="2:17">
      <c r="B4" s="4">
        <v>0</v>
      </c>
      <c r="C4" s="4"/>
      <c r="D4" s="35"/>
      <c r="E4" s="35"/>
      <c r="F4" s="35"/>
      <c r="G4" s="35"/>
      <c r="H4" s="4"/>
      <c r="K4" s="4">
        <v>0</v>
      </c>
      <c r="L4" s="4"/>
      <c r="M4" s="35"/>
      <c r="N4" s="35"/>
      <c r="O4" s="35"/>
      <c r="P4" s="35"/>
      <c r="Q4" s="4"/>
    </row>
    <row r="5" spans="2:17" ht="16">
      <c r="B5" s="4">
        <v>0.2</v>
      </c>
      <c r="C5" s="4">
        <v>0</v>
      </c>
      <c r="D5" s="4">
        <v>9.2436975000000005E-2</v>
      </c>
      <c r="E5" s="4">
        <v>0.171428571</v>
      </c>
      <c r="F5" s="4">
        <v>0.243243243</v>
      </c>
      <c r="G5" s="4">
        <v>0.30952381000000001</v>
      </c>
      <c r="H5" s="3">
        <v>1</v>
      </c>
      <c r="I5" s="1"/>
      <c r="K5" s="4">
        <v>0.2</v>
      </c>
      <c r="L5" s="4">
        <v>0</v>
      </c>
      <c r="M5" s="4">
        <v>6.9767441999999999E-2</v>
      </c>
      <c r="N5" s="4">
        <v>0.131578947</v>
      </c>
      <c r="O5" s="4">
        <v>0.17391304299999999</v>
      </c>
      <c r="P5" s="4">
        <v>0.22580645199999999</v>
      </c>
      <c r="Q5" s="3">
        <v>1</v>
      </c>
    </row>
    <row r="6" spans="2:17" ht="16">
      <c r="B6" s="4">
        <v>0.3</v>
      </c>
      <c r="C6" s="4">
        <v>0</v>
      </c>
      <c r="D6" s="4">
        <v>0.233333333</v>
      </c>
      <c r="E6" s="4">
        <v>0.33802816899999999</v>
      </c>
      <c r="F6" s="4">
        <v>0.38</v>
      </c>
      <c r="G6" s="4">
        <v>0.452380952</v>
      </c>
      <c r="H6" s="3">
        <v>1</v>
      </c>
      <c r="I6" s="1"/>
      <c r="K6" s="4">
        <v>0.3</v>
      </c>
      <c r="L6" s="4">
        <v>0</v>
      </c>
      <c r="M6" s="4">
        <v>0.20512820500000001</v>
      </c>
      <c r="N6" s="4">
        <v>0.25</v>
      </c>
      <c r="O6" s="4">
        <v>0.29752066100000002</v>
      </c>
      <c r="P6" s="4">
        <v>0.35714285699999998</v>
      </c>
      <c r="Q6" s="3">
        <v>1</v>
      </c>
    </row>
    <row r="7" spans="2:17" ht="16">
      <c r="B7" s="4">
        <v>0.4</v>
      </c>
      <c r="C7" s="4">
        <v>0</v>
      </c>
      <c r="D7" s="4">
        <v>0.365853659</v>
      </c>
      <c r="E7" s="4">
        <v>0.41935483899999998</v>
      </c>
      <c r="F7" s="4">
        <v>0.45161290300000001</v>
      </c>
      <c r="G7" s="4">
        <v>0.51282051299999998</v>
      </c>
      <c r="H7" s="3">
        <v>1</v>
      </c>
      <c r="I7" s="1"/>
      <c r="K7" s="4">
        <v>0.4</v>
      </c>
      <c r="L7" s="4">
        <v>0</v>
      </c>
      <c r="M7" s="4">
        <v>0.28985507199999999</v>
      </c>
      <c r="N7" s="4">
        <v>0.346938776</v>
      </c>
      <c r="O7" s="4">
        <v>0.39130434800000002</v>
      </c>
      <c r="P7" s="4">
        <v>0.44444444399999999</v>
      </c>
      <c r="Q7" s="3">
        <v>1</v>
      </c>
    </row>
    <row r="8" spans="2:17" ht="16">
      <c r="B8" s="4">
        <v>0.45</v>
      </c>
      <c r="C8" s="4">
        <v>0</v>
      </c>
      <c r="D8" s="4">
        <v>0.428571429</v>
      </c>
      <c r="E8" s="4">
        <v>0.48214285699999998</v>
      </c>
      <c r="F8" s="4">
        <v>0.52054794500000001</v>
      </c>
      <c r="G8" s="4">
        <v>0.60344827599999995</v>
      </c>
      <c r="H8" s="3">
        <v>1</v>
      </c>
      <c r="I8" s="1"/>
      <c r="K8" s="4">
        <v>0.45</v>
      </c>
      <c r="L8" s="4">
        <v>0</v>
      </c>
      <c r="M8" s="4">
        <v>0.389705882</v>
      </c>
      <c r="N8" s="4">
        <v>0.43333333299999999</v>
      </c>
      <c r="O8" s="4">
        <v>0.467741935</v>
      </c>
      <c r="P8" s="4">
        <v>0.5078125</v>
      </c>
      <c r="Q8" s="3">
        <v>1</v>
      </c>
    </row>
    <row r="9" spans="2:17" ht="16">
      <c r="B9" s="4">
        <v>0.5</v>
      </c>
      <c r="C9" s="4">
        <v>0</v>
      </c>
      <c r="D9" s="4">
        <v>0.45098039200000001</v>
      </c>
      <c r="E9" s="4">
        <v>0.53658536599999995</v>
      </c>
      <c r="F9" s="4">
        <v>0.58536585399999996</v>
      </c>
      <c r="G9" s="4">
        <v>0.61904761900000005</v>
      </c>
      <c r="H9" s="3">
        <v>1</v>
      </c>
      <c r="I9" s="1"/>
      <c r="K9" s="4">
        <v>0.5</v>
      </c>
      <c r="L9" s="4">
        <v>0</v>
      </c>
      <c r="M9" s="4">
        <v>0.43902438999999999</v>
      </c>
      <c r="N9" s="4">
        <v>0.47887323900000001</v>
      </c>
      <c r="O9" s="4">
        <v>0.52173913000000005</v>
      </c>
      <c r="P9" s="4">
        <v>0.55900621100000003</v>
      </c>
      <c r="Q9" s="3">
        <v>1</v>
      </c>
    </row>
    <row r="10" spans="2:17" ht="16">
      <c r="B10" s="4">
        <v>0.55000000000000004</v>
      </c>
      <c r="C10" s="4">
        <v>0</v>
      </c>
      <c r="D10" s="4">
        <v>0.52702702700000004</v>
      </c>
      <c r="E10" s="4">
        <v>0.59433962299999998</v>
      </c>
      <c r="F10" s="4">
        <v>0.63461538500000003</v>
      </c>
      <c r="G10" s="4">
        <v>0.68333333299999999</v>
      </c>
      <c r="H10" s="3">
        <v>1</v>
      </c>
      <c r="I10" s="1"/>
      <c r="K10" s="4">
        <v>0.55000000000000004</v>
      </c>
      <c r="L10" s="4">
        <v>0</v>
      </c>
      <c r="M10" s="4">
        <v>0.5</v>
      </c>
      <c r="N10" s="4">
        <v>0.52747252700000002</v>
      </c>
      <c r="O10" s="4">
        <v>0.56521739100000001</v>
      </c>
      <c r="P10" s="4">
        <v>0.61702127699999998</v>
      </c>
      <c r="Q10" s="3">
        <v>1</v>
      </c>
    </row>
    <row r="11" spans="2:17" ht="16">
      <c r="B11" s="4">
        <v>0.6</v>
      </c>
      <c r="C11" s="4">
        <v>0</v>
      </c>
      <c r="D11" s="4">
        <v>0.56321839100000004</v>
      </c>
      <c r="E11" s="4">
        <v>0.61904761900000005</v>
      </c>
      <c r="F11" s="4">
        <v>0.66</v>
      </c>
      <c r="G11" s="4">
        <v>0.71666666700000003</v>
      </c>
      <c r="H11" s="3">
        <v>1</v>
      </c>
      <c r="I11" s="1"/>
      <c r="K11" s="4">
        <v>0.6</v>
      </c>
      <c r="L11" s="4">
        <v>0</v>
      </c>
      <c r="M11" s="4">
        <v>0.54</v>
      </c>
      <c r="N11" s="4">
        <v>0.57499999999999996</v>
      </c>
      <c r="O11" s="4">
        <v>0.60638297900000004</v>
      </c>
      <c r="P11" s="4">
        <v>0.63934426200000005</v>
      </c>
      <c r="Q11" s="3">
        <v>1</v>
      </c>
    </row>
    <row r="12" spans="2:17" ht="16">
      <c r="B12" s="4">
        <v>0.7</v>
      </c>
      <c r="C12" s="4">
        <v>0</v>
      </c>
      <c r="D12" s="4">
        <v>0.61403508799999995</v>
      </c>
      <c r="E12" s="4">
        <v>0.66666666699999999</v>
      </c>
      <c r="F12" s="4">
        <v>0.71698113200000002</v>
      </c>
      <c r="G12" s="4">
        <v>0.75949367099999998</v>
      </c>
      <c r="H12" s="3">
        <v>1</v>
      </c>
      <c r="I12" s="1"/>
      <c r="K12" s="4">
        <v>0.7</v>
      </c>
      <c r="L12" s="4">
        <v>0</v>
      </c>
      <c r="M12" s="4">
        <v>0.59322033900000004</v>
      </c>
      <c r="N12" s="4">
        <v>0.64423076899999998</v>
      </c>
      <c r="O12" s="4">
        <v>0.68292682900000001</v>
      </c>
      <c r="P12" s="4">
        <v>0.71739130399999995</v>
      </c>
      <c r="Q12" s="3">
        <v>1</v>
      </c>
    </row>
    <row r="13" spans="2:17" ht="16">
      <c r="B13" s="4">
        <v>0.8</v>
      </c>
      <c r="C13" s="4">
        <v>0</v>
      </c>
      <c r="D13" s="4">
        <v>0.72727272700000001</v>
      </c>
      <c r="E13" s="4">
        <v>0.76363636400000001</v>
      </c>
      <c r="F13" s="4">
        <v>0.8</v>
      </c>
      <c r="G13" s="4">
        <v>0.83908046000000003</v>
      </c>
      <c r="H13" s="3">
        <v>1</v>
      </c>
      <c r="I13" s="1"/>
      <c r="K13" s="4">
        <v>0.8</v>
      </c>
      <c r="L13" s="4">
        <v>0</v>
      </c>
      <c r="M13" s="4">
        <v>0.70408163300000004</v>
      </c>
      <c r="N13" s="4">
        <v>0.73831775700000002</v>
      </c>
      <c r="O13" s="4">
        <v>0.77611940300000004</v>
      </c>
      <c r="P13" s="4">
        <v>0.80555555599999995</v>
      </c>
      <c r="Q13" s="3">
        <v>1</v>
      </c>
    </row>
    <row r="14" spans="2:17" ht="16">
      <c r="B14" s="4">
        <v>0.9</v>
      </c>
      <c r="C14" s="4">
        <v>0</v>
      </c>
      <c r="D14" s="4">
        <v>0.81481481499999997</v>
      </c>
      <c r="E14" s="4">
        <v>0.84615384599999999</v>
      </c>
      <c r="F14" s="4">
        <v>0.87777777800000001</v>
      </c>
      <c r="G14" s="4">
        <v>0.90123456800000001</v>
      </c>
      <c r="H14" s="3">
        <v>1</v>
      </c>
      <c r="I14" s="1"/>
      <c r="K14" s="4">
        <v>0.9</v>
      </c>
      <c r="L14" s="4">
        <v>0</v>
      </c>
      <c r="M14" s="4">
        <v>0.79245283</v>
      </c>
      <c r="N14" s="4">
        <v>0.82666666700000002</v>
      </c>
      <c r="O14" s="4">
        <v>0.84375</v>
      </c>
      <c r="P14" s="4">
        <v>0.87837837799999996</v>
      </c>
      <c r="Q14" s="3">
        <v>1</v>
      </c>
    </row>
    <row r="15" spans="2:17" ht="16">
      <c r="B15" s="4">
        <v>1</v>
      </c>
      <c r="C15" s="4">
        <v>0</v>
      </c>
      <c r="D15" s="4">
        <v>0.91919191899999997</v>
      </c>
      <c r="E15" s="4">
        <v>0.92622950800000003</v>
      </c>
      <c r="F15" s="4">
        <v>0.93670886099999995</v>
      </c>
      <c r="G15" s="4">
        <v>0.97014925399999996</v>
      </c>
      <c r="H15" s="3">
        <v>1</v>
      </c>
      <c r="I15" s="1"/>
      <c r="K15" s="4">
        <v>1</v>
      </c>
      <c r="L15" s="4">
        <v>0</v>
      </c>
      <c r="M15" s="4">
        <v>0.892405063</v>
      </c>
      <c r="N15" s="4">
        <v>0.9</v>
      </c>
      <c r="O15" s="4">
        <v>0.91304347799999996</v>
      </c>
      <c r="P15" s="4">
        <v>0.94117647100000001</v>
      </c>
      <c r="Q15" s="3">
        <v>1</v>
      </c>
    </row>
    <row r="16" spans="2:17" ht="16">
      <c r="B16" s="6"/>
      <c r="C16" s="6"/>
      <c r="D16" s="6"/>
      <c r="E16" s="6"/>
      <c r="F16" s="6"/>
      <c r="G16" s="6"/>
      <c r="H16" s="7"/>
      <c r="I16" s="1"/>
      <c r="K16" s="6"/>
      <c r="L16" s="6"/>
      <c r="M16" s="6"/>
      <c r="N16" s="6"/>
      <c r="O16" s="6"/>
      <c r="P16" s="6"/>
      <c r="Q16" s="7"/>
    </row>
    <row r="17" spans="1:17" ht="16">
      <c r="A17" t="s">
        <v>14</v>
      </c>
      <c r="B17" t="e">
        <f>IF(BOY_4="",NA(),BOY_4)</f>
        <v>#N/A</v>
      </c>
      <c r="C17" t="e">
        <f>IF(OR(B17="",B17&lt;0,B17&gt;1),NA(),IF(B17=1,0.999,B17))</f>
        <v>#N/A</v>
      </c>
      <c r="I17" s="1"/>
      <c r="K17" s="6"/>
      <c r="L17" s="6"/>
      <c r="M17" s="6"/>
      <c r="N17" s="6"/>
      <c r="O17" s="6"/>
      <c r="P17" s="6"/>
      <c r="Q17" s="7"/>
    </row>
    <row r="18" spans="1:17" ht="16">
      <c r="A18" t="s">
        <v>82</v>
      </c>
      <c r="B18" t="e">
        <f>IF(MOY_4="",NA(),MOY_4)</f>
        <v>#N/A</v>
      </c>
      <c r="C18" t="e">
        <f>IF(OR(B18="",B18&lt;0,B18&gt;1),NA(),IF(B18=1,0.999,B18))</f>
        <v>#N/A</v>
      </c>
      <c r="I18" s="1"/>
      <c r="K18" s="6"/>
      <c r="L18" s="6"/>
      <c r="M18" s="6"/>
      <c r="N18" s="6"/>
      <c r="O18" s="6"/>
      <c r="P18" s="6"/>
      <c r="Q18" s="7"/>
    </row>
    <row r="19" spans="1:17" ht="16">
      <c r="A19" t="s">
        <v>15</v>
      </c>
      <c r="B19" t="e">
        <f>IF(goal_BOY_4="",NA(),goal_BOY_4)</f>
        <v>#N/A</v>
      </c>
      <c r="C19" t="e">
        <f>IF(OR(B19="",B19&lt;0,B19&gt;1),NA(),IF(B19=1,0.999,B19))</f>
        <v>#N/A</v>
      </c>
      <c r="I19" s="1"/>
      <c r="K19" s="6"/>
      <c r="L19" s="6"/>
      <c r="M19" s="6"/>
      <c r="N19" s="6"/>
      <c r="O19" s="6"/>
      <c r="P19" s="6"/>
      <c r="Q19" s="7"/>
    </row>
    <row r="21" spans="1:17">
      <c r="A21" s="5" t="s">
        <v>12</v>
      </c>
    </row>
    <row r="22" spans="1:17" ht="16">
      <c r="A22" s="2" t="s">
        <v>9</v>
      </c>
      <c r="B22" s="1" t="e">
        <f>SUMPRODUCT((K3:K14&lt;=$C$17)*(K4:K15&gt;$C$17),(K4:K15))</f>
        <v>#N/A</v>
      </c>
      <c r="C22" t="e">
        <f>VLOOKUP($B$22,$K$5:$Q$15,2,FALSE)</f>
        <v>#N/A</v>
      </c>
      <c r="D22" t="e">
        <f>ROUND(VLOOKUP($B$22,$K$5:$Q$15,3,FALSE),2)</f>
        <v>#N/A</v>
      </c>
      <c r="E22" t="e">
        <f>ROUND(VLOOKUP($B$22,$K$5:$Q$15,4,FALSE),2)</f>
        <v>#N/A</v>
      </c>
      <c r="F22" t="e">
        <f>ROUND(VLOOKUP($B$22,$K$5:$Q$15,5,FALSE),2)</f>
        <v>#N/A</v>
      </c>
      <c r="G22" t="e">
        <f>ROUND(VLOOKUP($B$22,$K$5:$Q$15,6,FALSE),2)</f>
        <v>#N/A</v>
      </c>
      <c r="H22" t="e">
        <f>VLOOKUP($B$22,$K$5:$Q$15,7,FALSE)</f>
        <v>#N/A</v>
      </c>
      <c r="J22" s="2"/>
    </row>
    <row r="23" spans="1:17" ht="16">
      <c r="A23" s="2" t="s">
        <v>81</v>
      </c>
      <c r="B23" s="1" t="e">
        <f ca="1">OFFSET(J3,0,SUMPRODUCT((C22:G22&lt;=$C$18)*(D22:H22&gt;$C$18),COLUMN(B22:F22)))</f>
        <v>#N/A</v>
      </c>
      <c r="J23" s="2"/>
      <c r="K23" s="1"/>
    </row>
    <row r="24" spans="1:17" ht="16">
      <c r="A24" s="2"/>
      <c r="B24" s="1"/>
      <c r="J24" s="2"/>
      <c r="K24" s="1"/>
    </row>
    <row r="25" spans="1:17" ht="16">
      <c r="A25" s="5" t="s">
        <v>13</v>
      </c>
      <c r="B25" s="1"/>
      <c r="J25" s="2"/>
      <c r="K25" s="1"/>
    </row>
    <row r="26" spans="1:17" ht="16">
      <c r="A26" s="2" t="s">
        <v>7</v>
      </c>
      <c r="B26" s="1" t="e">
        <f>SUMPRODUCT((B3:B14&lt;=$C$19)*(B4:B15&gt;$C$19),(B4:B15))</f>
        <v>#N/A</v>
      </c>
      <c r="C26" t="e">
        <f>VLOOKUP($B$26,$B$5:$H$15,2,FALSE)</f>
        <v>#N/A</v>
      </c>
      <c r="D26" t="e">
        <f>VLOOKUP($B$26,$B$5:$H$15,3,FALSE)</f>
        <v>#N/A</v>
      </c>
      <c r="E26" t="e">
        <f>VLOOKUP($B$26,$B$5:$H$15,4,FALSE)</f>
        <v>#N/A</v>
      </c>
      <c r="F26" t="e">
        <f>VLOOKUP($B$26,$B$5:$H$15,5,FALSE)</f>
        <v>#N/A</v>
      </c>
      <c r="G26" t="e">
        <f>VLOOKUP($B$26,$B$5:$H$15,6,FALSE)</f>
        <v>#N/A</v>
      </c>
      <c r="H26" t="e">
        <f>VLOOKUP($B$26,$B$5:$H$15,7,FALSE)</f>
        <v>#N/A</v>
      </c>
      <c r="J26" s="2"/>
    </row>
    <row r="27" spans="1:17" ht="16">
      <c r="A27" s="2" t="s">
        <v>9</v>
      </c>
      <c r="B27" s="1"/>
      <c r="C27" t="e">
        <f>VLOOKUP($B$26,$K$5:$Q$15,2,FALSE)</f>
        <v>#N/A</v>
      </c>
      <c r="D27" t="e">
        <f>VLOOKUP($B$26,$K$5:$Q$15,3,FALSE)</f>
        <v>#N/A</v>
      </c>
      <c r="E27" t="e">
        <f>VLOOKUP($B$26,$K$5:$Q$15,4,FALSE)</f>
        <v>#N/A</v>
      </c>
      <c r="F27" t="e">
        <f>VLOOKUP($B$26,$K$5:$Q$15,5,FALSE)</f>
        <v>#N/A</v>
      </c>
      <c r="G27" t="e">
        <f>VLOOKUP($B$26,$K$5:$Q$15,6,FALSE)</f>
        <v>#N/A</v>
      </c>
      <c r="H27" t="e">
        <f>VLOOKUP($B$26,$K$5:$Q$15,7,FALSE)</f>
        <v>#N/A</v>
      </c>
      <c r="J27" s="2"/>
      <c r="K27" s="1"/>
    </row>
    <row r="28" spans="1:17">
      <c r="A28" s="2" t="s">
        <v>6</v>
      </c>
      <c r="B28" t="e">
        <f ca="1">OFFSET(A26,0,MATCH(goal_4,$B$3:$H$3,FALSE))</f>
        <v>#N/A</v>
      </c>
      <c r="C28" t="e">
        <f ca="1">OFFSET(A26,0,MATCH(goal_4,$B$3:$H$3,FALSE)+1)</f>
        <v>#N/A</v>
      </c>
      <c r="D28" t="e">
        <f ca="1">CONCATENATE(TEXT(ROUND($B$28,2)*100,"0")," - ",TEXT(ROUND($C$28,2),"0%"))</f>
        <v>#N/A</v>
      </c>
    </row>
    <row r="29" spans="1:17">
      <c r="A29" s="2" t="s">
        <v>8</v>
      </c>
      <c r="B29" t="e">
        <f ca="1">OFFSET(A27,0,MATCH(goal_4,$K$3:$Q$3,FALSE))</f>
        <v>#N/A</v>
      </c>
      <c r="C29" t="e">
        <f ca="1">OFFSET(A27,0,MATCH(goal_4,$K$3:$Q$3,FALSE)+1)</f>
        <v>#N/A</v>
      </c>
      <c r="D29" t="e">
        <f ca="1">CONCATENATE(TEXT(ROUND($B$29,2)*100,"0")," - ",TEXT(ROUND($C$29,2),"0%"))</f>
        <v>#N/A</v>
      </c>
    </row>
  </sheetData>
  <sheetProtection algorithmName="SHA-512" hashValue="lH6SCwq2bzKsjwKxRdRXqcvOpm3uitrACeQ8lYKu88eveE7j+Mq3It+4KxD2UokyqwK0IcJs/6A0AciYGcVdfQ==" saltValue="xm0uMRm8Vxri8i/z766hDA==" spinCount="100000" sheet="1" objects="1" scenarios="1"/>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44</vt:i4>
      </vt:variant>
    </vt:vector>
  </HeadingPairs>
  <TitlesOfParts>
    <vt:vector size="58" baseType="lpstr">
      <vt:lpstr>Progress Planning Tool</vt:lpstr>
      <vt:lpstr>Progress Ranges</vt:lpstr>
      <vt:lpstr>Data validation</vt:lpstr>
      <vt:lpstr>tabs lookup</vt:lpstr>
      <vt:lpstr>1920_K</vt:lpstr>
      <vt:lpstr>1920_1</vt:lpstr>
      <vt:lpstr>1920_2</vt:lpstr>
      <vt:lpstr>1920_3</vt:lpstr>
      <vt:lpstr>1920_4</vt:lpstr>
      <vt:lpstr>1920_5</vt:lpstr>
      <vt:lpstr>1920_K1</vt:lpstr>
      <vt:lpstr>1920_K2</vt:lpstr>
      <vt:lpstr>1920_K3</vt:lpstr>
      <vt:lpstr>1920_13</vt:lpstr>
      <vt:lpstr>'Progress Ranges'!BOY_1</vt:lpstr>
      <vt:lpstr>BOY_1</vt:lpstr>
      <vt:lpstr>'Progress Ranges'!BOY_2</vt:lpstr>
      <vt:lpstr>BOY_2</vt:lpstr>
      <vt:lpstr>'Progress Ranges'!BOY_3</vt:lpstr>
      <vt:lpstr>BOY_3</vt:lpstr>
      <vt:lpstr>'Progress Ranges'!BOY_4</vt:lpstr>
      <vt:lpstr>BOY_4</vt:lpstr>
      <vt:lpstr>'Progress Ranges'!BOY_5</vt:lpstr>
      <vt:lpstr>BOY_5</vt:lpstr>
      <vt:lpstr>'Progress Ranges'!BOY_agg</vt:lpstr>
      <vt:lpstr>BOY_agg</vt:lpstr>
      <vt:lpstr>'Progress Ranges'!BOY_K</vt:lpstr>
      <vt:lpstr>BOY_K</vt:lpstr>
      <vt:lpstr>'Progress Ranges'!EOY_1</vt:lpstr>
      <vt:lpstr>'Progress Ranges'!EOY_2</vt:lpstr>
      <vt:lpstr>'Progress Ranges'!EOY_3</vt:lpstr>
      <vt:lpstr>'Progress Ranges'!EOY_4</vt:lpstr>
      <vt:lpstr>'Progress Ranges'!EOY_5</vt:lpstr>
      <vt:lpstr>'Progress Ranges'!EOY_agg</vt:lpstr>
      <vt:lpstr>'Progress Ranges'!EOY_K</vt:lpstr>
      <vt:lpstr>goal_1</vt:lpstr>
      <vt:lpstr>goal_2</vt:lpstr>
      <vt:lpstr>goal_3</vt:lpstr>
      <vt:lpstr>goal_4</vt:lpstr>
      <vt:lpstr>goal_5</vt:lpstr>
      <vt:lpstr>goal_agg</vt:lpstr>
      <vt:lpstr>goal_BOY_1</vt:lpstr>
      <vt:lpstr>goal_BOY_2</vt:lpstr>
      <vt:lpstr>goal_BOY_3</vt:lpstr>
      <vt:lpstr>goal_BOY_4</vt:lpstr>
      <vt:lpstr>goal_BOY_5</vt:lpstr>
      <vt:lpstr>goal_BOY_agg</vt:lpstr>
      <vt:lpstr>goal_BOY_K</vt:lpstr>
      <vt:lpstr>goal_K</vt:lpstr>
      <vt:lpstr>MOY_1</vt:lpstr>
      <vt:lpstr>MOY_2</vt:lpstr>
      <vt:lpstr>MOY_3</vt:lpstr>
      <vt:lpstr>MOY_4</vt:lpstr>
      <vt:lpstr>MOY_5</vt:lpstr>
      <vt:lpstr>MOY_agg</vt:lpstr>
      <vt:lpstr>MOY_K</vt:lpstr>
      <vt:lpstr>'Progress Planning Tool'!Print_Area</vt:lpstr>
      <vt:lpstr>'Progress Ranges'!Print_Area</vt:lpstr>
    </vt:vector>
  </TitlesOfParts>
  <Company>Wireless Generation,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Baldor</dc:creator>
  <cp:lastModifiedBy>Microsoft Office User</cp:lastModifiedBy>
  <cp:lastPrinted>2014-09-25T21:17:43Z</cp:lastPrinted>
  <dcterms:created xsi:type="dcterms:W3CDTF">2014-07-16T21:34:26Z</dcterms:created>
  <dcterms:modified xsi:type="dcterms:W3CDTF">2020-11-05T19:50:06Z</dcterms:modified>
</cp:coreProperties>
</file>