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6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2 (FFY 2020)\Public Reporting\"/>
    </mc:Choice>
  </mc:AlternateContent>
  <xr:revisionPtr revIDLastSave="0" documentId="13_ncr:1_{70615DF4-C64C-456F-8451-0D1E27D69C59}" xr6:coauthVersionLast="47" xr6:coauthVersionMax="47" xr10:uidLastSave="{00000000-0000-0000-0000-000000000000}"/>
  <bookViews>
    <workbookView xWindow="-120" yWindow="-120" windowWidth="29040" windowHeight="17640" tabRatio="829" xr2:uid="{00000000-000D-0000-FFFF-FFFF00000000}"/>
  </bookViews>
  <sheets>
    <sheet name="Suspensions.Expulsions" sheetId="3" r:id="rId1"/>
    <sheet name="Student Removal Length" sheetId="4" r:id="rId2"/>
    <sheet name="Number of removals" sheetId="5" r:id="rId3"/>
    <sheet name="Ed Services During Expulsion" sheetId="6" r:id="rId4"/>
    <sheet name="Removal to IAES" sheetId="1" r:id="rId5"/>
    <sheet name="Reasons for Unilateral Removal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F7" i="1"/>
  <c r="F8" i="1"/>
  <c r="E8" i="1"/>
  <c r="E9" i="1"/>
  <c r="F9" i="1"/>
  <c r="E10" i="1"/>
  <c r="F10" i="1"/>
  <c r="E11" i="1"/>
  <c r="F12" i="1"/>
  <c r="E12" i="1"/>
  <c r="E13" i="1"/>
  <c r="F13" i="1"/>
  <c r="E14" i="1"/>
  <c r="F14" i="1"/>
  <c r="F15" i="1"/>
  <c r="F16" i="1"/>
  <c r="E16" i="1"/>
  <c r="E17" i="1"/>
  <c r="F17" i="1"/>
  <c r="C18" i="1"/>
  <c r="B18" i="1"/>
  <c r="B28" i="4"/>
  <c r="C28" i="4"/>
  <c r="D28" i="4"/>
  <c r="B33" i="5"/>
  <c r="E15" i="1" l="1"/>
  <c r="E7" i="1"/>
  <c r="F11" i="1"/>
  <c r="D38" i="5" l="1"/>
  <c r="D18" i="5"/>
  <c r="D33" i="5" l="1"/>
  <c r="B38" i="5"/>
  <c r="B28" i="5"/>
  <c r="B18" i="5"/>
  <c r="D28" i="5" l="1"/>
  <c r="E36" i="4"/>
  <c r="E37" i="4"/>
  <c r="D38" i="4"/>
  <c r="C38" i="4"/>
  <c r="B38" i="4"/>
  <c r="E31" i="4"/>
  <c r="E32" i="4"/>
  <c r="D33" i="4"/>
  <c r="C33" i="4"/>
  <c r="B33" i="4"/>
  <c r="E21" i="4"/>
  <c r="E22" i="4"/>
  <c r="E23" i="4"/>
  <c r="E24" i="4"/>
  <c r="E25" i="4"/>
  <c r="E26" i="4"/>
  <c r="E27" i="4"/>
  <c r="E5" i="4"/>
  <c r="E7" i="4"/>
  <c r="E8" i="4"/>
  <c r="E9" i="4"/>
  <c r="E10" i="4"/>
  <c r="E11" i="4"/>
  <c r="E12" i="4"/>
  <c r="E13" i="4"/>
  <c r="E14" i="4"/>
  <c r="E15" i="4"/>
  <c r="E16" i="4"/>
  <c r="E17" i="4"/>
  <c r="D18" i="4"/>
  <c r="C18" i="4"/>
  <c r="B18" i="4"/>
  <c r="E41" i="3"/>
  <c r="D41" i="3"/>
  <c r="C41" i="3"/>
  <c r="B41" i="3"/>
  <c r="F39" i="3"/>
  <c r="F40" i="3"/>
  <c r="F34" i="3"/>
  <c r="F35" i="3"/>
  <c r="E36" i="3"/>
  <c r="D36" i="3"/>
  <c r="C36" i="3"/>
  <c r="B36" i="3"/>
  <c r="F24" i="3"/>
  <c r="F25" i="3"/>
  <c r="F26" i="3"/>
  <c r="F27" i="3"/>
  <c r="F28" i="3"/>
  <c r="F29" i="3"/>
  <c r="F30" i="3"/>
  <c r="E31" i="3"/>
  <c r="D31" i="3"/>
  <c r="C31" i="3"/>
  <c r="B31" i="3"/>
  <c r="C21" i="3"/>
  <c r="F8" i="3"/>
  <c r="F10" i="3"/>
  <c r="F11" i="3"/>
  <c r="F12" i="3"/>
  <c r="F13" i="3"/>
  <c r="F14" i="3"/>
  <c r="F15" i="3"/>
  <c r="F16" i="3"/>
  <c r="F17" i="3"/>
  <c r="F18" i="3"/>
  <c r="F19" i="3"/>
  <c r="F20" i="3"/>
  <c r="H36" i="2"/>
  <c r="H37" i="2"/>
  <c r="H38" i="2"/>
  <c r="H31" i="2"/>
  <c r="H32" i="2"/>
  <c r="H33" i="2"/>
  <c r="H21" i="2"/>
  <c r="H22" i="2"/>
  <c r="H23" i="2"/>
  <c r="H24" i="2"/>
  <c r="H25" i="2"/>
  <c r="H26" i="2"/>
  <c r="H27" i="2"/>
  <c r="H28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 l="1"/>
  <c r="E38" i="4"/>
  <c r="E33" i="4"/>
  <c r="E28" i="4"/>
  <c r="F36" i="3"/>
  <c r="F31" i="3"/>
  <c r="F36" i="2"/>
  <c r="G36" i="2"/>
  <c r="F37" i="2"/>
  <c r="G37" i="2"/>
  <c r="F38" i="2"/>
  <c r="G38" i="2"/>
  <c r="F32" i="2"/>
  <c r="G32" i="2"/>
  <c r="F31" i="2"/>
  <c r="G31" i="2"/>
  <c r="F33" i="2"/>
  <c r="G33" i="2"/>
  <c r="F21" i="2"/>
  <c r="G21" i="2"/>
  <c r="F27" i="2"/>
  <c r="G27" i="2"/>
  <c r="F25" i="2"/>
  <c r="G25" i="2"/>
  <c r="F24" i="2"/>
  <c r="G24" i="2"/>
  <c r="F23" i="2"/>
  <c r="G23" i="2"/>
  <c r="F26" i="2"/>
  <c r="G26" i="2"/>
  <c r="F28" i="2"/>
  <c r="G28" i="2"/>
  <c r="F22" i="2"/>
  <c r="G22" i="2"/>
  <c r="F13" i="2"/>
  <c r="G13" i="2"/>
  <c r="F8" i="2"/>
  <c r="G8" i="2"/>
  <c r="F14" i="2"/>
  <c r="G14" i="2"/>
  <c r="F6" i="2"/>
  <c r="G6" i="2"/>
  <c r="F5" i="2"/>
  <c r="G5" i="2"/>
  <c r="F18" i="2"/>
  <c r="G18" i="2"/>
  <c r="F11" i="2"/>
  <c r="G11" i="2"/>
  <c r="F12" i="2"/>
  <c r="G12" i="2"/>
  <c r="F10" i="2"/>
  <c r="G10" i="2"/>
  <c r="F9" i="2"/>
  <c r="G9" i="2"/>
  <c r="F17" i="2"/>
  <c r="G17" i="2"/>
  <c r="F16" i="2"/>
  <c r="G16" i="2"/>
  <c r="F15" i="2"/>
  <c r="G15" i="2"/>
  <c r="F7" i="2"/>
  <c r="G7" i="2"/>
  <c r="E36" i="1"/>
  <c r="F36" i="1"/>
  <c r="E37" i="1"/>
  <c r="F37" i="1"/>
  <c r="E32" i="1"/>
  <c r="F32" i="1"/>
  <c r="E31" i="1"/>
  <c r="F31" i="1"/>
  <c r="E26" i="1"/>
  <c r="F26" i="1"/>
  <c r="E25" i="1"/>
  <c r="F25" i="1"/>
  <c r="E24" i="1"/>
  <c r="F24" i="1"/>
  <c r="E27" i="1"/>
  <c r="F27" i="1"/>
  <c r="E23" i="1"/>
  <c r="F23" i="1"/>
  <c r="E22" i="1"/>
  <c r="F22" i="1"/>
  <c r="E21" i="1"/>
  <c r="F21" i="1"/>
  <c r="E18" i="4"/>
  <c r="F21" i="3"/>
  <c r="G21" i="3" s="1"/>
  <c r="F41" i="3"/>
  <c r="G8" i="3"/>
  <c r="C7" i="6" l="1"/>
  <c r="B7" i="6"/>
  <c r="D5" i="6"/>
  <c r="E5" i="6" s="1"/>
  <c r="D6" i="6"/>
  <c r="E6" i="6" s="1"/>
  <c r="E36" i="5"/>
  <c r="E37" i="5"/>
  <c r="E38" i="5"/>
  <c r="C36" i="5"/>
  <c r="C37" i="5"/>
  <c r="C38" i="5"/>
  <c r="E31" i="5"/>
  <c r="E32" i="5"/>
  <c r="E33" i="5"/>
  <c r="C31" i="5"/>
  <c r="C32" i="5"/>
  <c r="C33" i="5"/>
  <c r="E21" i="5"/>
  <c r="E22" i="5"/>
  <c r="E23" i="5"/>
  <c r="E24" i="5"/>
  <c r="E25" i="5"/>
  <c r="E26" i="5"/>
  <c r="E27" i="5"/>
  <c r="E28" i="5"/>
  <c r="C21" i="5"/>
  <c r="C22" i="5"/>
  <c r="C23" i="5"/>
  <c r="C24" i="5"/>
  <c r="C25" i="5"/>
  <c r="C26" i="5"/>
  <c r="C27" i="5"/>
  <c r="C28" i="5"/>
  <c r="C5" i="5"/>
  <c r="C7" i="5"/>
  <c r="C8" i="5"/>
  <c r="C9" i="5"/>
  <c r="C10" i="5"/>
  <c r="C11" i="5"/>
  <c r="C12" i="5"/>
  <c r="C13" i="5"/>
  <c r="C14" i="5"/>
  <c r="C15" i="5"/>
  <c r="C16" i="5"/>
  <c r="C17" i="5"/>
  <c r="C18" i="5"/>
  <c r="E5" i="5"/>
  <c r="E7" i="5"/>
  <c r="E8" i="5"/>
  <c r="E9" i="5"/>
  <c r="E10" i="5"/>
  <c r="E11" i="5"/>
  <c r="E12" i="5"/>
  <c r="E13" i="5"/>
  <c r="E14" i="5"/>
  <c r="E15" i="5"/>
  <c r="E16" i="5"/>
  <c r="E17" i="5"/>
  <c r="E18" i="5"/>
  <c r="D7" i="6" l="1"/>
  <c r="E7" i="6" s="1"/>
  <c r="F6" i="6"/>
  <c r="F5" i="6"/>
  <c r="H36" i="4"/>
  <c r="H37" i="4"/>
  <c r="H38" i="4"/>
  <c r="G36" i="4"/>
  <c r="G37" i="4"/>
  <c r="G38" i="4"/>
  <c r="F36" i="4"/>
  <c r="F37" i="4"/>
  <c r="F38" i="4"/>
  <c r="H31" i="4"/>
  <c r="H32" i="4"/>
  <c r="H33" i="4"/>
  <c r="G31" i="4"/>
  <c r="G32" i="4"/>
  <c r="G33" i="4"/>
  <c r="F31" i="4"/>
  <c r="F32" i="4"/>
  <c r="F33" i="4"/>
  <c r="H21" i="4"/>
  <c r="H22" i="4"/>
  <c r="H23" i="4"/>
  <c r="H24" i="4"/>
  <c r="H25" i="4"/>
  <c r="H26" i="4"/>
  <c r="H27" i="4"/>
  <c r="H28" i="4"/>
  <c r="G21" i="4"/>
  <c r="G22" i="4"/>
  <c r="G23" i="4"/>
  <c r="G24" i="4"/>
  <c r="G25" i="4"/>
  <c r="G26" i="4"/>
  <c r="G27" i="4"/>
  <c r="G28" i="4"/>
  <c r="F21" i="4"/>
  <c r="F22" i="4"/>
  <c r="F23" i="4"/>
  <c r="F24" i="4"/>
  <c r="F25" i="4"/>
  <c r="F26" i="4"/>
  <c r="F27" i="4"/>
  <c r="F28" i="4"/>
  <c r="H5" i="4"/>
  <c r="H7" i="4"/>
  <c r="H8" i="4"/>
  <c r="H9" i="4"/>
  <c r="H10" i="4"/>
  <c r="H11" i="4"/>
  <c r="H12" i="4"/>
  <c r="H13" i="4"/>
  <c r="H14" i="4"/>
  <c r="H15" i="4"/>
  <c r="H16" i="4"/>
  <c r="H17" i="4"/>
  <c r="H18" i="4"/>
  <c r="G5" i="4"/>
  <c r="G7" i="4"/>
  <c r="G8" i="4"/>
  <c r="G9" i="4"/>
  <c r="G10" i="4"/>
  <c r="G11" i="4"/>
  <c r="G12" i="4"/>
  <c r="G13" i="4"/>
  <c r="G14" i="4"/>
  <c r="G15" i="4"/>
  <c r="G16" i="4"/>
  <c r="G17" i="4"/>
  <c r="G18" i="4"/>
  <c r="F5" i="4"/>
  <c r="F7" i="4"/>
  <c r="F8" i="4"/>
  <c r="F9" i="4"/>
  <c r="F10" i="4"/>
  <c r="F11" i="4"/>
  <c r="F12" i="4"/>
  <c r="F13" i="4"/>
  <c r="F14" i="4"/>
  <c r="F15" i="4"/>
  <c r="F16" i="4"/>
  <c r="F17" i="4"/>
  <c r="F18" i="4"/>
  <c r="F7" i="6" l="1"/>
  <c r="J39" i="3"/>
  <c r="J40" i="3"/>
  <c r="J41" i="3"/>
  <c r="I39" i="3"/>
  <c r="I40" i="3"/>
  <c r="I41" i="3"/>
  <c r="H39" i="3"/>
  <c r="H40" i="3"/>
  <c r="H41" i="3"/>
  <c r="G39" i="3"/>
  <c r="G40" i="3"/>
  <c r="G41" i="3"/>
  <c r="J34" i="3" l="1"/>
  <c r="J35" i="3"/>
  <c r="J36" i="3"/>
  <c r="I34" i="3"/>
  <c r="I35" i="3"/>
  <c r="I36" i="3"/>
  <c r="H34" i="3"/>
  <c r="H35" i="3"/>
  <c r="H36" i="3"/>
  <c r="G34" i="3"/>
  <c r="G35" i="3"/>
  <c r="G36" i="3"/>
  <c r="J24" i="3"/>
  <c r="J25" i="3"/>
  <c r="J26" i="3"/>
  <c r="J27" i="3"/>
  <c r="J28" i="3"/>
  <c r="J29" i="3"/>
  <c r="J30" i="3"/>
  <c r="J31" i="3"/>
  <c r="I24" i="3"/>
  <c r="I25" i="3"/>
  <c r="I26" i="3"/>
  <c r="I27" i="3"/>
  <c r="I28" i="3"/>
  <c r="I29" i="3"/>
  <c r="I30" i="3"/>
  <c r="I31" i="3"/>
  <c r="H24" i="3"/>
  <c r="H25" i="3"/>
  <c r="H26" i="3"/>
  <c r="H27" i="3"/>
  <c r="H28" i="3"/>
  <c r="H29" i="3"/>
  <c r="H30" i="3"/>
  <c r="H31" i="3"/>
  <c r="G24" i="3"/>
  <c r="G25" i="3"/>
  <c r="G26" i="3"/>
  <c r="G27" i="3"/>
  <c r="G28" i="3"/>
  <c r="G29" i="3"/>
  <c r="G30" i="3"/>
  <c r="G31" i="3"/>
  <c r="I8" i="3"/>
  <c r="I10" i="3"/>
  <c r="I11" i="3"/>
  <c r="I12" i="3"/>
  <c r="I13" i="3"/>
  <c r="I14" i="3"/>
  <c r="I15" i="3"/>
  <c r="I16" i="3"/>
  <c r="I17" i="3"/>
  <c r="I18" i="3"/>
  <c r="I19" i="3"/>
  <c r="I20" i="3"/>
  <c r="I21" i="3"/>
  <c r="J8" i="3"/>
  <c r="J10" i="3"/>
  <c r="J11" i="3"/>
  <c r="J12" i="3"/>
  <c r="J13" i="3"/>
  <c r="J14" i="3"/>
  <c r="J15" i="3"/>
  <c r="J16" i="3"/>
  <c r="J17" i="3"/>
  <c r="J18" i="3"/>
  <c r="J19" i="3"/>
  <c r="J20" i="3"/>
  <c r="J21" i="3"/>
  <c r="H8" i="3"/>
  <c r="H10" i="3"/>
  <c r="H11" i="3"/>
  <c r="H12" i="3"/>
  <c r="H13" i="3"/>
  <c r="H14" i="3"/>
  <c r="H15" i="3"/>
  <c r="H16" i="3"/>
  <c r="H17" i="3"/>
  <c r="H18" i="3"/>
  <c r="H19" i="3"/>
  <c r="H20" i="3"/>
  <c r="H21" i="3"/>
  <c r="G10" i="3"/>
  <c r="G11" i="3"/>
  <c r="G12" i="3"/>
  <c r="G13" i="3"/>
  <c r="G14" i="3"/>
  <c r="G15" i="3"/>
  <c r="G16" i="3"/>
  <c r="G17" i="3"/>
  <c r="G18" i="3"/>
  <c r="G19" i="3"/>
  <c r="G20" i="3"/>
</calcChain>
</file>

<file path=xl/sharedStrings.xml><?xml version="1.0" encoding="utf-8"?>
<sst xmlns="http://schemas.openxmlformats.org/spreadsheetml/2006/main" count="507" uniqueCount="101">
  <si>
    <t>Total Removals</t>
  </si>
  <si>
    <t>Autism</t>
  </si>
  <si>
    <t>Deaf-Blind</t>
  </si>
  <si>
    <t>Developmental Delay</t>
  </si>
  <si>
    <t>Serious Emotional Disability</t>
  </si>
  <si>
    <t>Hearing Impairment, Including Deafness</t>
  </si>
  <si>
    <t>Multiple Disabilities</t>
  </si>
  <si>
    <t>Intellectual Disabilities</t>
  </si>
  <si>
    <t>Other Health Impairment</t>
  </si>
  <si>
    <t>Specific Learning Disability</t>
  </si>
  <si>
    <t>Speech or Language Impairment</t>
  </si>
  <si>
    <t>Traumatic Brain Injury</t>
  </si>
  <si>
    <t>Visual Impairment, Including Blindness</t>
  </si>
  <si>
    <t>Orthopedic Impairment</t>
  </si>
  <si>
    <t>Removal by School Personnel Count</t>
  </si>
  <si>
    <t>Removal by Hearing Officer Count</t>
  </si>
  <si>
    <t>Removal by School Personnel %</t>
  </si>
  <si>
    <t>Removal by Hearing Officer %</t>
  </si>
  <si>
    <t xml:space="preserve">American Indian or Alaska Native Count </t>
  </si>
  <si>
    <t xml:space="preserve">Asian Count </t>
  </si>
  <si>
    <t xml:space="preserve">Black or African American Count  </t>
  </si>
  <si>
    <t>Hispanic/ Latino Count</t>
  </si>
  <si>
    <t>Two or more races Count</t>
  </si>
  <si>
    <t>Native Hawaiian or Other Pacific Islander Count</t>
  </si>
  <si>
    <t xml:space="preserve">White Count </t>
  </si>
  <si>
    <t>Female</t>
  </si>
  <si>
    <t>Male</t>
  </si>
  <si>
    <t>Limited English Proficient</t>
  </si>
  <si>
    <t>Not Limited English Proficient</t>
  </si>
  <si>
    <t>Total Removal Reasons</t>
  </si>
  <si>
    <t>Removed for Drugs Count</t>
  </si>
  <si>
    <t>Removed for Serious Bodily Injury Count</t>
  </si>
  <si>
    <t>Removed for Weapon Count</t>
  </si>
  <si>
    <t>Removed for Drugs %</t>
  </si>
  <si>
    <t>Removed for Serious Bodily Injury %</t>
  </si>
  <si>
    <t>Removed for Weapon %</t>
  </si>
  <si>
    <t>In School Suspension Less Than or Equal to 10 days Count</t>
  </si>
  <si>
    <t>In School Suspension Greater then 10 Days Count</t>
  </si>
  <si>
    <t>In School Suspension Less Than or Equal to 10 days %</t>
  </si>
  <si>
    <t>In School Suspension Greater then 10 Days %</t>
  </si>
  <si>
    <t>Out of School Suspension Less Than or Equal to 10 days Count</t>
  </si>
  <si>
    <t>Out of School Suspension Greater then 10 Days Count</t>
  </si>
  <si>
    <t>Out of School Suspension Less Than or Equal to 10 days %</t>
  </si>
  <si>
    <t>Out of School Suspension Greater then 10 Days %</t>
  </si>
  <si>
    <t>Total Number of Children Removed</t>
  </si>
  <si>
    <t xml:space="preserve">For example if a student had one 2-day ISS and three 4-day (12 days total) OSS - that student would count for 1 in column B and 1 in column E. </t>
  </si>
  <si>
    <t xml:space="preserve">For the exact number of students disciplined see the next tab. </t>
  </si>
  <si>
    <t>Total Student Suspensions Expulsions by Type and Length</t>
  </si>
  <si>
    <t>Total Student Suspensions/Expulsions by length</t>
  </si>
  <si>
    <t>Unilateral removals occur when a student brings drugs or a weapon to school or causes serious bodily injury OR when a hearing officer orders a student to the placement.</t>
  </si>
  <si>
    <t>One Day or Less Count</t>
  </si>
  <si>
    <t>2 to 10 Days Count</t>
  </si>
  <si>
    <t>10 Days or Greater Count</t>
  </si>
  <si>
    <t>One Day or Less %</t>
  </si>
  <si>
    <t>2 to 10 Days %</t>
  </si>
  <si>
    <t>10 Days or Greater %</t>
  </si>
  <si>
    <t>Total Students Removed</t>
  </si>
  <si>
    <t>The number of times children with disabilities were subject to any kind of disciplinary removal.</t>
  </si>
  <si>
    <t>Count of Students Removed</t>
  </si>
  <si>
    <t>Count of Removals</t>
  </si>
  <si>
    <t>% of Total Removals</t>
  </si>
  <si>
    <t>Average Removals per Student</t>
  </si>
  <si>
    <t xml:space="preserve">Unduplicated number of students who were expelled for the remainder of the school year or longer. </t>
  </si>
  <si>
    <t>Students with Disabilities</t>
  </si>
  <si>
    <t>Students without Disabilities</t>
  </si>
  <si>
    <t>Total Students</t>
  </si>
  <si>
    <t>Services Provided Count</t>
  </si>
  <si>
    <t>Services not Provided Count</t>
  </si>
  <si>
    <t>Services Provided %</t>
  </si>
  <si>
    <t>Services not Provided %</t>
  </si>
  <si>
    <t>4 tables and 4 graphs appear on this tab</t>
  </si>
  <si>
    <t>No further data in this row</t>
  </si>
  <si>
    <t>End of Page</t>
  </si>
  <si>
    <t>End of page</t>
  </si>
  <si>
    <t xml:space="preserve">This tab includes 1 table and 1 graph. </t>
  </si>
  <si>
    <t xml:space="preserve">If a single student had multiple suspensions of a single type, the duration of these are added together and the student will count as "1" in the corresponding column. </t>
  </si>
  <si>
    <t>A single student might appear in both In-school suspension (ISS) and Out-of-School Suspensions (OSS)/Expulsions if they received both kinds of discipline.</t>
  </si>
  <si>
    <t xml:space="preserve">Students are only counted once in this data set. For example if a student  received a 5-day suspension, then another3-day suspension, he/she will be in the "2 to 10 day count" for 8 days. </t>
  </si>
  <si>
    <t>Table 1. Removal Length, Discipline Method and Disability Category</t>
  </si>
  <si>
    <t>Table 2. Removal Length, Discipline Method and Racial/Ethnic Category</t>
  </si>
  <si>
    <t>Table 3. Removal Length, Discipline Method and Sex Category</t>
  </si>
  <si>
    <t xml:space="preserve">Table 4. Removal Length, Discipline Method and English Proficiency </t>
  </si>
  <si>
    <t>Table 5. Removal Length and Disability Category</t>
  </si>
  <si>
    <t>Table 6. Removal Length and Racial/Ethnic Category</t>
  </si>
  <si>
    <t>Table 7. Removal Length and Sex Category</t>
  </si>
  <si>
    <t xml:space="preserve">Table 8. Removal Length and English Proficiency </t>
  </si>
  <si>
    <t>Table 9. Count of Removals and Disability Category</t>
  </si>
  <si>
    <t>Table 10. Count of Removals and Racial/Ethnic Category</t>
  </si>
  <si>
    <t>Table 11. Count of Removals and Sex Category</t>
  </si>
  <si>
    <t xml:space="preserve">Table 12. Count of Removals and English Proficiency </t>
  </si>
  <si>
    <t>Table 13. By Disabilty Status and Educational Services Received</t>
  </si>
  <si>
    <t>Table 14. Removal to Interim Alternative Educational Setting and Disability Category</t>
  </si>
  <si>
    <t>Table 15. Removal to Interim Alternative Educational Setting and Race Category</t>
  </si>
  <si>
    <t>Table 16. Removal to Interim Alternative Educational Setting and Sex Category</t>
  </si>
  <si>
    <t xml:space="preserve">Table 17. Removal to Interim Alternative Educational Setting and English Language Proficiency </t>
  </si>
  <si>
    <t>Table 18. Unilateral Removal Reason and Disability Category</t>
  </si>
  <si>
    <t>Table 19. Unilateral Removal Reason and Racial/Ethnic Category</t>
  </si>
  <si>
    <t>Table 20. Unilateral Removal Reason and Sex Category</t>
  </si>
  <si>
    <t xml:space="preserve">Table 21. Unilateral Removal Reason and English Proficiency </t>
  </si>
  <si>
    <t>Colorado Children with Disabilities (IDEA) 
Discipline Special Education School Year 2020-2021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</si>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</sst>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20"/>
      <color theme="0"/>
      <name val="Trebuchet MS"/>
      <family val="2"/>
      <scheme val="minor"/>
    </font>
    <font>
      <b/>
      <sz val="11"/>
      <color theme="0"/>
      <name val="Trebuchet MS"/>
      <scheme val="minor"/>
    </font>
    <font>
      <sz val="11"/>
      <color theme="2" tint="0.7999816888943144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7" tint="0.79998168889431442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3" fillId="0" borderId="1" xfId="0" applyFont="1" applyBorder="1"/>
    <xf numFmtId="0" fontId="3" fillId="4" borderId="4" xfId="0" applyFont="1" applyFill="1" applyBorder="1"/>
    <xf numFmtId="9" fontId="0" fillId="0" borderId="0" xfId="1" applyFont="1"/>
    <xf numFmtId="0" fontId="3" fillId="4" borderId="6" xfId="0" applyFont="1" applyFill="1" applyBorder="1"/>
    <xf numFmtId="0" fontId="3" fillId="0" borderId="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9" fontId="0" fillId="4" borderId="0" xfId="1" applyFont="1" applyFill="1"/>
    <xf numFmtId="9" fontId="0" fillId="4" borderId="0" xfId="0" applyNumberFormat="1" applyFill="1"/>
    <xf numFmtId="0" fontId="3" fillId="0" borderId="2" xfId="0" applyFont="1" applyBorder="1" applyAlignment="1">
      <alignment wrapText="1"/>
    </xf>
    <xf numFmtId="0" fontId="3" fillId="4" borderId="5" xfId="0" applyFont="1" applyFill="1" applyBorder="1"/>
    <xf numFmtId="0" fontId="3" fillId="0" borderId="2" xfId="0" applyFont="1" applyBorder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2" fontId="0" fillId="4" borderId="0" xfId="0" applyNumberFormat="1" applyFill="1"/>
    <xf numFmtId="0" fontId="5" fillId="3" borderId="0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0" fillId="0" borderId="0" xfId="0" applyFill="1"/>
    <xf numFmtId="0" fontId="6" fillId="6" borderId="0" xfId="0" applyFont="1" applyFill="1"/>
    <xf numFmtId="0" fontId="0" fillId="6" borderId="0" xfId="0" applyFill="1"/>
    <xf numFmtId="0" fontId="0" fillId="6" borderId="0" xfId="0" applyFill="1" applyAlignment="1">
      <alignment wrapText="1"/>
    </xf>
    <xf numFmtId="0" fontId="6" fillId="6" borderId="0" xfId="0" applyFont="1" applyFill="1" applyAlignment="1">
      <alignment wrapText="1"/>
    </xf>
    <xf numFmtId="0" fontId="6" fillId="6" borderId="0" xfId="0" applyFont="1" applyFill="1" applyAlignment="1"/>
    <xf numFmtId="0" fontId="0" fillId="2" borderId="0" xfId="0" applyFill="1"/>
    <xf numFmtId="0" fontId="3" fillId="4" borderId="5" xfId="0" applyFont="1" applyFill="1" applyBorder="1" applyAlignment="1">
      <alignment wrapText="1"/>
    </xf>
    <xf numFmtId="9" fontId="7" fillId="0" borderId="0" xfId="1" applyFont="1"/>
    <xf numFmtId="0" fontId="7" fillId="0" borderId="0" xfId="0" applyFont="1"/>
    <xf numFmtId="0" fontId="7" fillId="0" borderId="0" xfId="1" applyNumberFormat="1" applyFont="1"/>
    <xf numFmtId="9" fontId="7" fillId="0" borderId="2" xfId="1" applyNumberFormat="1" applyFont="1" applyBorder="1"/>
    <xf numFmtId="9" fontId="7" fillId="0" borderId="0" xfId="0" applyNumberFormat="1" applyFont="1"/>
    <xf numFmtId="0" fontId="0" fillId="4" borderId="0" xfId="0" applyFill="1" applyAlignment="1">
      <alignment horizontal="right"/>
    </xf>
    <xf numFmtId="0" fontId="0" fillId="7" borderId="0" xfId="0" applyFill="1"/>
    <xf numFmtId="9" fontId="8" fillId="4" borderId="0" xfId="1" applyFont="1" applyFill="1"/>
    <xf numFmtId="0" fontId="0" fillId="0" borderId="0" xfId="0" applyNumberFormat="1"/>
    <xf numFmtId="0" fontId="0" fillId="4" borderId="0" xfId="0" applyNumberFormat="1" applyFill="1"/>
    <xf numFmtId="0" fontId="4" fillId="2" borderId="0" xfId="0" applyFont="1" applyFill="1" applyAlignment="1">
      <alignment horizontal="right" vertical="center" wrapText="1" indent="5"/>
    </xf>
    <xf numFmtId="0" fontId="4" fillId="2" borderId="0" xfId="0" applyFont="1" applyFill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8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13" formatCode="0%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0" formatCode="General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  <fill>
        <patternFill patternType="solid">
          <fgColor indexed="64"/>
          <bgColor theme="7" tint="0.79998168889431442"/>
        </patternFill>
      </fill>
    </dxf>
    <dxf>
      <numFmt numFmtId="0" formatCode="General"/>
    </dxf>
    <dxf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alignment horizontal="general" vertical="bottom" textRotation="0" wrapText="1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border outline="0">
        <left style="thin">
          <color theme="7"/>
        </left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>
          <fgColor indexed="64"/>
          <bgColor theme="7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7"/>
        </top>
        <bottom/>
        <vertical/>
        <horizontal/>
      </border>
    </dxf>
    <dxf>
      <border outline="0">
        <top style="thin">
          <color theme="7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theme="7"/>
          <bgColor theme="7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0" formatCode="General"/>
      <fill>
        <patternFill patternType="solid">
          <fgColor indexed="64"/>
          <bgColor theme="7" tint="0.79998168889431442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border diagonalUp="0" diagonalDown="0">
        <left style="thin">
          <color theme="7"/>
        </left>
        <right/>
        <top style="thin">
          <color theme="7"/>
        </top>
        <bottom/>
        <vertical/>
        <horizontal/>
      </border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Length, Discipline Method and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Suspensions.Expulsions!$B$7</c:f>
              <c:strCache>
                <c:ptCount val="1"/>
                <c:pt idx="0">
                  <c:v>In School Suspension Less Than or Equal to 10 days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Suspensions.Expulsions!$A$8:$A$21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 Suspensions/Expulsions by length</c:v>
                </c:pt>
              </c:strCache>
            </c:strRef>
          </c:cat>
          <c:val>
            <c:numRef>
              <c:f>Suspensions.Expulsions!$B$8:$B$21</c:f>
              <c:numCache>
                <c:formatCode>0%</c:formatCode>
                <c:ptCount val="14"/>
                <c:pt idx="0" formatCode="General">
                  <c:v>94</c:v>
                </c:pt>
                <c:pt idx="1">
                  <c:v>0</c:v>
                </c:pt>
                <c:pt idx="2" formatCode="General">
                  <c:v>50</c:v>
                </c:pt>
                <c:pt idx="3" formatCode="General">
                  <c:v>240</c:v>
                </c:pt>
                <c:pt idx="4" formatCode="General">
                  <c:v>11</c:v>
                </c:pt>
                <c:pt idx="5" formatCode="General">
                  <c:v>23</c:v>
                </c:pt>
                <c:pt idx="6" formatCode="General">
                  <c:v>14</c:v>
                </c:pt>
                <c:pt idx="7" formatCode="General">
                  <c:v>306</c:v>
                </c:pt>
                <c:pt idx="8" formatCode="General">
                  <c:v>2</c:v>
                </c:pt>
                <c:pt idx="9" formatCode="General">
                  <c:v>562</c:v>
                </c:pt>
                <c:pt idx="10" formatCode="General">
                  <c:v>47</c:v>
                </c:pt>
                <c:pt idx="11" formatCode="General">
                  <c:v>4</c:v>
                </c:pt>
                <c:pt idx="12" formatCode="General">
                  <c:v>1</c:v>
                </c:pt>
                <c:pt idx="13" formatCode="General">
                  <c:v>1354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A-445C-90DA-9B52072EE061}"/>
            </c:ext>
          </c:extLst>
        </c:ser>
        <c:ser>
          <c:idx val="1"/>
          <c:order val="1"/>
          <c:tx>
            <c:strRef>
              <c:f>Suspensions.Expulsions!$C$7</c:f>
              <c:strCache>
                <c:ptCount val="1"/>
                <c:pt idx="0">
                  <c:v>In School Suspension Greater then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Suspensions.Expulsions!$A$8:$A$21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 Suspensions/Expulsions by length</c:v>
                </c:pt>
              </c:strCache>
            </c:strRef>
          </c:cat>
          <c:val>
            <c:numRef>
              <c:f>Suspensions.Expulsions!$C$8:$C$21</c:f>
              <c:numCache>
                <c:formatCode>0%</c:formatCode>
                <c:ptCount val="14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3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3</c:v>
                </c:pt>
                <c:pt idx="8" formatCode="General">
                  <c:v>0</c:v>
                </c:pt>
                <c:pt idx="9" formatCode="General">
                  <c:v>8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A-445C-90DA-9B52072EE061}"/>
            </c:ext>
          </c:extLst>
        </c:ser>
        <c:ser>
          <c:idx val="2"/>
          <c:order val="2"/>
          <c:tx>
            <c:strRef>
              <c:f>Suspensions.Expulsions!$D$7</c:f>
              <c:strCache>
                <c:ptCount val="1"/>
                <c:pt idx="0">
                  <c:v>Out of School Suspension Less Than or Equal to 10 days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Suspensions.Expulsions!$A$8:$A$21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 Suspensions/Expulsions by length</c:v>
                </c:pt>
              </c:strCache>
            </c:strRef>
          </c:cat>
          <c:val>
            <c:numRef>
              <c:f>Suspensions.Expulsions!$D$8:$D$21</c:f>
              <c:numCache>
                <c:formatCode>0%</c:formatCode>
                <c:ptCount val="14"/>
                <c:pt idx="0" formatCode="General">
                  <c:v>198</c:v>
                </c:pt>
                <c:pt idx="1">
                  <c:v>0</c:v>
                </c:pt>
                <c:pt idx="2" formatCode="General">
                  <c:v>90</c:v>
                </c:pt>
                <c:pt idx="3" formatCode="General">
                  <c:v>607</c:v>
                </c:pt>
                <c:pt idx="4" formatCode="General">
                  <c:v>15</c:v>
                </c:pt>
                <c:pt idx="5" formatCode="General">
                  <c:v>42</c:v>
                </c:pt>
                <c:pt idx="6" formatCode="General">
                  <c:v>39</c:v>
                </c:pt>
                <c:pt idx="7" formatCode="General">
                  <c:v>593</c:v>
                </c:pt>
                <c:pt idx="8" formatCode="General">
                  <c:v>3</c:v>
                </c:pt>
                <c:pt idx="9" formatCode="General">
                  <c:v>1006</c:v>
                </c:pt>
                <c:pt idx="10" formatCode="General">
                  <c:v>95</c:v>
                </c:pt>
                <c:pt idx="11" formatCode="General">
                  <c:v>13</c:v>
                </c:pt>
                <c:pt idx="12" formatCode="General">
                  <c:v>3</c:v>
                </c:pt>
                <c:pt idx="13" formatCode="General">
                  <c:v>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A-445C-90DA-9B52072EE061}"/>
            </c:ext>
          </c:extLst>
        </c:ser>
        <c:ser>
          <c:idx val="3"/>
          <c:order val="3"/>
          <c:tx>
            <c:strRef>
              <c:f>Suspensions.Expulsions!$E$7</c:f>
              <c:strCache>
                <c:ptCount val="1"/>
                <c:pt idx="0">
                  <c:v>Out of School Suspension Greater then 10 Days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Suspensions.Expulsions!$A$8:$A$21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 Suspensions/Expulsions by length</c:v>
                </c:pt>
              </c:strCache>
            </c:strRef>
          </c:cat>
          <c:val>
            <c:numRef>
              <c:f>Suspensions.Expulsions!$E$8:$E$21</c:f>
              <c:numCache>
                <c:formatCode>0%</c:formatCode>
                <c:ptCount val="14"/>
                <c:pt idx="0" formatCode="General">
                  <c:v>2</c:v>
                </c:pt>
                <c:pt idx="1">
                  <c:v>0</c:v>
                </c:pt>
                <c:pt idx="2" formatCode="General">
                  <c:v>3</c:v>
                </c:pt>
                <c:pt idx="3" formatCode="General">
                  <c:v>37</c:v>
                </c:pt>
                <c:pt idx="4" formatCode="General">
                  <c:v>0</c:v>
                </c:pt>
                <c:pt idx="5" formatCode="General">
                  <c:v>4</c:v>
                </c:pt>
                <c:pt idx="6" formatCode="General">
                  <c:v>3</c:v>
                </c:pt>
                <c:pt idx="7" formatCode="General">
                  <c:v>21</c:v>
                </c:pt>
                <c:pt idx="8" formatCode="General">
                  <c:v>0</c:v>
                </c:pt>
                <c:pt idx="9" formatCode="General">
                  <c:v>41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0</c:v>
                </c:pt>
                <c:pt idx="13" formatCode="General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A-445C-90DA-9B52072EE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99623344"/>
        <c:axId val="1299621776"/>
      </c:barChart>
      <c:catAx>
        <c:axId val="1299623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621776"/>
        <c:crosses val="autoZero"/>
        <c:auto val="1"/>
        <c:lblAlgn val="ctr"/>
        <c:lblOffset val="100"/>
        <c:noMultiLvlLbl val="0"/>
      </c:catAx>
      <c:valAx>
        <c:axId val="1299621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962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Removals by Race</a:t>
            </a:r>
          </a:p>
        </c:rich>
      </c:tx>
      <c:layout>
        <c:manualLayout>
          <c:xMode val="edge"/>
          <c:yMode val="edge"/>
          <c:x val="3.485652159588885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'Number of removals'!$B$20</c:f>
              <c:strCache>
                <c:ptCount val="1"/>
                <c:pt idx="0">
                  <c:v>Count of Removals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98E-4375-A8A9-0662AA383B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98E-4375-A8A9-0662AA383B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98E-4375-A8A9-0662AA383BF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98E-4375-A8A9-0662AA383BF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98E-4375-A8A9-0662AA383BF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98E-4375-A8A9-0662AA383BF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98E-4375-A8A9-0662AA383BF3}"/>
              </c:ext>
            </c:extLst>
          </c:dPt>
          <c:dLbls>
            <c:dLbl>
              <c:idx val="0"/>
              <c:layout>
                <c:manualLayout>
                  <c:x val="-0.28884547381368125"/>
                  <c:y val="0.104986876640419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616446479754881"/>
                      <c:h val="0.20581802274715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8E-4375-A8A9-0662AA383BF3}"/>
                </c:ext>
              </c:extLst>
            </c:dLbl>
            <c:dLbl>
              <c:idx val="1"/>
              <c:layout>
                <c:manualLayout>
                  <c:x val="5.857740585774058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8E-4375-A8A9-0662AA383BF3}"/>
                </c:ext>
              </c:extLst>
            </c:dLbl>
            <c:dLbl>
              <c:idx val="2"/>
              <c:layout>
                <c:manualLayout>
                  <c:x val="0.14225941422594152"/>
                  <c:y val="3.0621172353455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8E-4375-A8A9-0662AA383BF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F98E-4375-A8A9-0662AA383BF3}"/>
                </c:ext>
              </c:extLst>
            </c:dLbl>
            <c:dLbl>
              <c:idx val="4"/>
              <c:layout>
                <c:manualLayout>
                  <c:x val="0.1200068811623266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8E-4375-A8A9-0662AA383BF3}"/>
                </c:ext>
              </c:extLst>
            </c:dLbl>
            <c:dLbl>
              <c:idx val="5"/>
              <c:layout>
                <c:manualLayout>
                  <c:x val="-0.30588339378925949"/>
                  <c:y val="-1.35382561715868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8E-4375-A8A9-0662AA383BF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F98E-4375-A8A9-0662AA383BF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'Number of removals'!$A$21:$A$27</c:f>
              <c:strCache>
                <c:ptCount val="7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</c:strCache>
            </c:strRef>
          </c:cat>
          <c:val>
            <c:numRef>
              <c:f>'Number of removals'!$B$21:$B$27</c:f>
              <c:numCache>
                <c:formatCode>General</c:formatCode>
                <c:ptCount val="7"/>
                <c:pt idx="0">
                  <c:v>47</c:v>
                </c:pt>
                <c:pt idx="1">
                  <c:v>22</c:v>
                </c:pt>
                <c:pt idx="2">
                  <c:v>344</c:v>
                </c:pt>
                <c:pt idx="3">
                  <c:v>2348</c:v>
                </c:pt>
                <c:pt idx="4">
                  <c:v>258</c:v>
                </c:pt>
                <c:pt idx="5">
                  <c:v>11</c:v>
                </c:pt>
                <c:pt idx="6">
                  <c:v>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8E-4375-A8A9-0662AA383BF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Removals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'Number of removals'!$B$30</c:f>
              <c:strCache>
                <c:ptCount val="1"/>
                <c:pt idx="0">
                  <c:v>Count of Removals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6EF-417C-A4F3-A54C925615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6EF-417C-A4F3-A54C925615D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6EF-417C-A4F3-A54C925615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6EF-417C-A4F3-A54C925615D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'Number of removals'!$A$31:$A$32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'Number of removals'!$B$31:$B$32</c:f>
              <c:numCache>
                <c:formatCode>General</c:formatCode>
                <c:ptCount val="2"/>
                <c:pt idx="0">
                  <c:v>1041</c:v>
                </c:pt>
                <c:pt idx="1">
                  <c:v>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EF-417C-A4F3-A54C925615DF}"/>
            </c:ext>
          </c:extLst>
        </c:ser>
        <c:ser>
          <c:idx val="1"/>
          <c:order val="1"/>
          <c:tx>
            <c:strRef>
              <c:f>'Number of removals'!$C$30</c:f>
              <c:strCache>
                <c:ptCount val="1"/>
                <c:pt idx="0">
                  <c:v>% of Total Removals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6EF-417C-A4F3-A54C925615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6EF-417C-A4F3-A54C925615D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6EF-417C-A4F3-A54C925615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6EF-417C-A4F3-A54C925615D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'Number of removals'!$A$31:$A$32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'Number of removals'!$C$31:$C$32</c:f>
              <c:numCache>
                <c:formatCode>0%</c:formatCode>
                <c:ptCount val="2"/>
                <c:pt idx="0">
                  <c:v>0.16513324873096447</c:v>
                </c:pt>
                <c:pt idx="1">
                  <c:v>0.83486675126903553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EF-417C-A4F3-A54C925615D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Removals by English Proficiency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'Number of removals'!$B$35</c:f>
              <c:strCache>
                <c:ptCount val="1"/>
                <c:pt idx="0">
                  <c:v>Count of Removals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CC-4BD1-8906-9C01AC9A1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CC-4BD1-8906-9C01AC9A1DA3}"/>
              </c:ext>
            </c:extLst>
          </c:dPt>
          <c:dLbls>
            <c:dLbl>
              <c:idx val="0"/>
              <c:layout>
                <c:manualLayout>
                  <c:x val="0.1249999999999999"/>
                  <c:y val="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CC-4BD1-8906-9C01AC9A1DA3}"/>
                </c:ext>
              </c:extLst>
            </c:dLbl>
            <c:dLbl>
              <c:idx val="1"/>
              <c:layout>
                <c:manualLayout>
                  <c:x val="-0.1027777777777778"/>
                  <c:y val="-0.1249999999999999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CC-4BD1-8906-9C01AC9A1DA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'Number of removals'!$A$36:$A$37</c:f>
              <c:strCache>
                <c:ptCount val="2"/>
                <c:pt idx="0">
                  <c:v>Limited English Proficient</c:v>
                </c:pt>
                <c:pt idx="1">
                  <c:v>Not Limited English Proficient</c:v>
                </c:pt>
              </c:strCache>
            </c:strRef>
          </c:cat>
          <c:val>
            <c:numRef>
              <c:f>'Number of removals'!$B$36:$B$37</c:f>
              <c:numCache>
                <c:formatCode>General</c:formatCode>
                <c:ptCount val="2"/>
                <c:pt idx="0">
                  <c:v>742</c:v>
                </c:pt>
                <c:pt idx="1">
                  <c:v>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CC-4BD1-8906-9C01AC9A1DA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By Disability Status and Educational Services Received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'Ed Services During Expulsion'!$B$4</c:f>
              <c:strCache>
                <c:ptCount val="1"/>
                <c:pt idx="0">
                  <c:v>Services Provided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'Ed Services During Expulsion'!$A$5:$A$6</c:f>
              <c:strCache>
                <c:ptCount val="2"/>
                <c:pt idx="0">
                  <c:v>Students with Disabilities</c:v>
                </c:pt>
                <c:pt idx="1">
                  <c:v>Students without Disabilities</c:v>
                </c:pt>
              </c:strCache>
            </c:strRef>
          </c:cat>
          <c:val>
            <c:numRef>
              <c:f>'Ed Services During Expulsion'!$B$5:$B$6</c:f>
              <c:numCache>
                <c:formatCode>General</c:formatCode>
                <c:ptCount val="2"/>
                <c:pt idx="0">
                  <c:v>30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B2-4D22-8C33-FAFD1FA265D6}"/>
            </c:ext>
          </c:extLst>
        </c:ser>
        <c:ser>
          <c:idx val="1"/>
          <c:order val="1"/>
          <c:tx>
            <c:strRef>
              <c:f>'Ed Services During Expulsion'!$C$4</c:f>
              <c:strCache>
                <c:ptCount val="1"/>
                <c:pt idx="0">
                  <c:v>Services not Provided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 Services During Expulsion'!$A$5:$A$6</c:f>
              <c:strCache>
                <c:ptCount val="2"/>
                <c:pt idx="0">
                  <c:v>Students with Disabilities</c:v>
                </c:pt>
                <c:pt idx="1">
                  <c:v>Students without Disabilities</c:v>
                </c:pt>
              </c:strCache>
            </c:strRef>
          </c:cat>
          <c:val>
            <c:numRef>
              <c:f>'Ed Services During Expulsion'!$C$5:$C$6</c:f>
              <c:numCache>
                <c:formatCode>General</c:formatCode>
                <c:ptCount val="2"/>
                <c:pt idx="0">
                  <c:v>12</c:v>
                </c:pt>
                <c:pt idx="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B2-4D22-8C33-FAFD1FA265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7032"/>
        <c:axId val="1341227424"/>
      </c:barChart>
      <c:catAx>
        <c:axId val="1341227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7424"/>
        <c:crosses val="autoZero"/>
        <c:auto val="1"/>
        <c:lblAlgn val="ctr"/>
        <c:lblOffset val="100"/>
        <c:noMultiLvlLbl val="0"/>
      </c:catAx>
      <c:valAx>
        <c:axId val="134122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7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to Interim Alternative Educational Setting and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'Removal to IAES'!$B$4</c:f>
              <c:strCache>
                <c:ptCount val="1"/>
                <c:pt idx="0">
                  <c:v>Removal by School Personnel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'Removal to IAES'!$A$5:$A$18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Removals</c:v>
                </c:pt>
              </c:strCache>
            </c:strRef>
          </c:cat>
          <c:val>
            <c:numRef>
              <c:f>'Removal to IAES'!$B$5:$B$18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4-420E-8231-42AD3A921F0A}"/>
            </c:ext>
          </c:extLst>
        </c:ser>
        <c:ser>
          <c:idx val="1"/>
          <c:order val="1"/>
          <c:tx>
            <c:strRef>
              <c:f>'Removal to IAES'!$C$4</c:f>
              <c:strCache>
                <c:ptCount val="1"/>
                <c:pt idx="0">
                  <c:v>Removal by Hearing Officer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'Removal to IAES'!$A$5:$A$18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Removals</c:v>
                </c:pt>
              </c:strCache>
            </c:strRef>
          </c:cat>
          <c:val>
            <c:numRef>
              <c:f>'Removal to IAES'!$C$5:$C$18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4-420E-8231-42AD3A92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28208"/>
        <c:axId val="1341218408"/>
      </c:barChart>
      <c:catAx>
        <c:axId val="1341228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18408"/>
        <c:crosses val="autoZero"/>
        <c:auto val="1"/>
        <c:lblAlgn val="ctr"/>
        <c:lblOffset val="100"/>
        <c:noMultiLvlLbl val="0"/>
      </c:catAx>
      <c:valAx>
        <c:axId val="13412184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82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to Interim Alternative Educational Setting and Race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'Removal to IAES'!$B$20</c:f>
              <c:strCache>
                <c:ptCount val="1"/>
                <c:pt idx="0">
                  <c:v>Removal by School Personnel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'Removal to IAES'!$A$21:$A$28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Removals</c:v>
                </c:pt>
              </c:strCache>
            </c:strRef>
          </c:cat>
          <c:val>
            <c:numRef>
              <c:f>'Removal to IAES'!$B$21:$B$28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0-4B35-961F-F4FBC6607241}"/>
            </c:ext>
          </c:extLst>
        </c:ser>
        <c:ser>
          <c:idx val="1"/>
          <c:order val="1"/>
          <c:tx>
            <c:strRef>
              <c:f>'Removal to IAES'!$C$20</c:f>
              <c:strCache>
                <c:ptCount val="1"/>
                <c:pt idx="0">
                  <c:v>Removal by Hearing Officer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'Removal to IAES'!$A$21:$A$28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Removals</c:v>
                </c:pt>
              </c:strCache>
            </c:strRef>
          </c:cat>
          <c:val>
            <c:numRef>
              <c:f>'Removal to IAES'!$C$21:$C$28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0-4B35-961F-F4FBC6607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29776"/>
        <c:axId val="1341239184"/>
      </c:barChart>
      <c:catAx>
        <c:axId val="1341229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9184"/>
        <c:crosses val="autoZero"/>
        <c:auto val="1"/>
        <c:lblAlgn val="ctr"/>
        <c:lblOffset val="100"/>
        <c:noMultiLvlLbl val="0"/>
      </c:catAx>
      <c:valAx>
        <c:axId val="1341239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9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to Interim Alternative Educational Setting and Sex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'Removal to IAES'!$B$30</c:f>
              <c:strCache>
                <c:ptCount val="1"/>
                <c:pt idx="0">
                  <c:v>Removal by School Personnel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'Removal to IAES'!$A$31:$A$33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Removals</c:v>
                </c:pt>
              </c:strCache>
            </c:strRef>
          </c:cat>
          <c:val>
            <c:numRef>
              <c:f>'Removal to IAES'!$B$31:$B$33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D5E-A6FF-248500A60767}"/>
            </c:ext>
          </c:extLst>
        </c:ser>
        <c:ser>
          <c:idx val="1"/>
          <c:order val="1"/>
          <c:tx>
            <c:strRef>
              <c:f>'Removal to IAES'!$C$30</c:f>
              <c:strCache>
                <c:ptCount val="1"/>
                <c:pt idx="0">
                  <c:v>Removal by Hearing Officer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'Removal to IAES'!$A$31:$A$33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Removals</c:v>
                </c:pt>
              </c:strCache>
            </c:strRef>
          </c:cat>
          <c:val>
            <c:numRef>
              <c:f>'Removal to IAES'!$C$31:$C$33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9-4D5E-A6FF-248500A6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35264"/>
        <c:axId val="1341231344"/>
      </c:barChart>
      <c:catAx>
        <c:axId val="134123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1344"/>
        <c:crosses val="autoZero"/>
        <c:auto val="1"/>
        <c:lblAlgn val="ctr"/>
        <c:lblOffset val="100"/>
        <c:noMultiLvlLbl val="0"/>
      </c:catAx>
      <c:valAx>
        <c:axId val="13412313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52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to Interim Alternative Educational Setting and English Language Proficiency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'Removal to IAES'!$B$35</c:f>
              <c:strCache>
                <c:ptCount val="1"/>
                <c:pt idx="0">
                  <c:v>Removal by School Personnel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'Removal to IAES'!$A$36:$A$38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Removals</c:v>
                </c:pt>
              </c:strCache>
            </c:strRef>
          </c:cat>
          <c:val>
            <c:numRef>
              <c:f>'Removal to IAES'!$B$36:$B$38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B-40B0-A323-2A3120F05362}"/>
            </c:ext>
          </c:extLst>
        </c:ser>
        <c:ser>
          <c:idx val="1"/>
          <c:order val="1"/>
          <c:tx>
            <c:strRef>
              <c:f>'Removal to IAES'!$C$35</c:f>
              <c:strCache>
                <c:ptCount val="1"/>
                <c:pt idx="0">
                  <c:v>Removal by Hearing Officer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'Removal to IAES'!$A$36:$A$38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Removals</c:v>
                </c:pt>
              </c:strCache>
            </c:strRef>
          </c:cat>
          <c:val>
            <c:numRef>
              <c:f>'Removal to IAES'!$C$36:$C$38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B-40B0-A323-2A3120F05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34872"/>
        <c:axId val="1341239968"/>
      </c:barChart>
      <c:catAx>
        <c:axId val="1341234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9968"/>
        <c:crosses val="autoZero"/>
        <c:auto val="1"/>
        <c:lblAlgn val="ctr"/>
        <c:lblOffset val="100"/>
        <c:noMultiLvlLbl val="0"/>
      </c:catAx>
      <c:valAx>
        <c:axId val="1341239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Unilateral Removal Reason and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'Reasons for Unilateral Removals'!$B$4</c:f>
              <c:strCache>
                <c:ptCount val="1"/>
                <c:pt idx="0">
                  <c:v>Removed for Drugs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Removal Reasons</c:v>
                </c:pt>
              </c:strCache>
            </c:strRef>
          </c:cat>
          <c:val>
            <c:numRef>
              <c:f>'Reasons for Unilateral Removals'!$B$5:$B$18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8-4605-8270-EF6D1019FE94}"/>
            </c:ext>
          </c:extLst>
        </c:ser>
        <c:ser>
          <c:idx val="1"/>
          <c:order val="1"/>
          <c:tx>
            <c:strRef>
              <c:f>'Reasons for Unilateral Removals'!$C$4</c:f>
              <c:strCache>
                <c:ptCount val="1"/>
                <c:pt idx="0">
                  <c:v>Removed for Serious Bodily Injury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Removal Reasons</c:v>
                </c:pt>
              </c:strCache>
            </c:strRef>
          </c:cat>
          <c:val>
            <c:numRef>
              <c:f>'Reasons for Unilateral Removals'!$C$5:$C$18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8-4605-8270-EF6D1019FE94}"/>
            </c:ext>
          </c:extLst>
        </c:ser>
        <c:ser>
          <c:idx val="2"/>
          <c:order val="2"/>
          <c:tx>
            <c:strRef>
              <c:f>'Reasons for Unilateral Removals'!$D$4</c:f>
              <c:strCache>
                <c:ptCount val="1"/>
                <c:pt idx="0">
                  <c:v>Removed for Weapon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Removal Reasons</c:v>
                </c:pt>
              </c:strCache>
            </c:strRef>
          </c:cat>
          <c:val>
            <c:numRef>
              <c:f>'Reasons for Unilateral Removals'!$D$5:$D$18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8-4605-8270-EF6D1019F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39576"/>
        <c:axId val="1341234088"/>
      </c:barChart>
      <c:catAx>
        <c:axId val="1341239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4088"/>
        <c:crosses val="autoZero"/>
        <c:auto val="1"/>
        <c:lblAlgn val="ctr"/>
        <c:lblOffset val="100"/>
        <c:noMultiLvlLbl val="0"/>
      </c:catAx>
      <c:valAx>
        <c:axId val="1341234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95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Unilateral Removal Reason and Racial/Ethnic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'Reasons for Unilateral Removals'!$B$20</c:f>
              <c:strCache>
                <c:ptCount val="1"/>
                <c:pt idx="0">
                  <c:v>Removed for Drugs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Removals'!$A$21:$A$28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Removals</c:v>
                </c:pt>
              </c:strCache>
            </c:strRef>
          </c:cat>
          <c:val>
            <c:numRef>
              <c:f>'Reasons for Unilateral Removals'!$B$21:$B$28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9-4F55-9887-82592F7498EE}"/>
            </c:ext>
          </c:extLst>
        </c:ser>
        <c:ser>
          <c:idx val="1"/>
          <c:order val="1"/>
          <c:tx>
            <c:strRef>
              <c:f>'Reasons for Unilateral Removals'!$C$20</c:f>
              <c:strCache>
                <c:ptCount val="1"/>
                <c:pt idx="0">
                  <c:v>Removed for Serious Bodily Injury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Removals'!$A$21:$A$28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Removals</c:v>
                </c:pt>
              </c:strCache>
            </c:strRef>
          </c:cat>
          <c:val>
            <c:numRef>
              <c:f>'Reasons for Unilateral Removals'!$C$21:$C$28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9-4F55-9887-82592F7498EE}"/>
            </c:ext>
          </c:extLst>
        </c:ser>
        <c:ser>
          <c:idx val="2"/>
          <c:order val="2"/>
          <c:tx>
            <c:strRef>
              <c:f>'Reasons for Unilateral Removals'!$D$20</c:f>
              <c:strCache>
                <c:ptCount val="1"/>
                <c:pt idx="0">
                  <c:v>Removed for Weapon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Removals'!$A$21:$A$28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Removals</c:v>
                </c:pt>
              </c:strCache>
            </c:strRef>
          </c:cat>
          <c:val>
            <c:numRef>
              <c:f>'Reasons for Unilateral Removals'!$D$21:$D$28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9-4F55-9887-82592F749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41144"/>
        <c:axId val="1341236440"/>
      </c:barChart>
      <c:catAx>
        <c:axId val="1341241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6440"/>
        <c:crosses val="autoZero"/>
        <c:auto val="1"/>
        <c:lblAlgn val="ctr"/>
        <c:lblOffset val="100"/>
        <c:noMultiLvlLbl val="0"/>
      </c:catAx>
      <c:valAx>
        <c:axId val="1341236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411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Length, Discipline Method and Racial/Ethnic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Suspensions.Expulsions!$B$23</c:f>
              <c:strCache>
                <c:ptCount val="1"/>
                <c:pt idx="0">
                  <c:v>In School Suspension Less Than or Equal to 10 days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Suspensions.Expulsions!$A$24:$A$31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 Suspensions/Expulsions by length</c:v>
                </c:pt>
              </c:strCache>
            </c:strRef>
          </c:cat>
          <c:val>
            <c:numRef>
              <c:f>Suspensions.Expulsions!$B$24:$B$31</c:f>
              <c:numCache>
                <c:formatCode>General</c:formatCode>
                <c:ptCount val="8"/>
                <c:pt idx="0">
                  <c:v>7</c:v>
                </c:pt>
                <c:pt idx="1">
                  <c:v>5</c:v>
                </c:pt>
                <c:pt idx="2">
                  <c:v>55</c:v>
                </c:pt>
                <c:pt idx="3">
                  <c:v>501</c:v>
                </c:pt>
                <c:pt idx="4">
                  <c:v>53</c:v>
                </c:pt>
                <c:pt idx="5">
                  <c:v>4</c:v>
                </c:pt>
                <c:pt idx="6">
                  <c:v>727</c:v>
                </c:pt>
                <c:pt idx="7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7-42D7-BC60-0E41313286D3}"/>
            </c:ext>
          </c:extLst>
        </c:ser>
        <c:ser>
          <c:idx val="1"/>
          <c:order val="1"/>
          <c:tx>
            <c:strRef>
              <c:f>Suspensions.Expulsions!$C$23</c:f>
              <c:strCache>
                <c:ptCount val="1"/>
                <c:pt idx="0">
                  <c:v>In School Suspension Greater then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Suspensions.Expulsions!$A$24:$A$31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 Suspensions/Expulsions by length</c:v>
                </c:pt>
              </c:strCache>
            </c:strRef>
          </c:cat>
          <c:val>
            <c:numRef>
              <c:f>Suspensions.Expulsions!$C$24:$C$31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7-42D7-BC60-0E41313286D3}"/>
            </c:ext>
          </c:extLst>
        </c:ser>
        <c:ser>
          <c:idx val="2"/>
          <c:order val="2"/>
          <c:tx>
            <c:strRef>
              <c:f>Suspensions.Expulsions!$D$23</c:f>
              <c:strCache>
                <c:ptCount val="1"/>
                <c:pt idx="0">
                  <c:v>Out of School Suspension Less Than or Equal to 10 days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Suspensions.Expulsions!$A$24:$A$31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 Suspensions/Expulsions by length</c:v>
                </c:pt>
              </c:strCache>
            </c:strRef>
          </c:cat>
          <c:val>
            <c:numRef>
              <c:f>Suspensions.Expulsions!$D$24:$D$31</c:f>
              <c:numCache>
                <c:formatCode>General</c:formatCode>
                <c:ptCount val="8"/>
                <c:pt idx="0">
                  <c:v>22</c:v>
                </c:pt>
                <c:pt idx="1">
                  <c:v>10</c:v>
                </c:pt>
                <c:pt idx="2">
                  <c:v>161</c:v>
                </c:pt>
                <c:pt idx="3">
                  <c:v>1033</c:v>
                </c:pt>
                <c:pt idx="4">
                  <c:v>132</c:v>
                </c:pt>
                <c:pt idx="5">
                  <c:v>2</c:v>
                </c:pt>
                <c:pt idx="6">
                  <c:v>1342</c:v>
                </c:pt>
                <c:pt idx="7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97-42D7-BC60-0E41313286D3}"/>
            </c:ext>
          </c:extLst>
        </c:ser>
        <c:ser>
          <c:idx val="3"/>
          <c:order val="3"/>
          <c:tx>
            <c:strRef>
              <c:f>Suspensions.Expulsions!$E$23</c:f>
              <c:strCache>
                <c:ptCount val="1"/>
                <c:pt idx="0">
                  <c:v>Out of School Suspension Greater then 10 Days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Suspensions.Expulsions!$A$24:$A$31</c:f>
              <c:strCache>
                <c:ptCount val="8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 Suspensions/Expulsions by length</c:v>
                </c:pt>
              </c:strCache>
            </c:strRef>
          </c:cat>
          <c:val>
            <c:numRef>
              <c:f>Suspensions.Expulsions!$E$24:$E$31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44</c:v>
                </c:pt>
                <c:pt idx="4">
                  <c:v>2</c:v>
                </c:pt>
                <c:pt idx="5">
                  <c:v>0</c:v>
                </c:pt>
                <c:pt idx="6">
                  <c:v>56</c:v>
                </c:pt>
                <c:pt idx="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97-42D7-BC60-0E413132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19976"/>
        <c:axId val="1341225856"/>
      </c:barChart>
      <c:catAx>
        <c:axId val="1341219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5856"/>
        <c:crosses val="autoZero"/>
        <c:auto val="1"/>
        <c:lblAlgn val="ctr"/>
        <c:lblOffset val="100"/>
        <c:noMultiLvlLbl val="0"/>
      </c:catAx>
      <c:valAx>
        <c:axId val="1341225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1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Unilateral Removal Reason and Sex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'Reasons for Unilateral Removals'!$B$30</c:f>
              <c:strCache>
                <c:ptCount val="1"/>
                <c:pt idx="0">
                  <c:v>Removed for Drugs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Removals'!$B$31:$B$33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3-456E-A9D6-522D8CA29B9F}"/>
            </c:ext>
          </c:extLst>
        </c:ser>
        <c:ser>
          <c:idx val="1"/>
          <c:order val="1"/>
          <c:tx>
            <c:strRef>
              <c:f>'Reasons for Unilateral Removals'!$C$30</c:f>
              <c:strCache>
                <c:ptCount val="1"/>
                <c:pt idx="0">
                  <c:v>Removed for Serious Bodily Injury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Removals'!$C$31:$C$33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3-456E-A9D6-522D8CA29B9F}"/>
            </c:ext>
          </c:extLst>
        </c:ser>
        <c:ser>
          <c:idx val="2"/>
          <c:order val="2"/>
          <c:tx>
            <c:strRef>
              <c:f>'Reasons for Unilateral Removals'!$D$30</c:f>
              <c:strCache>
                <c:ptCount val="1"/>
                <c:pt idx="0">
                  <c:v>Removed for Weapon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Removals'!$D$31:$D$33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3-456E-A9D6-522D8CA29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36832"/>
        <c:axId val="1341235656"/>
      </c:barChart>
      <c:catAx>
        <c:axId val="1341236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5656"/>
        <c:crosses val="autoZero"/>
        <c:auto val="1"/>
        <c:lblAlgn val="ctr"/>
        <c:lblOffset val="100"/>
        <c:noMultiLvlLbl val="0"/>
      </c:catAx>
      <c:valAx>
        <c:axId val="13412356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368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Unilateral Removal Reason and English Proficiency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'Reasons for Unilateral Removals'!$B$35</c:f>
              <c:strCache>
                <c:ptCount val="1"/>
                <c:pt idx="0">
                  <c:v>Removed for Drugs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Removals'!$B$36:$B$38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0-404C-8E9B-8E4590350C13}"/>
            </c:ext>
          </c:extLst>
        </c:ser>
        <c:ser>
          <c:idx val="1"/>
          <c:order val="1"/>
          <c:tx>
            <c:strRef>
              <c:f>'Reasons for Unilateral Removals'!$C$35</c:f>
              <c:strCache>
                <c:ptCount val="1"/>
                <c:pt idx="0">
                  <c:v>Removed for Serious Bodily Injury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Removals'!$C$36:$C$38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40-404C-8E9B-8E4590350C13}"/>
            </c:ext>
          </c:extLst>
        </c:ser>
        <c:ser>
          <c:idx val="2"/>
          <c:order val="2"/>
          <c:tx>
            <c:strRef>
              <c:f>'Reasons for Unilateral Removals'!$D$35</c:f>
              <c:strCache>
                <c:ptCount val="1"/>
                <c:pt idx="0">
                  <c:v>Removed for Weapon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'Reasons for Unilateral Removals'!$A$36:$A$38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Removals</c:v>
                </c:pt>
              </c:strCache>
            </c:strRef>
          </c:cat>
          <c:val>
            <c:numRef>
              <c:f>'Reasons for Unilateral Removals'!$D$36:$D$38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0-404C-8E9B-8E459035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41241536"/>
        <c:axId val="1341241928"/>
      </c:barChart>
      <c:catAx>
        <c:axId val="134124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41928"/>
        <c:crosses val="autoZero"/>
        <c:auto val="1"/>
        <c:lblAlgn val="ctr"/>
        <c:lblOffset val="100"/>
        <c:noMultiLvlLbl val="0"/>
      </c:catAx>
      <c:valAx>
        <c:axId val="13412419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415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Length, Discipline Method and Sex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Suspensions.Expulsions!$B$33</c:f>
              <c:strCache>
                <c:ptCount val="1"/>
                <c:pt idx="0">
                  <c:v>In School Suspension Less Than or Equal to 10 days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Suspensions.Expulsions!$A$34:$A$36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Suspensions.Expulsions!$B$34:$B$36</c:f>
              <c:numCache>
                <c:formatCode>General</c:formatCode>
                <c:ptCount val="3"/>
                <c:pt idx="0">
                  <c:v>244</c:v>
                </c:pt>
                <c:pt idx="1">
                  <c:v>1108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3C8-884E-70713F788E23}"/>
            </c:ext>
          </c:extLst>
        </c:ser>
        <c:ser>
          <c:idx val="1"/>
          <c:order val="1"/>
          <c:tx>
            <c:strRef>
              <c:f>Suspensions.Expulsions!$C$33</c:f>
              <c:strCache>
                <c:ptCount val="1"/>
                <c:pt idx="0">
                  <c:v>In School Suspension Greater then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Suspensions.Expulsions!$A$34:$A$36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Suspensions.Expulsions!$C$34:$C$36</c:f>
              <c:numCache>
                <c:formatCode>General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0-43C8-884E-70713F788E23}"/>
            </c:ext>
          </c:extLst>
        </c:ser>
        <c:ser>
          <c:idx val="2"/>
          <c:order val="2"/>
          <c:tx>
            <c:strRef>
              <c:f>Suspensions.Expulsions!$D$33</c:f>
              <c:strCache>
                <c:ptCount val="1"/>
                <c:pt idx="0">
                  <c:v>Out of School Suspension Less Than or Equal to 10 days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Suspensions.Expulsions!$A$34:$A$36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Suspensions.Expulsions!$D$34:$D$36</c:f>
              <c:numCache>
                <c:formatCode>General</c:formatCode>
                <c:ptCount val="3"/>
                <c:pt idx="0">
                  <c:v>518</c:v>
                </c:pt>
                <c:pt idx="1">
                  <c:v>2184</c:v>
                </c:pt>
                <c:pt idx="2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0-43C8-884E-70713F788E23}"/>
            </c:ext>
          </c:extLst>
        </c:ser>
        <c:ser>
          <c:idx val="3"/>
          <c:order val="3"/>
          <c:tx>
            <c:strRef>
              <c:f>Suspensions.Expulsions!$E$33</c:f>
              <c:strCache>
                <c:ptCount val="1"/>
                <c:pt idx="0">
                  <c:v>Out of School Suspension Greater then 10 Days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Suspensions.Expulsions!$A$34:$A$36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Suspensions.Expulsions!$E$34:$E$36</c:f>
              <c:numCache>
                <c:formatCode>General</c:formatCode>
                <c:ptCount val="3"/>
                <c:pt idx="0">
                  <c:v>15</c:v>
                </c:pt>
                <c:pt idx="1">
                  <c:v>99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0-43C8-884E-70713F788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0368"/>
        <c:axId val="1341228992"/>
      </c:barChart>
      <c:catAx>
        <c:axId val="1341220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8992"/>
        <c:crosses val="autoZero"/>
        <c:auto val="1"/>
        <c:lblAlgn val="ctr"/>
        <c:lblOffset val="100"/>
        <c:noMultiLvlLbl val="0"/>
      </c:catAx>
      <c:valAx>
        <c:axId val="13412289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Length, Discipline Method and English Proficiency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Suspensions.Expulsions!$B$38</c:f>
              <c:strCache>
                <c:ptCount val="1"/>
                <c:pt idx="0">
                  <c:v>In School Suspension Less Than or Equal to 10 days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Suspensions.Expulsions!$A$39:$A$41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Suspensions.Expulsions!$B$39:$B$41</c:f>
              <c:numCache>
                <c:formatCode>General</c:formatCode>
                <c:ptCount val="3"/>
                <c:pt idx="0">
                  <c:v>173</c:v>
                </c:pt>
                <c:pt idx="1">
                  <c:v>1179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6-435C-A00A-F169C4E3C60F}"/>
            </c:ext>
          </c:extLst>
        </c:ser>
        <c:ser>
          <c:idx val="1"/>
          <c:order val="1"/>
          <c:tx>
            <c:strRef>
              <c:f>Suspensions.Expulsions!$C$38</c:f>
              <c:strCache>
                <c:ptCount val="1"/>
                <c:pt idx="0">
                  <c:v>In School Suspension Greater then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Suspensions.Expulsions!$A$39:$A$41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Suspensions.Expulsions!$C$39:$C$41</c:f>
              <c:numCache>
                <c:formatCode>General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6-435C-A00A-F169C4E3C60F}"/>
            </c:ext>
          </c:extLst>
        </c:ser>
        <c:ser>
          <c:idx val="2"/>
          <c:order val="2"/>
          <c:tx>
            <c:strRef>
              <c:f>Suspensions.Expulsions!$D$38</c:f>
              <c:strCache>
                <c:ptCount val="1"/>
                <c:pt idx="0">
                  <c:v>Out of School Suspension Less Than or Equal to 10 days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Suspensions.Expulsions!$A$39:$A$41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Suspensions.Expulsions!$D$39:$D$41</c:f>
              <c:numCache>
                <c:formatCode>General</c:formatCode>
                <c:ptCount val="3"/>
                <c:pt idx="0">
                  <c:v>341</c:v>
                </c:pt>
                <c:pt idx="1">
                  <c:v>2361</c:v>
                </c:pt>
                <c:pt idx="2">
                  <c:v>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6-435C-A00A-F169C4E3C60F}"/>
            </c:ext>
          </c:extLst>
        </c:ser>
        <c:ser>
          <c:idx val="3"/>
          <c:order val="3"/>
          <c:tx>
            <c:strRef>
              <c:f>Suspensions.Expulsions!$E$38</c:f>
              <c:strCache>
                <c:ptCount val="1"/>
                <c:pt idx="0">
                  <c:v>Out of School Suspension Greater then 10 Days Count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Suspensions.Expulsions!$A$39:$A$41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 Suspensions/Expulsions by length</c:v>
                </c:pt>
              </c:strCache>
            </c:strRef>
          </c:cat>
          <c:val>
            <c:numRef>
              <c:f>Suspensions.Expulsions!$E$39:$E$41</c:f>
              <c:numCache>
                <c:formatCode>General</c:formatCode>
                <c:ptCount val="3"/>
                <c:pt idx="0">
                  <c:v>10</c:v>
                </c:pt>
                <c:pt idx="1">
                  <c:v>104</c:v>
                </c:pt>
                <c:pt idx="2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6-435C-A00A-F169C4E3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3896"/>
        <c:axId val="1341219192"/>
      </c:barChart>
      <c:catAx>
        <c:axId val="13412238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19192"/>
        <c:crosses val="autoZero"/>
        <c:auto val="1"/>
        <c:lblAlgn val="ctr"/>
        <c:lblOffset val="100"/>
        <c:noMultiLvlLbl val="0"/>
      </c:catAx>
      <c:valAx>
        <c:axId val="1341219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 and Disability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'Student Removal Length'!$B$4</c:f>
              <c:strCache>
                <c:ptCount val="1"/>
                <c:pt idx="0">
                  <c:v>One Day or Less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 Removal Length'!$A$5:$A$18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 Removed</c:v>
                </c:pt>
              </c:strCache>
            </c:strRef>
          </c:cat>
          <c:val>
            <c:numRef>
              <c:f>'Student Removal Length'!$B$5:$B$18</c:f>
              <c:numCache>
                <c:formatCode>General</c:formatCode>
                <c:ptCount val="14"/>
                <c:pt idx="0">
                  <c:v>111</c:v>
                </c:pt>
                <c:pt idx="1">
                  <c:v>0</c:v>
                </c:pt>
                <c:pt idx="2">
                  <c:v>57</c:v>
                </c:pt>
                <c:pt idx="3">
                  <c:v>239</c:v>
                </c:pt>
                <c:pt idx="4">
                  <c:v>7</c:v>
                </c:pt>
                <c:pt idx="5">
                  <c:v>26</c:v>
                </c:pt>
                <c:pt idx="6">
                  <c:v>23</c:v>
                </c:pt>
                <c:pt idx="7">
                  <c:v>299</c:v>
                </c:pt>
                <c:pt idx="8">
                  <c:v>1</c:v>
                </c:pt>
                <c:pt idx="9">
                  <c:v>522</c:v>
                </c:pt>
                <c:pt idx="10">
                  <c:v>52</c:v>
                </c:pt>
                <c:pt idx="11">
                  <c:v>3</c:v>
                </c:pt>
                <c:pt idx="12">
                  <c:v>1</c:v>
                </c:pt>
                <c:pt idx="13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6-4574-B818-F7F5F201050A}"/>
            </c:ext>
          </c:extLst>
        </c:ser>
        <c:ser>
          <c:idx val="1"/>
          <c:order val="1"/>
          <c:tx>
            <c:strRef>
              <c:f>'Student Removal Length'!$C$4</c:f>
              <c:strCache>
                <c:ptCount val="1"/>
                <c:pt idx="0">
                  <c:v>2 to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'Student Removal Length'!$A$5:$A$18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 Removed</c:v>
                </c:pt>
              </c:strCache>
            </c:strRef>
          </c:cat>
          <c:val>
            <c:numRef>
              <c:f>'Student Removal Length'!$C$5:$C$18</c:f>
              <c:numCache>
                <c:formatCode>General</c:formatCode>
                <c:ptCount val="14"/>
                <c:pt idx="0">
                  <c:v>146</c:v>
                </c:pt>
                <c:pt idx="1">
                  <c:v>0</c:v>
                </c:pt>
                <c:pt idx="2">
                  <c:v>62</c:v>
                </c:pt>
                <c:pt idx="3">
                  <c:v>487</c:v>
                </c:pt>
                <c:pt idx="4">
                  <c:v>15</c:v>
                </c:pt>
                <c:pt idx="5">
                  <c:v>33</c:v>
                </c:pt>
                <c:pt idx="6">
                  <c:v>24</c:v>
                </c:pt>
                <c:pt idx="7">
                  <c:v>489</c:v>
                </c:pt>
                <c:pt idx="8">
                  <c:v>3</c:v>
                </c:pt>
                <c:pt idx="9">
                  <c:v>865</c:v>
                </c:pt>
                <c:pt idx="10">
                  <c:v>76</c:v>
                </c:pt>
                <c:pt idx="11">
                  <c:v>12</c:v>
                </c:pt>
                <c:pt idx="12">
                  <c:v>2</c:v>
                </c:pt>
                <c:pt idx="13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6-4574-B818-F7F5F201050A}"/>
            </c:ext>
          </c:extLst>
        </c:ser>
        <c:ser>
          <c:idx val="2"/>
          <c:order val="2"/>
          <c:tx>
            <c:strRef>
              <c:f>'Student Removal Length'!$D$4</c:f>
              <c:strCache>
                <c:ptCount val="1"/>
                <c:pt idx="0">
                  <c:v>10 Days or Greater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'Student Removal Length'!$A$5:$A$18</c:f>
              <c:strCache>
                <c:ptCount val="14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  <c:pt idx="13">
                  <c:v>Total Students Removed</c:v>
                </c:pt>
              </c:strCache>
            </c:strRef>
          </c:cat>
          <c:val>
            <c:numRef>
              <c:f>'Student Removal Length'!$D$5:$D$18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45</c:v>
                </c:pt>
                <c:pt idx="4">
                  <c:v>0</c:v>
                </c:pt>
                <c:pt idx="5">
                  <c:v>4</c:v>
                </c:pt>
                <c:pt idx="6">
                  <c:v>4</c:v>
                </c:pt>
                <c:pt idx="7">
                  <c:v>31</c:v>
                </c:pt>
                <c:pt idx="8">
                  <c:v>0</c:v>
                </c:pt>
                <c:pt idx="9">
                  <c:v>54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6-4574-B818-F7F5F201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6640"/>
        <c:axId val="1341224288"/>
      </c:barChart>
      <c:catAx>
        <c:axId val="1341226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4288"/>
        <c:crosses val="autoZero"/>
        <c:auto val="1"/>
        <c:lblAlgn val="ctr"/>
        <c:lblOffset val="100"/>
        <c:noMultiLvlLbl val="0"/>
      </c:catAx>
      <c:valAx>
        <c:axId val="1341224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 and Racial/Ethnic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'Student Removal Length'!$B$20</c:f>
              <c:strCache>
                <c:ptCount val="1"/>
                <c:pt idx="0">
                  <c:v>One Day or Less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 Removal Length'!$A$21:$A$34</c:f>
              <c:strCache>
                <c:ptCount val="13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Students Removed</c:v>
                </c:pt>
                <c:pt idx="9">
                  <c:v>Table 7. Removal Length and Sex Category</c:v>
                </c:pt>
                <c:pt idx="10">
                  <c:v>Female</c:v>
                </c:pt>
                <c:pt idx="11">
                  <c:v>Male</c:v>
                </c:pt>
                <c:pt idx="12">
                  <c:v>Total Students Removed</c:v>
                </c:pt>
              </c:strCache>
            </c:strRef>
          </c:cat>
          <c:val>
            <c:numRef>
              <c:f>'Student Removal Length'!$B$21:$B$34</c:f>
              <c:numCache>
                <c:formatCode>General</c:formatCode>
                <c:ptCount val="14"/>
                <c:pt idx="0">
                  <c:v>9</c:v>
                </c:pt>
                <c:pt idx="1">
                  <c:v>7</c:v>
                </c:pt>
                <c:pt idx="2">
                  <c:v>81</c:v>
                </c:pt>
                <c:pt idx="3">
                  <c:v>491</c:v>
                </c:pt>
                <c:pt idx="4">
                  <c:v>60</c:v>
                </c:pt>
                <c:pt idx="5">
                  <c:v>2</c:v>
                </c:pt>
                <c:pt idx="6">
                  <c:v>691</c:v>
                </c:pt>
                <c:pt idx="7">
                  <c:v>1341</c:v>
                </c:pt>
                <c:pt idx="9">
                  <c:v>0</c:v>
                </c:pt>
                <c:pt idx="10">
                  <c:v>247</c:v>
                </c:pt>
                <c:pt idx="11">
                  <c:v>1094</c:v>
                </c:pt>
                <c:pt idx="12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2-4AEB-9B57-8EEE966508E6}"/>
            </c:ext>
          </c:extLst>
        </c:ser>
        <c:ser>
          <c:idx val="1"/>
          <c:order val="1"/>
          <c:tx>
            <c:strRef>
              <c:f>'Student Removal Length'!$C$20</c:f>
              <c:strCache>
                <c:ptCount val="1"/>
                <c:pt idx="0">
                  <c:v>2 to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'Student Removal Length'!$A$21:$A$34</c:f>
              <c:strCache>
                <c:ptCount val="13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Students Removed</c:v>
                </c:pt>
                <c:pt idx="9">
                  <c:v>Table 7. Removal Length and Sex Category</c:v>
                </c:pt>
                <c:pt idx="10">
                  <c:v>Female</c:v>
                </c:pt>
                <c:pt idx="11">
                  <c:v>Male</c:v>
                </c:pt>
                <c:pt idx="12">
                  <c:v>Total Students Removed</c:v>
                </c:pt>
              </c:strCache>
            </c:strRef>
          </c:cat>
          <c:val>
            <c:numRef>
              <c:f>'Student Removal Length'!$C$21:$C$34</c:f>
              <c:numCache>
                <c:formatCode>General</c:formatCode>
                <c:ptCount val="14"/>
                <c:pt idx="0">
                  <c:v>17</c:v>
                </c:pt>
                <c:pt idx="1">
                  <c:v>7</c:v>
                </c:pt>
                <c:pt idx="2">
                  <c:v>121</c:v>
                </c:pt>
                <c:pt idx="3">
                  <c:v>861</c:v>
                </c:pt>
                <c:pt idx="4">
                  <c:v>109</c:v>
                </c:pt>
                <c:pt idx="5">
                  <c:v>3</c:v>
                </c:pt>
                <c:pt idx="6">
                  <c:v>1096</c:v>
                </c:pt>
                <c:pt idx="7">
                  <c:v>2214</c:v>
                </c:pt>
                <c:pt idx="9">
                  <c:v>0</c:v>
                </c:pt>
                <c:pt idx="10">
                  <c:v>436</c:v>
                </c:pt>
                <c:pt idx="11">
                  <c:v>1778</c:v>
                </c:pt>
                <c:pt idx="12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2-4AEB-9B57-8EEE966508E6}"/>
            </c:ext>
          </c:extLst>
        </c:ser>
        <c:ser>
          <c:idx val="2"/>
          <c:order val="2"/>
          <c:tx>
            <c:strRef>
              <c:f>'Student Removal Length'!$D$20</c:f>
              <c:strCache>
                <c:ptCount val="1"/>
                <c:pt idx="0">
                  <c:v>10 Days or Greater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'Student Removal Length'!$A$21:$A$34</c:f>
              <c:strCache>
                <c:ptCount val="13"/>
                <c:pt idx="0">
                  <c:v>American Indian or Alaska Native Count </c:v>
                </c:pt>
                <c:pt idx="1">
                  <c:v>Asian Count </c:v>
                </c:pt>
                <c:pt idx="2">
                  <c:v>Black or African American Count  </c:v>
                </c:pt>
                <c:pt idx="3">
                  <c:v>Hispanic/ Latino Count</c:v>
                </c:pt>
                <c:pt idx="4">
                  <c:v>Two or more races Count</c:v>
                </c:pt>
                <c:pt idx="5">
                  <c:v>Native Hawaiian or Other Pacific Islander Count</c:v>
                </c:pt>
                <c:pt idx="6">
                  <c:v>White Count </c:v>
                </c:pt>
                <c:pt idx="7">
                  <c:v>Total Students Removed</c:v>
                </c:pt>
                <c:pt idx="9">
                  <c:v>Table 7. Removal Length and Sex Category</c:v>
                </c:pt>
                <c:pt idx="10">
                  <c:v>Female</c:v>
                </c:pt>
                <c:pt idx="11">
                  <c:v>Male</c:v>
                </c:pt>
                <c:pt idx="12">
                  <c:v>Total Students Removed</c:v>
                </c:pt>
              </c:strCache>
            </c:strRef>
          </c:cat>
          <c:val>
            <c:numRef>
              <c:f>'Student Removal Length'!$D$21:$D$34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53</c:v>
                </c:pt>
                <c:pt idx="4">
                  <c:v>4</c:v>
                </c:pt>
                <c:pt idx="5">
                  <c:v>0</c:v>
                </c:pt>
                <c:pt idx="6">
                  <c:v>78</c:v>
                </c:pt>
                <c:pt idx="7">
                  <c:v>148</c:v>
                </c:pt>
                <c:pt idx="9">
                  <c:v>0</c:v>
                </c:pt>
                <c:pt idx="10">
                  <c:v>20</c:v>
                </c:pt>
                <c:pt idx="11">
                  <c:v>128</c:v>
                </c:pt>
                <c:pt idx="1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F2-4AEB-9B57-8EEE9665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1936"/>
        <c:axId val="1341218800"/>
      </c:barChart>
      <c:catAx>
        <c:axId val="1341221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18800"/>
        <c:crosses val="autoZero"/>
        <c:auto val="1"/>
        <c:lblAlgn val="ctr"/>
        <c:lblOffset val="100"/>
        <c:noMultiLvlLbl val="0"/>
      </c:catAx>
      <c:valAx>
        <c:axId val="1341218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 and Sex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'Student Removal Length'!$B$30</c:f>
              <c:strCache>
                <c:ptCount val="1"/>
                <c:pt idx="0">
                  <c:v>One Day or Less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 Removal Length'!$A$31:$A$33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Length'!$B$31:$B$33</c:f>
              <c:numCache>
                <c:formatCode>General</c:formatCode>
                <c:ptCount val="3"/>
                <c:pt idx="0">
                  <c:v>247</c:v>
                </c:pt>
                <c:pt idx="1">
                  <c:v>1094</c:v>
                </c:pt>
                <c:pt idx="2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4-494E-85CF-1F5A51DA087D}"/>
            </c:ext>
          </c:extLst>
        </c:ser>
        <c:ser>
          <c:idx val="1"/>
          <c:order val="1"/>
          <c:tx>
            <c:strRef>
              <c:f>'Student Removal Length'!$C$30</c:f>
              <c:strCache>
                <c:ptCount val="1"/>
                <c:pt idx="0">
                  <c:v>2 to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'Student Removal Length'!$A$31:$A$33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Length'!$C$31:$C$33</c:f>
              <c:numCache>
                <c:formatCode>General</c:formatCode>
                <c:ptCount val="3"/>
                <c:pt idx="0">
                  <c:v>436</c:v>
                </c:pt>
                <c:pt idx="1">
                  <c:v>1778</c:v>
                </c:pt>
                <c:pt idx="2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C4-494E-85CF-1F5A51DA087D}"/>
            </c:ext>
          </c:extLst>
        </c:ser>
        <c:ser>
          <c:idx val="2"/>
          <c:order val="2"/>
          <c:tx>
            <c:strRef>
              <c:f>'Student Removal Length'!$D$30</c:f>
              <c:strCache>
                <c:ptCount val="1"/>
                <c:pt idx="0">
                  <c:v>10 Days or Greater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'Student Removal Length'!$A$31:$A$33</c:f>
              <c:strCache>
                <c:ptCount val="3"/>
                <c:pt idx="0">
                  <c:v>Female</c:v>
                </c:pt>
                <c:pt idx="1">
                  <c:v>Male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Length'!$D$31:$D$33</c:f>
              <c:numCache>
                <c:formatCode>General</c:formatCode>
                <c:ptCount val="3"/>
                <c:pt idx="0">
                  <c:v>20</c:v>
                </c:pt>
                <c:pt idx="1">
                  <c:v>128</c:v>
                </c:pt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C4-494E-85CF-1F5A51DA0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2720"/>
        <c:axId val="1341229384"/>
      </c:barChart>
      <c:catAx>
        <c:axId val="1341222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9384"/>
        <c:crosses val="autoZero"/>
        <c:auto val="1"/>
        <c:lblAlgn val="ctr"/>
        <c:lblOffset val="100"/>
        <c:noMultiLvlLbl val="0"/>
      </c:catAx>
      <c:valAx>
        <c:axId val="1341229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Removal Length and English Proficiency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'Student Removal Length'!$B$35</c:f>
              <c:strCache>
                <c:ptCount val="1"/>
                <c:pt idx="0">
                  <c:v>One Day or Less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'Student Removal Length'!$A$36:$A$38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Length'!$B$36:$B$38</c:f>
              <c:numCache>
                <c:formatCode>General</c:formatCode>
                <c:ptCount val="3"/>
                <c:pt idx="0">
                  <c:v>176</c:v>
                </c:pt>
                <c:pt idx="1">
                  <c:v>1165</c:v>
                </c:pt>
                <c:pt idx="2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7-4F4F-93A9-35DC38D191BA}"/>
            </c:ext>
          </c:extLst>
        </c:ser>
        <c:ser>
          <c:idx val="1"/>
          <c:order val="1"/>
          <c:tx>
            <c:strRef>
              <c:f>'Student Removal Length'!$C$35</c:f>
              <c:strCache>
                <c:ptCount val="1"/>
                <c:pt idx="0">
                  <c:v>2 to 10 Days Count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'Student Removal Length'!$A$36:$A$38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Length'!$C$36:$C$38</c:f>
              <c:numCache>
                <c:formatCode>General</c:formatCode>
                <c:ptCount val="3"/>
                <c:pt idx="0">
                  <c:v>281</c:v>
                </c:pt>
                <c:pt idx="1">
                  <c:v>1933</c:v>
                </c:pt>
                <c:pt idx="2">
                  <c:v>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7-4F4F-93A9-35DC38D191BA}"/>
            </c:ext>
          </c:extLst>
        </c:ser>
        <c:ser>
          <c:idx val="2"/>
          <c:order val="2"/>
          <c:tx>
            <c:strRef>
              <c:f>'Student Removal Length'!$D$35</c:f>
              <c:strCache>
                <c:ptCount val="1"/>
                <c:pt idx="0">
                  <c:v>10 Days or Greater 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'Student Removal Length'!$A$36:$A$38</c:f>
              <c:strCache>
                <c:ptCount val="3"/>
                <c:pt idx="0">
                  <c:v>Limited English Proficient</c:v>
                </c:pt>
                <c:pt idx="1">
                  <c:v>Not Limited English Proficient</c:v>
                </c:pt>
                <c:pt idx="2">
                  <c:v>Total Students Removed</c:v>
                </c:pt>
              </c:strCache>
            </c:strRef>
          </c:cat>
          <c:val>
            <c:numRef>
              <c:f>'Student Removal Length'!$D$36:$D$38</c:f>
              <c:numCache>
                <c:formatCode>General</c:formatCode>
                <c:ptCount val="3"/>
                <c:pt idx="0">
                  <c:v>15</c:v>
                </c:pt>
                <c:pt idx="1">
                  <c:v>133</c:v>
                </c:pt>
                <c:pt idx="2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7-4F4F-93A9-35DC38D19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1223504"/>
        <c:axId val="1341224680"/>
      </c:barChart>
      <c:catAx>
        <c:axId val="1341223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4680"/>
        <c:crosses val="autoZero"/>
        <c:auto val="1"/>
        <c:lblAlgn val="ctr"/>
        <c:lblOffset val="100"/>
        <c:noMultiLvlLbl val="0"/>
      </c:catAx>
      <c:valAx>
        <c:axId val="1341224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2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of Removals by Disability</a:t>
            </a:r>
          </a:p>
        </c:rich>
      </c:tx>
      <c:layout>
        <c:manualLayout>
          <c:xMode val="edge"/>
          <c:yMode val="edge"/>
          <c:x val="2.5838073233364543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210645739108048"/>
          <c:y val="0.26405206465528441"/>
          <c:w val="0.39060005279888643"/>
          <c:h val="0.58154933603596581"/>
        </c:manualLayout>
      </c:layout>
      <c:pieChart>
        <c:varyColors val="1"/>
        <c:ser>
          <c:idx val="0"/>
          <c:order val="0"/>
          <c:tx>
            <c:strRef>
              <c:f>'Number of removals'!$B$4</c:f>
              <c:strCache>
                <c:ptCount val="1"/>
                <c:pt idx="0">
                  <c:v>Count of Removals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11-4D25-B8D6-46C2449C21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11-4D25-B8D6-46C2449C21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11-4D25-B8D6-46C2449C21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11-4D25-B8D6-46C2449C21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11-4D25-B8D6-46C2449C21B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611-4D25-B8D6-46C2449C21B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611-4D25-B8D6-46C2449C21B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611-4D25-B8D6-46C2449C21B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D611-4D25-B8D6-46C2449C21B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D611-4D25-B8D6-46C2449C21B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D611-4D25-B8D6-46C2449C21B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D611-4D25-B8D6-46C2449C21B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611-4D25-B8D6-46C2449C21BC}"/>
              </c:ext>
            </c:extLst>
          </c:dPt>
          <c:dLbls>
            <c:dLbl>
              <c:idx val="0"/>
              <c:layout>
                <c:manualLayout>
                  <c:x val="0.30322152582751433"/>
                  <c:y val="-0.14655450120017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11-4D25-B8D6-46C2449C21BC}"/>
                </c:ext>
              </c:extLst>
            </c:dLbl>
            <c:dLbl>
              <c:idx val="1"/>
              <c:layout>
                <c:manualLayout>
                  <c:x val="0.22270585499225087"/>
                  <c:y val="-7.62177804697489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11-4D25-B8D6-46C2449C21BC}"/>
                </c:ext>
              </c:extLst>
            </c:dLbl>
            <c:dLbl>
              <c:idx val="2"/>
              <c:layout>
                <c:manualLayout>
                  <c:x val="0.16070933776669427"/>
                  <c:y val="4.95049504950494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11-4D25-B8D6-46C2449C21BC}"/>
                </c:ext>
              </c:extLst>
            </c:dLbl>
            <c:dLbl>
              <c:idx val="3"/>
              <c:layout>
                <c:manualLayout>
                  <c:x val="4.9640109208239349E-3"/>
                  <c:y val="-5.6980056980056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11-4D25-B8D6-46C2449C21BC}"/>
                </c:ext>
              </c:extLst>
            </c:dLbl>
            <c:dLbl>
              <c:idx val="4"/>
              <c:layout>
                <c:manualLayout>
                  <c:x val="8.5896370185646997E-2"/>
                  <c:y val="-0.16089108910891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11-4D25-B8D6-46C2449C21BC}"/>
                </c:ext>
              </c:extLst>
            </c:dLbl>
            <c:dLbl>
              <c:idx val="5"/>
              <c:layout>
                <c:manualLayout>
                  <c:x val="0.13854253255749516"/>
                  <c:y val="2.88778877887788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11-4D25-B8D6-46C2449C21BC}"/>
                </c:ext>
              </c:extLst>
            </c:dLbl>
            <c:dLbl>
              <c:idx val="6"/>
              <c:layout>
                <c:manualLayout>
                  <c:x val="-1.9395954558049423E-2"/>
                  <c:y val="1.65016501650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11-4D25-B8D6-46C2449C21BC}"/>
                </c:ext>
              </c:extLst>
            </c:dLbl>
            <c:dLbl>
              <c:idx val="7"/>
              <c:layout>
                <c:manualLayout>
                  <c:x val="-7.4812858492439016E-2"/>
                  <c:y val="2.88778877887788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662222396763993"/>
                      <c:h val="0.114810231023102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611-4D25-B8D6-46C2449C21BC}"/>
                </c:ext>
              </c:extLst>
            </c:dLbl>
            <c:dLbl>
              <c:idx val="8"/>
              <c:layout>
                <c:manualLayout>
                  <c:x val="-6.9271266278747606E-2"/>
                  <c:y val="-2.47524752475247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11-4D25-B8D6-46C2449C21BC}"/>
                </c:ext>
              </c:extLst>
            </c:dLbl>
            <c:dLbl>
              <c:idx val="9"/>
              <c:layout>
                <c:manualLayout>
                  <c:x val="-7.4812967581047413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611-4D25-B8D6-46C2449C21BC}"/>
                </c:ext>
              </c:extLst>
            </c:dLbl>
            <c:dLbl>
              <c:idx val="10"/>
              <c:layout>
                <c:manualLayout>
                  <c:x val="-0.26045996120809095"/>
                  <c:y val="6.1881188118811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611-4D25-B8D6-46C2449C21BC}"/>
                </c:ext>
              </c:extLst>
            </c:dLbl>
            <c:dLbl>
              <c:idx val="11"/>
              <c:layout>
                <c:manualLayout>
                  <c:x val="-0.1330008312551953"/>
                  <c:y val="-1.23762376237623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611-4D25-B8D6-46C2449C21BC}"/>
                </c:ext>
              </c:extLst>
            </c:dLbl>
            <c:dLbl>
              <c:idx val="12"/>
              <c:layout>
                <c:manualLayout>
                  <c:x val="7.8878524398895408E-2"/>
                  <c:y val="-4.352592960006835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38312392633722"/>
                      <c:h val="0.231908831908831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D611-4D25-B8D6-46C2449C21B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'Number of removals'!$A$5:$A$17</c:f>
              <c:strCache>
                <c:ptCount val="13"/>
                <c:pt idx="0">
                  <c:v>Autism</c:v>
                </c:pt>
                <c:pt idx="1">
                  <c:v>Deaf-Blind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Multiple Disabilities</c:v>
                </c:pt>
                <c:pt idx="6">
                  <c:v>Intellectual Disabilities</c:v>
                </c:pt>
                <c:pt idx="7">
                  <c:v>Other Health Impairment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'Number of removals'!$B$5:$B$17</c:f>
              <c:numCache>
                <c:formatCode>General</c:formatCode>
                <c:ptCount val="13"/>
                <c:pt idx="0">
                  <c:v>416</c:v>
                </c:pt>
                <c:pt idx="1">
                  <c:v>0</c:v>
                </c:pt>
                <c:pt idx="2">
                  <c:v>272</c:v>
                </c:pt>
                <c:pt idx="3">
                  <c:v>1508</c:v>
                </c:pt>
                <c:pt idx="4">
                  <c:v>32</c:v>
                </c:pt>
                <c:pt idx="5">
                  <c:v>91</c:v>
                </c:pt>
                <c:pt idx="6">
                  <c:v>86</c:v>
                </c:pt>
                <c:pt idx="7">
                  <c:v>1420</c:v>
                </c:pt>
                <c:pt idx="8">
                  <c:v>8</c:v>
                </c:pt>
                <c:pt idx="9">
                  <c:v>2225</c:v>
                </c:pt>
                <c:pt idx="10">
                  <c:v>211</c:v>
                </c:pt>
                <c:pt idx="11">
                  <c:v>31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611-4D25-B8D6-46C2449C21B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image" Target="../media/image4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image" Target="../media/image3.png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image" Target="../media/image6.png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6</xdr:row>
      <xdr:rowOff>38100</xdr:rowOff>
    </xdr:from>
    <xdr:to>
      <xdr:col>21</xdr:col>
      <xdr:colOff>102870</xdr:colOff>
      <xdr:row>20</xdr:row>
      <xdr:rowOff>186690</xdr:rowOff>
    </xdr:to>
    <xdr:graphicFrame macro="">
      <xdr:nvGraphicFramePr>
        <xdr:cNvPr id="3" name="Chart 2" descr="Removal Length, Discipline Method and Disability Category&#10;&#10;Horizontal bar graph giving a visual representation of the data in &quot;Table 1. Removal Length, Discipline Method and Disability Category&quot;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371474</xdr:colOff>
      <xdr:row>22</xdr:row>
      <xdr:rowOff>0</xdr:rowOff>
    </xdr:from>
    <xdr:to>
      <xdr:col>21</xdr:col>
      <xdr:colOff>95249</xdr:colOff>
      <xdr:row>31</xdr:row>
      <xdr:rowOff>19050</xdr:rowOff>
    </xdr:to>
    <xdr:graphicFrame macro="">
      <xdr:nvGraphicFramePr>
        <xdr:cNvPr id="4" name="Chart 3" descr="Removal Length, Discipline Method and Racial/Ethnic Category&#10;&#10;Horizontal bar graph giving a visual representation of the data in &quot;Table 2. Removal Length, Discipline Method and Racial/Ethnic Category&quot;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361949</xdr:colOff>
      <xdr:row>32</xdr:row>
      <xdr:rowOff>1</xdr:rowOff>
    </xdr:from>
    <xdr:to>
      <xdr:col>21</xdr:col>
      <xdr:colOff>47624</xdr:colOff>
      <xdr:row>35</xdr:row>
      <xdr:rowOff>600076</xdr:rowOff>
    </xdr:to>
    <xdr:graphicFrame macro="">
      <xdr:nvGraphicFramePr>
        <xdr:cNvPr id="5" name="Chart 4" descr="Removal Length, Discipline Method and Sex Category&#10;&#10;Horizontal bar graph giving a visual representation of the data in &quot;Table 3. Removal Length, Discipline Method and Sex Category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304799</xdr:colOff>
      <xdr:row>36</xdr:row>
      <xdr:rowOff>171449</xdr:rowOff>
    </xdr:from>
    <xdr:to>
      <xdr:col>20</xdr:col>
      <xdr:colOff>542925</xdr:colOff>
      <xdr:row>40</xdr:row>
      <xdr:rowOff>581024</xdr:rowOff>
    </xdr:to>
    <xdr:graphicFrame macro="">
      <xdr:nvGraphicFramePr>
        <xdr:cNvPr id="7" name="Chart 6" descr="Removal Length, Discipline Method and English Proficiency &#10;&#10;Horizontal bar graph giving a visual representation of the data in &quot;Table 4. Removal Length, Discipline Method and English Proficiency&quot;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133350</xdr:rowOff>
    </xdr:from>
    <xdr:to>
      <xdr:col>3</xdr:col>
      <xdr:colOff>273843</xdr:colOff>
      <xdr:row>0</xdr:row>
      <xdr:rowOff>998734</xdr:rowOff>
    </xdr:to>
    <xdr:pic>
      <xdr:nvPicPr>
        <xdr:cNvPr id="9" name="Picture 8" descr="CDE Logo&#10;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5574506" cy="8653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468630</xdr:colOff>
      <xdr:row>3</xdr:row>
      <xdr:rowOff>15240</xdr:rowOff>
    </xdr:from>
    <xdr:to>
      <xdr:col>19</xdr:col>
      <xdr:colOff>76200</xdr:colOff>
      <xdr:row>17</xdr:row>
      <xdr:rowOff>121920</xdr:rowOff>
    </xdr:to>
    <xdr:graphicFrame macro="">
      <xdr:nvGraphicFramePr>
        <xdr:cNvPr id="3" name="Chart 2" descr="Removal Length and Disability Category&#10;&#10;Horizontal bar graph giving a visual representation of the data in &quot;Table 5. Removal Length and Disability Category&quot;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472440</xdr:colOff>
      <xdr:row>19</xdr:row>
      <xdr:rowOff>15240</xdr:rowOff>
    </xdr:from>
    <xdr:to>
      <xdr:col>19</xdr:col>
      <xdr:colOff>68580</xdr:colOff>
      <xdr:row>28</xdr:row>
      <xdr:rowOff>15240</xdr:rowOff>
    </xdr:to>
    <xdr:graphicFrame macro="">
      <xdr:nvGraphicFramePr>
        <xdr:cNvPr id="4" name="Chart 3" descr="Removal Length and Racial/Ethnic Category&#10;&#10;Horizontal bar graph giving a visual representation of the data in &quot;Table 6. Removal Length and Racial/Ethnic Category&quot;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472440</xdr:colOff>
      <xdr:row>29</xdr:row>
      <xdr:rowOff>45720</xdr:rowOff>
    </xdr:from>
    <xdr:to>
      <xdr:col>19</xdr:col>
      <xdr:colOff>30480</xdr:colOff>
      <xdr:row>32</xdr:row>
      <xdr:rowOff>502920</xdr:rowOff>
    </xdr:to>
    <xdr:graphicFrame macro="">
      <xdr:nvGraphicFramePr>
        <xdr:cNvPr id="5" name="Chart 4" descr="Removal Length and Sex Category&#10;&#10;Horizontal bar graph giving a visual representation of the data in &quot;Table 7. Removal Length and Sex Category&quot;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487680</xdr:colOff>
      <xdr:row>34</xdr:row>
      <xdr:rowOff>15240</xdr:rowOff>
    </xdr:from>
    <xdr:to>
      <xdr:col>19</xdr:col>
      <xdr:colOff>22860</xdr:colOff>
      <xdr:row>37</xdr:row>
      <xdr:rowOff>541020</xdr:rowOff>
    </xdr:to>
    <xdr:graphicFrame macro="">
      <xdr:nvGraphicFramePr>
        <xdr:cNvPr id="6" name="Chart 5" descr="Removal Length and English Proficiency &#10;&#10;Horizontal bar graph giving a visual representation of the data in &quot;Table 8. Removal Length and English Proficiency&quot;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67735</xdr:colOff>
      <xdr:row>0</xdr:row>
      <xdr:rowOff>84666</xdr:rowOff>
    </xdr:from>
    <xdr:to>
      <xdr:col>3</xdr:col>
      <xdr:colOff>433916</xdr:colOff>
      <xdr:row>0</xdr:row>
      <xdr:rowOff>946240</xdr:rowOff>
    </xdr:to>
    <xdr:pic>
      <xdr:nvPicPr>
        <xdr:cNvPr id="9" name="Picture 8" descr="CDE Logo&#10;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5" y="84666"/>
          <a:ext cx="5372098" cy="861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3</xdr:row>
      <xdr:rowOff>7620</xdr:rowOff>
    </xdr:from>
    <xdr:to>
      <xdr:col>13</xdr:col>
      <xdr:colOff>163830</xdr:colOff>
      <xdr:row>17</xdr:row>
      <xdr:rowOff>160020</xdr:rowOff>
    </xdr:to>
    <xdr:graphicFrame macro="">
      <xdr:nvGraphicFramePr>
        <xdr:cNvPr id="3" name="Chart 2" descr="Count of Removals and Disability Category&#10;&#10;Pie graph giving a visual representation of the data in &quot;Table 9. Count of Removals and Disability Category&quot;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472440</xdr:colOff>
      <xdr:row>19</xdr:row>
      <xdr:rowOff>9525</xdr:rowOff>
    </xdr:from>
    <xdr:to>
      <xdr:col>13</xdr:col>
      <xdr:colOff>148590</xdr:colOff>
      <xdr:row>27</xdr:row>
      <xdr:rowOff>180975</xdr:rowOff>
    </xdr:to>
    <xdr:graphicFrame macro="">
      <xdr:nvGraphicFramePr>
        <xdr:cNvPr id="4" name="Chart 3" descr="Count of Removals and Racial/Ethnic Category&#10;&#10;Pie graph giving a visual representation of the data in &quot;Table 10&#10;. Count of Removals and Racial/Ethnic Category&quot;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29</xdr:row>
      <xdr:rowOff>45720</xdr:rowOff>
    </xdr:from>
    <xdr:to>
      <xdr:col>13</xdr:col>
      <xdr:colOff>95250</xdr:colOff>
      <xdr:row>32</xdr:row>
      <xdr:rowOff>617220</xdr:rowOff>
    </xdr:to>
    <xdr:graphicFrame macro="">
      <xdr:nvGraphicFramePr>
        <xdr:cNvPr id="5" name="Chart 4" descr="Count of Removals and Sex Category&#10;&#10;Pie graph giving a visual representation of the data in &quot;Table 11. Count of Removals and Sex Category&quot;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449580</xdr:colOff>
      <xdr:row>34</xdr:row>
      <xdr:rowOff>22860</xdr:rowOff>
    </xdr:from>
    <xdr:to>
      <xdr:col>13</xdr:col>
      <xdr:colOff>125730</xdr:colOff>
      <xdr:row>37</xdr:row>
      <xdr:rowOff>601980</xdr:rowOff>
    </xdr:to>
    <xdr:graphicFrame macro="">
      <xdr:nvGraphicFramePr>
        <xdr:cNvPr id="6" name="Chart 5" descr="Count of Removals and English Proficiency&#10;&#10;Pie graph giving a visual representation of the data in &quot;Table 12. Count of Removals and English Proficiency&quot;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68580</xdr:colOff>
      <xdr:row>0</xdr:row>
      <xdr:rowOff>83820</xdr:rowOff>
    </xdr:from>
    <xdr:to>
      <xdr:col>1</xdr:col>
      <xdr:colOff>1514475</xdr:colOff>
      <xdr:row>0</xdr:row>
      <xdr:rowOff>935869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83820"/>
          <a:ext cx="5293995" cy="852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3</xdr:row>
      <xdr:rowOff>22860</xdr:rowOff>
    </xdr:from>
    <xdr:to>
      <xdr:col>13</xdr:col>
      <xdr:colOff>586740</xdr:colOff>
      <xdr:row>6</xdr:row>
      <xdr:rowOff>708660</xdr:rowOff>
    </xdr:to>
    <xdr:graphicFrame macro="">
      <xdr:nvGraphicFramePr>
        <xdr:cNvPr id="3" name="Chart 2" descr="By Disability Status and Educational Services Received&#10;&#10;Horizontal bar graph giving a visual representation of the data in &quot;Table 13. By Disability Status and Educational Services Received&quot;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30481</xdr:colOff>
      <xdr:row>0</xdr:row>
      <xdr:rowOff>68580</xdr:rowOff>
    </xdr:from>
    <xdr:to>
      <xdr:col>2</xdr:col>
      <xdr:colOff>190501</xdr:colOff>
      <xdr:row>0</xdr:row>
      <xdr:rowOff>932059</xdr:rowOff>
    </xdr:to>
    <xdr:pic>
      <xdr:nvPicPr>
        <xdr:cNvPr id="5" name="Picture 4" descr="CDE Logo&#10;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68580"/>
          <a:ext cx="5398770" cy="863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411693</xdr:colOff>
      <xdr:row>3</xdr:row>
      <xdr:rowOff>14818</xdr:rowOff>
    </xdr:from>
    <xdr:to>
      <xdr:col>17</xdr:col>
      <xdr:colOff>444077</xdr:colOff>
      <xdr:row>18</xdr:row>
      <xdr:rowOff>3387</xdr:rowOff>
    </xdr:to>
    <xdr:graphicFrame macro="">
      <xdr:nvGraphicFramePr>
        <xdr:cNvPr id="3" name="Chart 2" descr="Removal to Interim Alternative Educational Setting and Disability Category&#10;&#10;Horizontal bar graph giving a visual representation of the data in &quot;Table 14. Removal to Interim Alternative Educational Setting and Disability Category&quot;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419100</xdr:colOff>
      <xdr:row>19</xdr:row>
      <xdr:rowOff>28576</xdr:rowOff>
    </xdr:from>
    <xdr:to>
      <xdr:col>17</xdr:col>
      <xdr:colOff>285750</xdr:colOff>
      <xdr:row>27</xdr:row>
      <xdr:rowOff>171451</xdr:rowOff>
    </xdr:to>
    <xdr:graphicFrame macro="">
      <xdr:nvGraphicFramePr>
        <xdr:cNvPr id="4" name="Chart 3" descr="Removal to Interim Alternative Educational Setting and Race Category&#10;&#10;Horizontal bar graph giving a visual representation of the data in &quot;Table 15. Removal to Interim Alternative Educational Setting and Race Category&quot;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29</xdr:row>
      <xdr:rowOff>19050</xdr:rowOff>
    </xdr:from>
    <xdr:to>
      <xdr:col>17</xdr:col>
      <xdr:colOff>319767</xdr:colOff>
      <xdr:row>33</xdr:row>
      <xdr:rowOff>1</xdr:rowOff>
    </xdr:to>
    <xdr:graphicFrame macro="">
      <xdr:nvGraphicFramePr>
        <xdr:cNvPr id="5" name="Chart 4" descr="Removal to Interim Alternative Educational Setting and Sex Category&#10;&#10;Horizontal bar graph giving a visual representation of the data in &quot;Table 16. Removal to Interim Alternative Educational Setting and Sex Category&quot;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445769</xdr:colOff>
      <xdr:row>33</xdr:row>
      <xdr:rowOff>176893</xdr:rowOff>
    </xdr:from>
    <xdr:to>
      <xdr:col>17</xdr:col>
      <xdr:colOff>318406</xdr:colOff>
      <xdr:row>37</xdr:row>
      <xdr:rowOff>390525</xdr:rowOff>
    </xdr:to>
    <xdr:graphicFrame macro="">
      <xdr:nvGraphicFramePr>
        <xdr:cNvPr id="6" name="Chart 5" descr="Removal to Interim Alternative Educational Setting and English Language Proficiency &#10;&#10;Horizontal bar graph giving a visual representation of the data in &quot;Table 17. Removal to Interim Alternative Educational Setting and English Language Proficiency&quot;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254000</xdr:colOff>
      <xdr:row>0</xdr:row>
      <xdr:rowOff>42686</xdr:rowOff>
    </xdr:from>
    <xdr:to>
      <xdr:col>2</xdr:col>
      <xdr:colOff>879324</xdr:colOff>
      <xdr:row>0</xdr:row>
      <xdr:rowOff>855859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2686"/>
          <a:ext cx="4884057" cy="820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</xdr:row>
      <xdr:rowOff>170180</xdr:rowOff>
    </xdr:from>
    <xdr:to>
      <xdr:col>18</xdr:col>
      <xdr:colOff>152400</xdr:colOff>
      <xdr:row>17</xdr:row>
      <xdr:rowOff>170180</xdr:rowOff>
    </xdr:to>
    <xdr:graphicFrame macro="">
      <xdr:nvGraphicFramePr>
        <xdr:cNvPr id="3" name="Chart 2" descr="Unilateral Removal Reason and Disability Category&#10;&#10;Horizontal bar graph giving a visual representation of the data in &quot;Table 18. Unilateral Removal Reason and Disability Category&quot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</xdr:colOff>
      <xdr:row>18</xdr:row>
      <xdr:rowOff>165100</xdr:rowOff>
    </xdr:from>
    <xdr:to>
      <xdr:col>18</xdr:col>
      <xdr:colOff>127000</xdr:colOff>
      <xdr:row>27</xdr:row>
      <xdr:rowOff>330200</xdr:rowOff>
    </xdr:to>
    <xdr:graphicFrame macro="">
      <xdr:nvGraphicFramePr>
        <xdr:cNvPr id="4" name="Chart 3" descr="Unilateral Removal Reason and Racial/Ethnic Category&#10;&#10;Horizontal bar graph giving a visual representation of the data in &quot;Table 19. Unilateral Removal Reason and Racial/Ethnic Category&quot;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33020</xdr:colOff>
      <xdr:row>28</xdr:row>
      <xdr:rowOff>121920</xdr:rowOff>
    </xdr:from>
    <xdr:to>
      <xdr:col>18</xdr:col>
      <xdr:colOff>147320</xdr:colOff>
      <xdr:row>32</xdr:row>
      <xdr:rowOff>551180</xdr:rowOff>
    </xdr:to>
    <xdr:graphicFrame macro="">
      <xdr:nvGraphicFramePr>
        <xdr:cNvPr id="5" name="Chart 4" descr="Unilateral Removal Reason and Sex Category&#10;&#10;Horizontal bar graph giving a visual representation of the data in &quot;Table 20. Unilateral Removal Reason and Sex Category&quot;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33</xdr:row>
      <xdr:rowOff>167640</xdr:rowOff>
    </xdr:from>
    <xdr:to>
      <xdr:col>18</xdr:col>
      <xdr:colOff>121920</xdr:colOff>
      <xdr:row>37</xdr:row>
      <xdr:rowOff>528320</xdr:rowOff>
    </xdr:to>
    <xdr:graphicFrame macro="">
      <xdr:nvGraphicFramePr>
        <xdr:cNvPr id="6" name="Chart 5" descr="Unilateral Removal Reason and English Proficiency &#10;&#10;Horizontal bar graph giving a visual representation of the data in &quot;Table 21. Unilateral Removal Reason and English Proficiency&quot;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123825</xdr:rowOff>
    </xdr:from>
    <xdr:to>
      <xdr:col>2</xdr:col>
      <xdr:colOff>284117</xdr:colOff>
      <xdr:row>0</xdr:row>
      <xdr:rowOff>987304</xdr:rowOff>
    </xdr:to>
    <xdr:pic>
      <xdr:nvPicPr>
        <xdr:cNvPr id="8" name="Picture 7" descr="CDE Logo&#10;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5138057" cy="8634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e1" displayName="Table1" ref="A7:J21" totalsRowShown="0" headerRowDxfId="86">
  <autoFilter ref="A7:J2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Table 1. Removal Length, Discipline Method and Disability Category" dataDxfId="85"/>
    <tableColumn id="2" xr3:uid="{00000000-0010-0000-0000-000002000000}" name="In School Suspension Less Than or Equal to 10 days Count"/>
    <tableColumn id="3" xr3:uid="{00000000-0010-0000-0000-000003000000}" name="In School Suspension Greater then 10 Days Count"/>
    <tableColumn id="4" xr3:uid="{00000000-0010-0000-0000-000004000000}" name="Out of School Suspension Less Than or Equal to 10 days Count" dataDxfId="84"/>
    <tableColumn id="5" xr3:uid="{00000000-0010-0000-0000-000005000000}" name="Out of School Suspension Greater then 10 Days Count"/>
    <tableColumn id="6" xr3:uid="{00000000-0010-0000-0000-000006000000}" name="Total Student Suspensions Expulsions by Type and Length" dataDxfId="83">
      <calculatedColumnFormula>SUM(Table1[[#This Row],[In School Suspension Less Than or Equal to 10 days Count]:[Out of School Suspension Greater then 10 Days Count]])</calculatedColumnFormula>
    </tableColumn>
    <tableColumn id="7" xr3:uid="{00000000-0010-0000-0000-000007000000}" name="In School Suspension Less Than or Equal to 10 days %" dataCellStyle="Percent">
      <calculatedColumnFormula>Table1[[#This Row],[In School Suspension Less Than or Equal to 10 days Count]]/Table1[[#This Row],[Total Student Suspensions Expulsions by Type and Length]]</calculatedColumnFormula>
    </tableColumn>
    <tableColumn id="8" xr3:uid="{00000000-0010-0000-0000-000008000000}" name="In School Suspension Greater then 10 Days %" dataCellStyle="Percent">
      <calculatedColumnFormula>Table1[[#This Row],[In School Suspension Greater then 10 Days Count]]/Table1[[#This Row],[Total Student Suspensions Expulsions by Type and Length]]</calculatedColumnFormula>
    </tableColumn>
    <tableColumn id="9" xr3:uid="{00000000-0010-0000-0000-000009000000}" name="Out of School Suspension Less Than or Equal to 10 days %" dataDxfId="82" dataCellStyle="Percent">
      <calculatedColumnFormula>Table1[[#This Row],[Out of School Suspension Less Than or Equal to 10 days Count]]/Table1[[#This Row],[Total Student Suspensions Expulsions by Type and Length]]</calculatedColumnFormula>
    </tableColumn>
    <tableColumn id="10" xr3:uid="{00000000-0010-0000-0000-00000A000000}" name="Out of School Suspension Greater then 10 Days %" dataCellStyle="Percent">
      <calculatedColumnFormula>Table1[[#This Row],[Out of School Suspension Greater then 10 Days Count]]/Table1[[#This Row],[Total Student Suspensions Expulsions by Type and Length]]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. Removal Length, Discipline Method and Disability Category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e10" displayName="Table10" ref="A20:E28" totalsRowShown="0" headerRowDxfId="57" tableBorderDxfId="56">
  <autoFilter ref="A20:E28" xr:uid="{00000000-0009-0000-0100-00001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900-000001000000}" name="Table 10. Count of Removals and Racial/Ethnic Category"/>
    <tableColumn id="2" xr3:uid="{00000000-0010-0000-0900-000002000000}" name="Count of Removals"/>
    <tableColumn id="3" xr3:uid="{00000000-0010-0000-0900-000003000000}" name="% of Total Removals" dataDxfId="55" dataCellStyle="Percent">
      <calculatedColumnFormula>Table10[[#This Row],[Count of Removals]]/$B$28</calculatedColumnFormula>
    </tableColumn>
    <tableColumn id="4" xr3:uid="{00000000-0010-0000-0900-000004000000}" name="Count of Students Removed" dataDxfId="54">
      <calculatedColumnFormula>SUBTOTAL(109,D14:D20)</calculatedColumnFormula>
    </tableColumn>
    <tableColumn id="5" xr3:uid="{00000000-0010-0000-0900-000005000000}" name="Average Removals per Student" dataDxfId="53">
      <calculatedColumnFormula>Table10[[#This Row],[Count of Removals]]/Table10[[#This Row],[Count of Students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0. Count of Removals and Racial/Ethnic Category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A000000}" name="Table11" displayName="Table11" ref="A30:E33" totalsRowShown="0" headerRowDxfId="52" tableBorderDxfId="51">
  <autoFilter ref="A30:E33" xr:uid="{00000000-0009-0000-0100-00001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A00-000001000000}" name="Table 11. Count of Removals and Sex Category"/>
    <tableColumn id="2" xr3:uid="{00000000-0010-0000-0A00-000002000000}" name="Count of Removals"/>
    <tableColumn id="3" xr3:uid="{00000000-0010-0000-0A00-000003000000}" name="% of Total Removals" dataDxfId="50" dataCellStyle="Percent">
      <calculatedColumnFormula>Table11[[#This Row],[Count of Removals]]/$B$33</calculatedColumnFormula>
    </tableColumn>
    <tableColumn id="4" xr3:uid="{00000000-0010-0000-0A00-000004000000}" name="Count of Students Removed" dataDxfId="49">
      <calculatedColumnFormula>SUBTOTAL(109,D29:D30)</calculatedColumnFormula>
    </tableColumn>
    <tableColumn id="5" xr3:uid="{00000000-0010-0000-0A00-000005000000}" name="Average Removals per Student" dataDxfId="48">
      <calculatedColumnFormula>Table11[[#This Row],[Count of Removals]]/Table11[[#This Row],[Count of Students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1. Count of Removals and Racial/Ethnic Categor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B000000}" name="Table12" displayName="Table12" ref="A35:E38" totalsRowShown="0" headerRowDxfId="47">
  <autoFilter ref="A35:E3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B00-000001000000}" name="Table 12. Count of Removals and English Proficiency "/>
    <tableColumn id="2" xr3:uid="{00000000-0010-0000-0B00-000002000000}" name="Count of Removals"/>
    <tableColumn id="3" xr3:uid="{00000000-0010-0000-0B00-000003000000}" name="% of Total Removals" dataDxfId="46" dataCellStyle="Percent">
      <calculatedColumnFormula>Table12[[#This Row],[Count of Removals]]/$B$38</calculatedColumnFormula>
    </tableColumn>
    <tableColumn id="4" xr3:uid="{00000000-0010-0000-0B00-000004000000}" name="Count of Students Removed"/>
    <tableColumn id="5" xr3:uid="{00000000-0010-0000-0B00-000005000000}" name="Average Removals per Student" dataDxfId="45">
      <calculatedColumnFormula>Table12[[#This Row],[Count of Removals]]/Table12[[#This Row],[Count of Students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2. Count of Removals and English Proficiency 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C000000}" name="Table13" displayName="Table13" ref="A4:F7" totalsRowShown="0">
  <autoFilter ref="A4:F7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C00-000001000000}" name="Table 13. By Disabilty Status and Educational Services Received"/>
    <tableColumn id="2" xr3:uid="{00000000-0010-0000-0C00-000002000000}" name="Services Provided Count"/>
    <tableColumn id="3" xr3:uid="{00000000-0010-0000-0C00-000003000000}" name="Services not Provided Count"/>
    <tableColumn id="4" xr3:uid="{00000000-0010-0000-0C00-000004000000}" name="Total Students" dataDxfId="44">
      <calculatedColumnFormula>SUM(Table13[[#This Row],[Services Provided Count]:[Services not Provided Count]])</calculatedColumnFormula>
    </tableColumn>
    <tableColumn id="5" xr3:uid="{00000000-0010-0000-0C00-000005000000}" name="Services Provided %" dataCellStyle="Percent">
      <calculatedColumnFormula>Table13[[#This Row],[Services Provided Count]]/Table13[[#This Row],[Total Students]]</calculatedColumnFormula>
    </tableColumn>
    <tableColumn id="6" xr3:uid="{00000000-0010-0000-0C00-000006000000}" name="Services not Provided %" dataCellStyle="Percent">
      <calculatedColumnFormula>Table13[[#This Row],[Services not Provided Count]]/Table13[[#This Row],[Total Students]]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3. By Disabilty Status and Educational Services Received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D000000}" name="Table14" displayName="Table14" ref="A4:F18" totalsRowShown="0" headerRowDxfId="43">
  <autoFilter ref="A4:F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D00-000001000000}" name="Table 14. Removal to Interim Alternative Educational Setting and Disability Category"/>
    <tableColumn id="2" xr3:uid="{00000000-0010-0000-0D00-000002000000}" name="Removal by School Personnel Count"/>
    <tableColumn id="3" xr3:uid="{00000000-0010-0000-0D00-000003000000}" name="Removal by Hearing Officer Count"/>
    <tableColumn id="4" xr3:uid="{00000000-0010-0000-0D00-000004000000}" name="Total Removals" dataDxfId="42"/>
    <tableColumn id="5" xr3:uid="{00000000-0010-0000-0D00-000005000000}" name="Removal by School Personnel %" dataDxfId="41" dataCellStyle="Percent">
      <calculatedColumnFormula>Table14[[#This Row],[Removal by School Personnel Count]]/Table14[[#This Row],[Total Removals]]</calculatedColumnFormula>
    </tableColumn>
    <tableColumn id="6" xr3:uid="{00000000-0010-0000-0D00-000006000000}" name="Removal by Hearing Officer %" dataDxfId="40" dataCellStyle="Percent">
      <calculatedColumnFormula>Table14[[#This Row],[Removal by Hearing Officer Count]]/Table14[[#This Row],[Total Removals]]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4. Removal to Interim Alternative Educational Setting and Disability Category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15" displayName="Table15" ref="A20:F28" totalsRowShown="0" headerRowDxfId="39" tableBorderDxfId="38">
  <autoFilter ref="A20:F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E00-000001000000}" name="Table 15. Removal to Interim Alternative Educational Setting and Race Category" dataDxfId="37"/>
    <tableColumn id="2" xr3:uid="{00000000-0010-0000-0E00-000002000000}" name="Removal by School Personnel Count"/>
    <tableColumn id="3" xr3:uid="{00000000-0010-0000-0E00-000003000000}" name="Removal by Hearing Officer Count"/>
    <tableColumn id="4" xr3:uid="{00000000-0010-0000-0E00-000004000000}" name="Total Removals" dataDxfId="36"/>
    <tableColumn id="5" xr3:uid="{00000000-0010-0000-0E00-000005000000}" name="Removal by School Personnel %" dataDxfId="35">
      <calculatedColumnFormula>Table15[[#This Row],[Removal by School Personnel Count]]/Table15[[#This Row],[Total Removals]]</calculatedColumnFormula>
    </tableColumn>
    <tableColumn id="6" xr3:uid="{00000000-0010-0000-0E00-000006000000}" name="Removal by Hearing Officer %" dataDxfId="34">
      <calculatedColumnFormula>Table15[[#This Row],[Removal by Hearing Officer Count]]/Table15[[#This Row],[Total Removals]]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5. Removal to Interim Alternative Educational Setting and Race Category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F000000}" name="Table16" displayName="Table16" ref="A30:F33" totalsRowShown="0" headerRowDxfId="33" tableBorderDxfId="32">
  <autoFilter ref="A30:F3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F00-000001000000}" name="Table 16. Removal to Interim Alternative Educational Setting and Sex Category"/>
    <tableColumn id="2" xr3:uid="{00000000-0010-0000-0F00-000002000000}" name="Removal by School Personnel Count"/>
    <tableColumn id="3" xr3:uid="{00000000-0010-0000-0F00-000003000000}" name="Removal by Hearing Officer Count"/>
    <tableColumn id="4" xr3:uid="{00000000-0010-0000-0F00-000004000000}" name="Total Removals" dataDxfId="31"/>
    <tableColumn id="5" xr3:uid="{00000000-0010-0000-0F00-000005000000}" name="Removal by School Personnel %" dataDxfId="30">
      <calculatedColumnFormula>Table16[[#This Row],[Removal by School Personnel Count]]/Table16[[#This Row],[Total Removals]]</calculatedColumnFormula>
    </tableColumn>
    <tableColumn id="6" xr3:uid="{00000000-0010-0000-0F00-000006000000}" name="Removal by Hearing Officer %" dataDxfId="29" dataCellStyle="Percent">
      <calculatedColumnFormula>Table16[[#This Row],[Removal by Hearing Officer Count]]/Table16[[#This Row],[Total Removals]]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6. Removal to Interim Alternative Educational Setting and Sex Category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10000000}" name="Table17" displayName="Table17" ref="A35:F38" totalsRowShown="0" headerRowDxfId="28">
  <autoFilter ref="A35:F3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000-000001000000}" name="Table 17. Removal to Interim Alternative Educational Setting and English Language Proficiency "/>
    <tableColumn id="2" xr3:uid="{00000000-0010-0000-1000-000002000000}" name="Removal by School Personnel Count"/>
    <tableColumn id="3" xr3:uid="{00000000-0010-0000-1000-000003000000}" name="Removal by Hearing Officer Count"/>
    <tableColumn id="4" xr3:uid="{00000000-0010-0000-1000-000004000000}" name="Total Removals" dataDxfId="27"/>
    <tableColumn id="5" xr3:uid="{00000000-0010-0000-1000-000005000000}" name="Removal by School Personnel %" dataDxfId="26" dataCellStyle="Percent">
      <calculatedColumnFormula>Table17[[#This Row],[Removal by School Personnel Count]]/Table17[[#This Row],[Total Removals]]</calculatedColumnFormula>
    </tableColumn>
    <tableColumn id="6" xr3:uid="{00000000-0010-0000-1000-000006000000}" name="Removal by Hearing Officer %" dataDxfId="25" dataCellStyle="Percent">
      <calculatedColumnFormula>Table17[[#This Row],[Removal by Hearing Officer Count]]/Table17[[#This Row],[Total Removals]]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7. Removal to Interim Alternative Educational Setting and English Language Proficiency 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Table18" displayName="Table18" ref="A4:H18" totalsRowShown="0" headerRowDxfId="24">
  <autoFilter ref="A4:H1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100-000001000000}" name="Table 18. Unilateral Removal Reason and Disability Category" dataDxfId="23"/>
    <tableColumn id="2" xr3:uid="{00000000-0010-0000-1100-000002000000}" name="Removed for Drugs Count"/>
    <tableColumn id="3" xr3:uid="{00000000-0010-0000-1100-000003000000}" name="Removed for Serious Bodily Injury Count"/>
    <tableColumn id="4" xr3:uid="{00000000-0010-0000-1100-000004000000}" name="Removed for Weapon Count"/>
    <tableColumn id="5" xr3:uid="{00000000-0010-0000-1100-000005000000}" name="Total Removal Reasons" dataDxfId="22"/>
    <tableColumn id="6" xr3:uid="{00000000-0010-0000-1100-000006000000}" name="Removed for Drugs %" dataDxfId="21" dataCellStyle="Percent">
      <calculatedColumnFormula>Table18[[#This Row],[Removed for Drugs Count]]/Table18[[#This Row],[Total Removal Reasons]]</calculatedColumnFormula>
    </tableColumn>
    <tableColumn id="7" xr3:uid="{00000000-0010-0000-1100-000007000000}" name="Removed for Serious Bodily Injury %" dataDxfId="20" dataCellStyle="Percent">
      <calculatedColumnFormula>Table18[[#This Row],[Removed for Serious Bodily Injury Count]]/Table18[[#This Row],[Total Removal Reasons]]</calculatedColumnFormula>
    </tableColumn>
    <tableColumn id="8" xr3:uid="{00000000-0010-0000-1100-000008000000}" name="Removed for Weapon %" dataDxfId="19" dataCellStyle="Percent">
      <calculatedColumnFormula>Table18[[#This Row],[Removed for Weapon Count]]/Table18[[#This Row],[Total Removal Reasons]]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8. Unilateral Removal Reason and Disability Category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2000000}" name="Table19" displayName="Table19" ref="A20:H28" totalsRowShown="0" headerRowDxfId="18" tableBorderDxfId="17">
  <autoFilter ref="A20:H2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200-000001000000}" name="Table 19. Unilateral Removal Reason and Racial/Ethnic Category" dataDxfId="16"/>
    <tableColumn id="2" xr3:uid="{00000000-0010-0000-1200-000002000000}" name="Removed for Drugs Count"/>
    <tableColumn id="3" xr3:uid="{00000000-0010-0000-1200-000003000000}" name="Removed for Serious Bodily Injury Count"/>
    <tableColumn id="4" xr3:uid="{00000000-0010-0000-1200-000004000000}" name="Removed for Weapon Count"/>
    <tableColumn id="5" xr3:uid="{00000000-0010-0000-1200-000005000000}" name="Total Removal Reasons" dataDxfId="15"/>
    <tableColumn id="6" xr3:uid="{00000000-0010-0000-1200-000006000000}" name="Removed for Drugs %" dataDxfId="14">
      <calculatedColumnFormula>Table19[[#This Row],[Removed for Drugs Count]]/Table19[[#This Row],[Total Removal Reasons]]</calculatedColumnFormula>
    </tableColumn>
    <tableColumn id="7" xr3:uid="{00000000-0010-0000-1200-000007000000}" name="Removed for Serious Bodily Injury %" dataDxfId="13">
      <calculatedColumnFormula>Table19[[#This Row],[Removed for Serious Bodily Injury Count]]/Table19[[#This Row],[Total Removal Reasons]]</calculatedColumnFormula>
    </tableColumn>
    <tableColumn id="8" xr3:uid="{00000000-0010-0000-1200-000008000000}" name="Removed for Weapon %" dataDxfId="12">
      <calculatedColumnFormula>Table19[[#This Row],[Removed for Weapon Count]]/Table19[[#This Row],[Total Removal Reasons]]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19. Unilateral Removal Reason and Racial/Ethnic Catego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1000000}" name="Table2" displayName="Table2" ref="A23:J31" totalsRowShown="0" headerRowDxfId="81" tableBorderDxfId="80">
  <autoFilter ref="A23:J31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Table 2. Removal Length, Discipline Method and Racial/Ethnic Category" dataDxfId="79"/>
    <tableColumn id="2" xr3:uid="{00000000-0010-0000-0100-000002000000}" name="In School Suspension Less Than or Equal to 10 days Count"/>
    <tableColumn id="3" xr3:uid="{00000000-0010-0000-0100-000003000000}" name="In School Suspension Greater then 10 Days Count"/>
    <tableColumn id="4" xr3:uid="{00000000-0010-0000-0100-000004000000}" name="Out of School Suspension Less Than or Equal to 10 days Count"/>
    <tableColumn id="5" xr3:uid="{00000000-0010-0000-0100-000005000000}" name="Out of School Suspension Greater then 10 Days Count"/>
    <tableColumn id="6" xr3:uid="{00000000-0010-0000-0100-000006000000}" name="Total Student Suspensions Expulsions by Type and Length" dataDxfId="78">
      <calculatedColumnFormula>SUM(Table2[[#This Row],[In School Suspension Less Than or Equal to 10 days Count]:[Out of School Suspension Greater then 10 Days Count]])</calculatedColumnFormula>
    </tableColumn>
    <tableColumn id="7" xr3:uid="{00000000-0010-0000-0100-000007000000}" name="In School Suspension Less Than or Equal to 10 days %" dataCellStyle="Percent">
      <calculatedColumnFormula>Table2[[#This Row],[In School Suspension Less Than or Equal to 10 days Count]]/Table2[[#This Row],[Total Student Suspensions Expulsions by Type and Length]]</calculatedColumnFormula>
    </tableColumn>
    <tableColumn id="8" xr3:uid="{00000000-0010-0000-0100-000008000000}" name="In School Suspension Greater then 10 Days %" dataCellStyle="Percent">
      <calculatedColumnFormula>Table2[[#This Row],[In School Suspension Greater then 10 Days Count]]/Table2[[#This Row],[Total Student Suspensions Expulsions by Type and Length]]</calculatedColumnFormula>
    </tableColumn>
    <tableColumn id="9" xr3:uid="{00000000-0010-0000-0100-000009000000}" name="Out of School Suspension Less Than or Equal to 10 days %" dataCellStyle="Percent">
      <calculatedColumnFormula>Table2[[#This Row],[Out of School Suspension Less Than or Equal to 10 days Count]]/Table2[[#This Row],[Total Student Suspensions Expulsions by Type and Length]]</calculatedColumnFormula>
    </tableColumn>
    <tableColumn id="10" xr3:uid="{00000000-0010-0000-0100-00000A000000}" name="Out of School Suspension Greater then 10 Days %" dataCellStyle="Percent">
      <calculatedColumnFormula>Table2[[#This Row],[Out of School Suspension Greater then 10 Days Count]]/Table2[[#This Row],[Total Student Suspensions Expulsions by Type and Length]]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. Removal Length, Discipline Method and Racial/Ethnic Category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13000000}" name="Table20" displayName="Table20" ref="A30:H33" totalsRowShown="0" headerRowDxfId="11" tableBorderDxfId="10">
  <autoFilter ref="A30:H33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Table 20. Unilateral Removal Reason and Sex Category"/>
    <tableColumn id="2" xr3:uid="{00000000-0010-0000-1300-000002000000}" name="Removed for Drugs Count"/>
    <tableColumn id="3" xr3:uid="{00000000-0010-0000-1300-000003000000}" name="Removed for Serious Bodily Injury Count"/>
    <tableColumn id="4" xr3:uid="{00000000-0010-0000-1300-000004000000}" name="Removed for Weapon Count"/>
    <tableColumn id="5" xr3:uid="{00000000-0010-0000-1300-000005000000}" name="Total Removal Reasons" dataDxfId="9"/>
    <tableColumn id="6" xr3:uid="{00000000-0010-0000-1300-000006000000}" name="Removed for Drugs %" dataDxfId="8" dataCellStyle="Percent">
      <calculatedColumnFormula>Table20[[#This Row],[Removed for Drugs Count]]/Table20[[#This Row],[Total Removal Reasons]]</calculatedColumnFormula>
    </tableColumn>
    <tableColumn id="7" xr3:uid="{00000000-0010-0000-1300-000007000000}" name="Removed for Serious Bodily Injury %" dataDxfId="7" dataCellStyle="Percent">
      <calculatedColumnFormula>Table20[[#This Row],[Removed for Serious Bodily Injury Count]]/Table20[[#This Row],[Total Removal Reasons]]</calculatedColumnFormula>
    </tableColumn>
    <tableColumn id="8" xr3:uid="{00000000-0010-0000-1300-000008000000}" name="Removed for Weapon %" dataDxfId="6" dataCellStyle="Percent">
      <calculatedColumnFormula>Table20[[#This Row],[Removed for Weapon Count]]/Table20[[#This Row],[Total Removal Reasons]]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0. Unilateral Removal Reason and Sex Category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14000000}" name="Table21" displayName="Table21" ref="A35:H38" totalsRowShown="0" headerRowDxfId="5" tableBorderDxfId="4">
  <autoFilter ref="A35:H38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400-000001000000}" name="Table 21. Unilateral Removal Reason and English Proficiency "/>
    <tableColumn id="2" xr3:uid="{00000000-0010-0000-1400-000002000000}" name="Removed for Drugs Count"/>
    <tableColumn id="3" xr3:uid="{00000000-0010-0000-1400-000003000000}" name="Removed for Serious Bodily Injury Count"/>
    <tableColumn id="4" xr3:uid="{00000000-0010-0000-1400-000004000000}" name="Removed for Weapon Count"/>
    <tableColumn id="5" xr3:uid="{00000000-0010-0000-1400-000005000000}" name="Total Removal Reasons" dataDxfId="3"/>
    <tableColumn id="6" xr3:uid="{00000000-0010-0000-1400-000006000000}" name="Removed for Drugs %" dataDxfId="2">
      <calculatedColumnFormula>Table21[[#This Row],[Removed for Drugs Count]]/Table21[[#This Row],[Total Removal Reasons]]</calculatedColumnFormula>
    </tableColumn>
    <tableColumn id="7" xr3:uid="{00000000-0010-0000-1400-000007000000}" name="Removed for Serious Bodily Injury %" dataDxfId="1">
      <calculatedColumnFormula>Table21[[#This Row],[Removed for Serious Bodily Injury Count]]/Table21[[#This Row],[Total Removal Reasons]]</calculatedColumnFormula>
    </tableColumn>
    <tableColumn id="8" xr3:uid="{00000000-0010-0000-1400-000008000000}" name="Removed for Weapon %" dataDxfId="0">
      <calculatedColumnFormula>Table21[[#This Row],[Removed for Weapon Count]]/Table21[[#This Row],[Total Removal Reasons]]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21. Unilateral Removal Reason and English Proficiency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3" displayName="Table3" ref="A33:J36" totalsRowShown="0" headerRowDxfId="77" tableBorderDxfId="76">
  <autoFilter ref="A33:J36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200-000001000000}" name="Table 3. Removal Length, Discipline Method and Sex Category"/>
    <tableColumn id="2" xr3:uid="{00000000-0010-0000-0200-000002000000}" name="In School Suspension Less Than or Equal to 10 days Count"/>
    <tableColumn id="3" xr3:uid="{00000000-0010-0000-0200-000003000000}" name="In School Suspension Greater then 10 Days Count"/>
    <tableColumn id="4" xr3:uid="{00000000-0010-0000-0200-000004000000}" name="Out of School Suspension Less Than or Equal to 10 days Count"/>
    <tableColumn id="5" xr3:uid="{00000000-0010-0000-0200-000005000000}" name="Out of School Suspension Greater then 10 Days Count"/>
    <tableColumn id="6" xr3:uid="{00000000-0010-0000-0200-000006000000}" name="Total Student Suspensions Expulsions by Type and Length" dataDxfId="75">
      <calculatedColumnFormula>SUM(Table3[[#This Row],[In School Suspension Less Than or Equal to 10 days Count]:[Out of School Suspension Greater then 10 Days Count]])</calculatedColumnFormula>
    </tableColumn>
    <tableColumn id="7" xr3:uid="{00000000-0010-0000-0200-000007000000}" name="In School Suspension Less Than or Equal to 10 days %" dataCellStyle="Percent">
      <calculatedColumnFormula>Table3[[#This Row],[In School Suspension Less Than or Equal to 10 days Count]]/Table3[[#This Row],[Total Student Suspensions Expulsions by Type and Length]]</calculatedColumnFormula>
    </tableColumn>
    <tableColumn id="8" xr3:uid="{00000000-0010-0000-0200-000008000000}" name="In School Suspension Greater then 10 Days %" dataCellStyle="Percent">
      <calculatedColumnFormula>Table3[[#This Row],[In School Suspension Greater then 10 Days Count]]/Table3[[#This Row],[Total Student Suspensions Expulsions by Type and Length]]</calculatedColumnFormula>
    </tableColumn>
    <tableColumn id="9" xr3:uid="{00000000-0010-0000-0200-000009000000}" name="Out of School Suspension Less Than or Equal to 10 days %" dataCellStyle="Percent">
      <calculatedColumnFormula>Table3[[#This Row],[Out of School Suspension Less Than or Equal to 10 days Count]]/Table3[[#This Row],[Total Student Suspensions Expulsions by Type and Length]]</calculatedColumnFormula>
    </tableColumn>
    <tableColumn id="10" xr3:uid="{00000000-0010-0000-0200-00000A000000}" name="Out of School Suspension Greater then 10 Days %" dataCellStyle="Percent">
      <calculatedColumnFormula>Table3[[#This Row],[Out of School Suspension Greater then 10 Days Count]]/Table3[[#This Row],[Total Student Suspensions Expulsions by Type and Length]]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3. Removal Length, Discipline Method and Sex Categor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4" displayName="Table4" ref="A38:J41" totalsRowShown="0" headerRowDxfId="74" tableBorderDxfId="73">
  <autoFilter ref="A38:J41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300-000001000000}" name="Table 4. Removal Length, Discipline Method and English Proficiency "/>
    <tableColumn id="2" xr3:uid="{00000000-0010-0000-0300-000002000000}" name="In School Suspension Less Than or Equal to 10 days Count"/>
    <tableColumn id="3" xr3:uid="{00000000-0010-0000-0300-000003000000}" name="In School Suspension Greater then 10 Days Count"/>
    <tableColumn id="4" xr3:uid="{00000000-0010-0000-0300-000004000000}" name="Out of School Suspension Less Than or Equal to 10 days Count"/>
    <tableColumn id="5" xr3:uid="{00000000-0010-0000-0300-000005000000}" name="Out of School Suspension Greater then 10 Days Count"/>
    <tableColumn id="6" xr3:uid="{00000000-0010-0000-0300-000006000000}" name="Total Student Suspensions Expulsions by Type and Length" dataDxfId="72">
      <calculatedColumnFormula>SUM(Table4[[#This Row],[In School Suspension Less Than or Equal to 10 days Count]:[Out of School Suspension Greater then 10 Days Count]])</calculatedColumnFormula>
    </tableColumn>
    <tableColumn id="7" xr3:uid="{00000000-0010-0000-0300-000007000000}" name="In School Suspension Less Than or Equal to 10 days %" dataCellStyle="Percent">
      <calculatedColumnFormula>Table4[[#This Row],[In School Suspension Less Than or Equal to 10 days Count]]/Table4[[#This Row],[Total Student Suspensions Expulsions by Type and Length]]</calculatedColumnFormula>
    </tableColumn>
    <tableColumn id="8" xr3:uid="{00000000-0010-0000-0300-000008000000}" name="In School Suspension Greater then 10 Days %" dataCellStyle="Percent">
      <calculatedColumnFormula>Table4[[#This Row],[In School Suspension Greater then 10 Days Count]]/Table4[[#This Row],[Total Student Suspensions Expulsions by Type and Length]]</calculatedColumnFormula>
    </tableColumn>
    <tableColumn id="9" xr3:uid="{00000000-0010-0000-0300-000009000000}" name="Out of School Suspension Less Than or Equal to 10 days %" dataCellStyle="Percent">
      <calculatedColumnFormula>Table4[[#This Row],[Out of School Suspension Less Than or Equal to 10 days Count]]/Table4[[#This Row],[Total Student Suspensions Expulsions by Type and Length]]</calculatedColumnFormula>
    </tableColumn>
    <tableColumn id="10" xr3:uid="{00000000-0010-0000-0300-00000A000000}" name="Out of School Suspension Greater then 10 Days %" dataCellStyle="Percent">
      <calculatedColumnFormula>Table4[[#This Row],[Out of School Suspension Greater then 10 Days Count]]/Table4[[#This Row],[Total Student Suspensions Expulsions by Type and Length]]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4. Removal Length, Discipline Method and English Proficiency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5" displayName="Table5" ref="A4:H18" totalsRowShown="0" headerRowDxfId="71">
  <autoFilter ref="A4:H18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400-000001000000}" name="Table 5. Removal Length and Disability Category"/>
    <tableColumn id="2" xr3:uid="{00000000-0010-0000-0400-000002000000}" name="One Day or Less Count"/>
    <tableColumn id="3" xr3:uid="{00000000-0010-0000-0400-000003000000}" name="2 to 10 Days Count"/>
    <tableColumn id="4" xr3:uid="{00000000-0010-0000-0400-000004000000}" name="10 Days or Greater Count"/>
    <tableColumn id="5" xr3:uid="{00000000-0010-0000-0400-000005000000}" name="Total Number of Children Removed" dataDxfId="70">
      <calculatedColumnFormula>SUM(Table5[[#This Row],[One Day or Less Count]:[10 Days or Greater Count]])</calculatedColumnFormula>
    </tableColumn>
    <tableColumn id="6" xr3:uid="{00000000-0010-0000-0400-000006000000}" name="One Day or Less %" dataCellStyle="Percent">
      <calculatedColumnFormula>Table5[[#This Row],[One Day or Less Count]]/Table5[[#This Row],[Total Number of Children Removed]]</calculatedColumnFormula>
    </tableColumn>
    <tableColumn id="7" xr3:uid="{00000000-0010-0000-0400-000007000000}" name="2 to 10 Days %" dataCellStyle="Percent">
      <calculatedColumnFormula>Table5[[#This Row],[2 to 10 Days Count]]/Table5[[#This Row],[Total Number of Children Removed]]</calculatedColumnFormula>
    </tableColumn>
    <tableColumn id="8" xr3:uid="{00000000-0010-0000-0400-000008000000}" name="10 Days or Greater %" dataCellStyle="Percent">
      <calculatedColumnFormula>Table5[[#This Row],[10 Days or Greater Count]]/Table5[[#This Row],[Total Number of Children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5. Removal Length and Disability Category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e6" displayName="Table6" ref="A20:H28" totalsRowShown="0" headerRowDxfId="69" tableBorderDxfId="68">
  <autoFilter ref="A20:H28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500-000001000000}" name="Table 6. Removal Length and Racial/Ethnic Category"/>
    <tableColumn id="2" xr3:uid="{00000000-0010-0000-0500-000002000000}" name="One Day or Less Count"/>
    <tableColumn id="3" xr3:uid="{00000000-0010-0000-0500-000003000000}" name="2 to 10 Days Count"/>
    <tableColumn id="4" xr3:uid="{00000000-0010-0000-0500-000004000000}" name="10 Days or Greater Count"/>
    <tableColumn id="5" xr3:uid="{00000000-0010-0000-0500-000005000000}" name="Total Number of Children Removed" dataDxfId="67">
      <calculatedColumnFormula>SUM(Table6[[#This Row],[One Day or Less Count]:[10 Days or Greater Count]])</calculatedColumnFormula>
    </tableColumn>
    <tableColumn id="6" xr3:uid="{00000000-0010-0000-0500-000006000000}" name="One Day or Less %" dataCellStyle="Percent">
      <calculatedColumnFormula>Table6[[#This Row],[One Day or Less Count]]/Table6[[#This Row],[Total Number of Children Removed]]</calculatedColumnFormula>
    </tableColumn>
    <tableColumn id="7" xr3:uid="{00000000-0010-0000-0500-000007000000}" name="2 to 10 Days %" dataCellStyle="Percent">
      <calculatedColumnFormula>Table6[[#This Row],[2 to 10 Days Count]]/Table6[[#This Row],[Total Number of Children Removed]]</calculatedColumnFormula>
    </tableColumn>
    <tableColumn id="8" xr3:uid="{00000000-0010-0000-0500-000008000000}" name="10 Days or Greater %" dataCellStyle="Percent">
      <calculatedColumnFormula>Table6[[#This Row],[10 Days or Greater Count]]/Table6[[#This Row],[Total Number of Children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6. Removal Length and Racial/Ethnic Category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e7" displayName="Table7" ref="A30:H33" totalsRowShown="0" headerRowDxfId="66" tableBorderDxfId="65">
  <autoFilter ref="A30:H33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600-000001000000}" name="Table 7. Removal Length and Sex Category"/>
    <tableColumn id="2" xr3:uid="{00000000-0010-0000-0600-000002000000}" name="One Day or Less Count"/>
    <tableColumn id="3" xr3:uid="{00000000-0010-0000-0600-000003000000}" name="2 to 10 Days Count"/>
    <tableColumn id="4" xr3:uid="{00000000-0010-0000-0600-000004000000}" name="10 Days or Greater Count"/>
    <tableColumn id="5" xr3:uid="{00000000-0010-0000-0600-000005000000}" name="Total Number of Children Removed" dataDxfId="64">
      <calculatedColumnFormula>SUM(Table7[[#This Row],[One Day or Less Count]:[10 Days or Greater Count]])</calculatedColumnFormula>
    </tableColumn>
    <tableColumn id="6" xr3:uid="{00000000-0010-0000-0600-000006000000}" name="One Day or Less %" dataCellStyle="Percent">
      <calculatedColumnFormula>Table7[[#This Row],[One Day or Less Count]]/Table7[[#This Row],[Total Number of Children Removed]]</calculatedColumnFormula>
    </tableColumn>
    <tableColumn id="7" xr3:uid="{00000000-0010-0000-0600-000007000000}" name="2 to 10 Days %" dataCellStyle="Percent">
      <calculatedColumnFormula>Table7[[#This Row],[2 to 10 Days Count]]/Table7[[#This Row],[Total Number of Children Removed]]</calculatedColumnFormula>
    </tableColumn>
    <tableColumn id="8" xr3:uid="{00000000-0010-0000-0600-000008000000}" name="10 Days or Greater %" dataCellStyle="Percent">
      <calculatedColumnFormula>Table7[[#This Row],[10 Days or Greater Count]]/Table7[[#This Row],[Total Number of Children Removed]]</calculatedColumnFormula>
    </tableColumn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Table 7. Removal Length and Sex Categor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7000000}" name="Table8" displayName="Table8" ref="A35:H38" totalsRowShown="0" headerRowDxfId="63" tableBorderDxfId="62">
  <autoFilter ref="A35:H3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700-000001000000}" name="Table 8. Removal Length and English Proficiency "/>
    <tableColumn id="2" xr3:uid="{00000000-0010-0000-0700-000002000000}" name="One Day or Less Count"/>
    <tableColumn id="3" xr3:uid="{00000000-0010-0000-0700-000003000000}" name="2 to 10 Days Count"/>
    <tableColumn id="4" xr3:uid="{00000000-0010-0000-0700-000004000000}" name="10 Days or Greater Count"/>
    <tableColumn id="5" xr3:uid="{00000000-0010-0000-0700-000005000000}" name="Total Number of Children Removed" dataDxfId="61">
      <calculatedColumnFormula>SUM(Table8[[#This Row],[One Day or Less Count]:[10 Days or Greater Count]])</calculatedColumnFormula>
    </tableColumn>
    <tableColumn id="6" xr3:uid="{00000000-0010-0000-0700-000006000000}" name="One Day or Less %" dataCellStyle="Percent">
      <calculatedColumnFormula>Table8[[#This Row],[One Day or Less Count]]/Table8[[#This Row],[Total Number of Children Removed]]</calculatedColumnFormula>
    </tableColumn>
    <tableColumn id="7" xr3:uid="{00000000-0010-0000-0700-000007000000}" name="2 to 10 Days %" dataCellStyle="Percent">
      <calculatedColumnFormula>Table8[[#This Row],[2 to 10 Days Count]]/Table8[[#This Row],[Total Number of Children Removed]]</calculatedColumnFormula>
    </tableColumn>
    <tableColumn id="8" xr3:uid="{00000000-0010-0000-0700-000008000000}" name="10 Days or Greater %" dataCellStyle="Percent">
      <calculatedColumnFormula>Table8[[#This Row],[10 Days or Greater Count]]/Table8[[#This Row],[Total Number of Children Removed]]</calculatedColumnFormula>
    </tableColumn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Table 8. Removal Length and English Proficiency 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8000000}" name="Table9" displayName="Table9" ref="A4:E18" totalsRowShown="0" headerRowDxfId="60">
  <autoFilter ref="A4:E18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800-000001000000}" name="Table 9. Count of Removals and Disability Category" dataDxfId="59"/>
    <tableColumn id="2" xr3:uid="{00000000-0010-0000-0800-000002000000}" name="Count of Removals"/>
    <tableColumn id="5" xr3:uid="{00000000-0010-0000-0800-000005000000}" name="% of Total Removals" dataCellStyle="Percent">
      <calculatedColumnFormula>Table9[[#This Row],[Count of Removals]]/$B$18</calculatedColumnFormula>
    </tableColumn>
    <tableColumn id="3" xr3:uid="{00000000-0010-0000-0800-000003000000}" name="Count of Students Removed"/>
    <tableColumn id="4" xr3:uid="{00000000-0010-0000-0800-000004000000}" name="Average Removals per Student" dataDxfId="58">
      <calculatedColumnFormula>Table9[[#This Row],[Count of Removals]]/Table9[[#This Row],[Count of Students Removed]]</calculatedColumnFormula>
    </tableColumn>
  </tableColumns>
  <tableStyleInfo name="TableStyleLight12" showFirstColumn="1" showLastColumn="0" showRowStripes="1" showColumnStripes="0"/>
  <extLst>
    <ext xmlns:x14="http://schemas.microsoft.com/office/spreadsheetml/2009/9/main" uri="{504A1905-F514-4f6f-8877-14C23A59335A}">
      <x14:table altTextSummary="Table 9. Count of Removals and Disability Category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drawing" Target="../drawings/drawing6.xml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3"/>
  <sheetViews>
    <sheetView tabSelected="1" zoomScale="80" zoomScaleNormal="80" workbookViewId="0">
      <selection sqref="A1:V1"/>
    </sheetView>
  </sheetViews>
  <sheetFormatPr defaultColWidth="0" defaultRowHeight="16.5" zeroHeight="1" x14ac:dyDescent="0.3"/>
  <cols>
    <col min="1" max="1" width="44" customWidth="1"/>
    <col min="2" max="10" width="13.375" customWidth="1"/>
    <col min="11" max="22" width="8.875" customWidth="1"/>
    <col min="23" max="16384" width="8.875" hidden="1"/>
  </cols>
  <sheetData>
    <row r="1" spans="1:22" ht="87.6" customHeight="1" x14ac:dyDescent="0.3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4.45" customHeight="1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45" customHeight="1" x14ac:dyDescent="0.3">
      <c r="A3" s="27" t="s">
        <v>76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14.45" customHeight="1" x14ac:dyDescent="0.3">
      <c r="A4" s="27" t="s">
        <v>75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ht="14.45" customHeight="1" x14ac:dyDescent="0.3">
      <c r="A5" s="27" t="s">
        <v>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4.45" customHeight="1" x14ac:dyDescent="0.3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s="1" customFormat="1" ht="102.6" customHeight="1" x14ac:dyDescent="0.3">
      <c r="A7" s="1" t="s">
        <v>78</v>
      </c>
      <c r="B7" s="1" t="s">
        <v>36</v>
      </c>
      <c r="C7" s="1" t="s">
        <v>37</v>
      </c>
      <c r="D7" s="1" t="s">
        <v>40</v>
      </c>
      <c r="E7" s="1" t="s">
        <v>41</v>
      </c>
      <c r="F7" s="1" t="s">
        <v>47</v>
      </c>
      <c r="G7" s="1" t="s">
        <v>38</v>
      </c>
      <c r="H7" s="1" t="s">
        <v>39</v>
      </c>
      <c r="I7" s="1" t="s">
        <v>42</v>
      </c>
      <c r="J7" s="1" t="s">
        <v>43</v>
      </c>
      <c r="K7" s="28"/>
      <c r="L7" s="30" t="s">
        <v>71</v>
      </c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9.149999999999999" customHeight="1" x14ac:dyDescent="0.3">
      <c r="A8" s="7" t="s">
        <v>1</v>
      </c>
      <c r="B8">
        <v>94</v>
      </c>
      <c r="C8">
        <v>0</v>
      </c>
      <c r="D8" s="41">
        <v>198</v>
      </c>
      <c r="E8">
        <v>2</v>
      </c>
      <c r="F8" s="2">
        <f>SUM(Table1[[#This Row],[In School Suspension Less Than or Equal to 10 days Count]:[Out of School Suspension Greater then 10 Days Count]])</f>
        <v>294</v>
      </c>
      <c r="G8" s="9">
        <f>Table1[[#This Row],[In School Suspension Less Than or Equal to 10 days Count]]/Table1[[#This Row],[Total Student Suspensions Expulsions by Type and Length]]</f>
        <v>0.31972789115646261</v>
      </c>
      <c r="H8" s="9">
        <f>Table1[[#This Row],[In School Suspension Greater then 10 Days Count]]/Table1[[#This Row],[Total Student Suspensions Expulsions by Type and Length]]</f>
        <v>0</v>
      </c>
      <c r="I8" s="9">
        <f>Table1[[#This Row],[Out of School Suspension Less Than or Equal to 10 days Count]]/Table1[[#This Row],[Total Student Suspensions Expulsions by Type and Length]]</f>
        <v>0.67346938775510201</v>
      </c>
      <c r="J8" s="9">
        <f>Table1[[#This Row],[Out of School Suspension Greater then 10 Days Count]]/Table1[[#This Row],[Total Student Suspensions Expulsions by Type and Length]]</f>
        <v>6.8027210884353739E-3</v>
      </c>
      <c r="K8" s="27"/>
      <c r="L8" s="30" t="s">
        <v>71</v>
      </c>
      <c r="M8" s="27"/>
      <c r="N8" s="27"/>
      <c r="O8" s="27"/>
      <c r="P8" s="27"/>
      <c r="Q8" s="27"/>
      <c r="R8" s="27"/>
      <c r="S8" s="27"/>
      <c r="T8" s="27"/>
      <c r="U8" s="27"/>
      <c r="V8" s="27"/>
    </row>
    <row r="9" spans="1:22" ht="19.149999999999999" customHeight="1" x14ac:dyDescent="0.3">
      <c r="A9" s="7" t="s">
        <v>2</v>
      </c>
      <c r="B9" s="9" t="s">
        <v>100</v>
      </c>
      <c r="C9" s="9" t="s">
        <v>100</v>
      </c>
      <c r="D9" s="9" t="s">
        <v>100</v>
      </c>
      <c r="E9" s="9" t="s">
        <v>100</v>
      </c>
      <c r="F9" s="9" t="s">
        <v>100</v>
      </c>
      <c r="G9" s="9" t="s">
        <v>100</v>
      </c>
      <c r="H9" s="9" t="s">
        <v>100</v>
      </c>
      <c r="I9" s="9" t="s">
        <v>100</v>
      </c>
      <c r="J9" s="9" t="s">
        <v>100</v>
      </c>
      <c r="K9" s="27"/>
      <c r="L9" s="30" t="s">
        <v>71</v>
      </c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2" ht="19.149999999999999" customHeight="1" x14ac:dyDescent="0.3">
      <c r="A10" s="7" t="s">
        <v>3</v>
      </c>
      <c r="B10">
        <v>50</v>
      </c>
      <c r="C10">
        <v>0</v>
      </c>
      <c r="D10" s="41">
        <v>90</v>
      </c>
      <c r="E10">
        <v>3</v>
      </c>
      <c r="F10" s="2">
        <f>SUM(Table1[[#This Row],[In School Suspension Less Than or Equal to 10 days Count]:[Out of School Suspension Greater then 10 Days Count]])</f>
        <v>143</v>
      </c>
      <c r="G10" s="9">
        <f>Table1[[#This Row],[In School Suspension Less Than or Equal to 10 days Count]]/Table1[[#This Row],[Total Student Suspensions Expulsions by Type and Length]]</f>
        <v>0.34965034965034963</v>
      </c>
      <c r="H10" s="9">
        <f>Table1[[#This Row],[In School Suspension Greater then 10 Days Count]]/Table1[[#This Row],[Total Student Suspensions Expulsions by Type and Length]]</f>
        <v>0</v>
      </c>
      <c r="I10" s="9">
        <f>Table1[[#This Row],[Out of School Suspension Less Than or Equal to 10 days Count]]/Table1[[#This Row],[Total Student Suspensions Expulsions by Type and Length]]</f>
        <v>0.62937062937062938</v>
      </c>
      <c r="J10" s="9">
        <f>Table1[[#This Row],[Out of School Suspension Greater then 10 Days Count]]/Table1[[#This Row],[Total Student Suspensions Expulsions by Type and Length]]</f>
        <v>2.097902097902098E-2</v>
      </c>
      <c r="K10" s="27"/>
      <c r="L10" s="30" t="s">
        <v>71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ht="19.149999999999999" customHeight="1" x14ac:dyDescent="0.3">
      <c r="A11" s="7" t="s">
        <v>4</v>
      </c>
      <c r="B11">
        <v>240</v>
      </c>
      <c r="C11">
        <v>3</v>
      </c>
      <c r="D11" s="41">
        <v>607</v>
      </c>
      <c r="E11">
        <v>37</v>
      </c>
      <c r="F11" s="2">
        <f>SUM(Table1[[#This Row],[In School Suspension Less Than or Equal to 10 days Count]:[Out of School Suspension Greater then 10 Days Count]])</f>
        <v>887</v>
      </c>
      <c r="G11" s="9">
        <f>Table1[[#This Row],[In School Suspension Less Than or Equal to 10 days Count]]/Table1[[#This Row],[Total Student Suspensions Expulsions by Type and Length]]</f>
        <v>0.27057497181510709</v>
      </c>
      <c r="H11" s="9">
        <f>Table1[[#This Row],[In School Suspension Greater then 10 Days Count]]/Table1[[#This Row],[Total Student Suspensions Expulsions by Type and Length]]</f>
        <v>3.3821871476888386E-3</v>
      </c>
      <c r="I11" s="9">
        <f>Table1[[#This Row],[Out of School Suspension Less Than or Equal to 10 days Count]]/Table1[[#This Row],[Total Student Suspensions Expulsions by Type and Length]]</f>
        <v>0.6843291995490417</v>
      </c>
      <c r="J11" s="9">
        <f>Table1[[#This Row],[Out of School Suspension Greater then 10 Days Count]]/Table1[[#This Row],[Total Student Suspensions Expulsions by Type and Length]]</f>
        <v>4.1713641488162347E-2</v>
      </c>
      <c r="K11" s="27"/>
      <c r="L11" s="30" t="s">
        <v>71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9.149999999999999" customHeight="1" x14ac:dyDescent="0.3">
      <c r="A12" s="7" t="s">
        <v>5</v>
      </c>
      <c r="B12">
        <v>11</v>
      </c>
      <c r="C12">
        <v>0</v>
      </c>
      <c r="D12" s="41">
        <v>15</v>
      </c>
      <c r="E12">
        <v>0</v>
      </c>
      <c r="F12" s="2">
        <f>SUM(Table1[[#This Row],[In School Suspension Less Than or Equal to 10 days Count]:[Out of School Suspension Greater then 10 Days Count]])</f>
        <v>26</v>
      </c>
      <c r="G12" s="9">
        <f>Table1[[#This Row],[In School Suspension Less Than or Equal to 10 days Count]]/Table1[[#This Row],[Total Student Suspensions Expulsions by Type and Length]]</f>
        <v>0.42307692307692307</v>
      </c>
      <c r="H12" s="9">
        <f>Table1[[#This Row],[In School Suspension Greater then 10 Days Count]]/Table1[[#This Row],[Total Student Suspensions Expulsions by Type and Length]]</f>
        <v>0</v>
      </c>
      <c r="I12" s="9">
        <f>Table1[[#This Row],[Out of School Suspension Less Than or Equal to 10 days Count]]/Table1[[#This Row],[Total Student Suspensions Expulsions by Type and Length]]</f>
        <v>0.57692307692307687</v>
      </c>
      <c r="J12" s="9">
        <f>Table1[[#This Row],[Out of School Suspension Greater then 10 Days Count]]/Table1[[#This Row],[Total Student Suspensions Expulsions by Type and Length]]</f>
        <v>0</v>
      </c>
      <c r="K12" s="27"/>
      <c r="L12" s="30" t="s">
        <v>71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ht="19.149999999999999" customHeight="1" x14ac:dyDescent="0.3">
      <c r="A13" s="7" t="s">
        <v>6</v>
      </c>
      <c r="B13">
        <v>23</v>
      </c>
      <c r="C13">
        <v>0</v>
      </c>
      <c r="D13" s="41">
        <v>42</v>
      </c>
      <c r="E13">
        <v>4</v>
      </c>
      <c r="F13" s="2">
        <f>SUM(Table1[[#This Row],[In School Suspension Less Than or Equal to 10 days Count]:[Out of School Suspension Greater then 10 Days Count]])</f>
        <v>69</v>
      </c>
      <c r="G13" s="9">
        <f>Table1[[#This Row],[In School Suspension Less Than or Equal to 10 days Count]]/Table1[[#This Row],[Total Student Suspensions Expulsions by Type and Length]]</f>
        <v>0.33333333333333331</v>
      </c>
      <c r="H13" s="9">
        <f>Table1[[#This Row],[In School Suspension Greater then 10 Days Count]]/Table1[[#This Row],[Total Student Suspensions Expulsions by Type and Length]]</f>
        <v>0</v>
      </c>
      <c r="I13" s="9">
        <f>Table1[[#This Row],[Out of School Suspension Less Than or Equal to 10 days Count]]/Table1[[#This Row],[Total Student Suspensions Expulsions by Type and Length]]</f>
        <v>0.60869565217391308</v>
      </c>
      <c r="J13" s="9">
        <f>Table1[[#This Row],[Out of School Suspension Greater then 10 Days Count]]/Table1[[#This Row],[Total Student Suspensions Expulsions by Type and Length]]</f>
        <v>5.7971014492753624E-2</v>
      </c>
      <c r="K13" s="27"/>
      <c r="L13" s="30" t="s">
        <v>71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9.149999999999999" customHeight="1" x14ac:dyDescent="0.3">
      <c r="A14" s="7" t="s">
        <v>7</v>
      </c>
      <c r="B14">
        <v>14</v>
      </c>
      <c r="C14">
        <v>0</v>
      </c>
      <c r="D14" s="41">
        <v>39</v>
      </c>
      <c r="E14">
        <v>3</v>
      </c>
      <c r="F14" s="2">
        <f>SUM(Table1[[#This Row],[In School Suspension Less Than or Equal to 10 days Count]:[Out of School Suspension Greater then 10 Days Count]])</f>
        <v>56</v>
      </c>
      <c r="G14" s="9">
        <f>Table1[[#This Row],[In School Suspension Less Than or Equal to 10 days Count]]/Table1[[#This Row],[Total Student Suspensions Expulsions by Type and Length]]</f>
        <v>0.25</v>
      </c>
      <c r="H14" s="9">
        <f>Table1[[#This Row],[In School Suspension Greater then 10 Days Count]]/Table1[[#This Row],[Total Student Suspensions Expulsions by Type and Length]]</f>
        <v>0</v>
      </c>
      <c r="I14" s="9">
        <f>Table1[[#This Row],[Out of School Suspension Less Than or Equal to 10 days Count]]/Table1[[#This Row],[Total Student Suspensions Expulsions by Type and Length]]</f>
        <v>0.6964285714285714</v>
      </c>
      <c r="J14" s="9">
        <f>Table1[[#This Row],[Out of School Suspension Greater then 10 Days Count]]/Table1[[#This Row],[Total Student Suspensions Expulsions by Type and Length]]</f>
        <v>5.3571428571428568E-2</v>
      </c>
      <c r="K14" s="27"/>
      <c r="L14" s="30" t="s">
        <v>71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ht="19.149999999999999" customHeight="1" x14ac:dyDescent="0.3">
      <c r="A15" s="7" t="s">
        <v>8</v>
      </c>
      <c r="B15">
        <v>306</v>
      </c>
      <c r="C15">
        <v>3</v>
      </c>
      <c r="D15" s="41">
        <v>593</v>
      </c>
      <c r="E15">
        <v>21</v>
      </c>
      <c r="F15" s="2">
        <f>SUM(Table1[[#This Row],[In School Suspension Less Than or Equal to 10 days Count]:[Out of School Suspension Greater then 10 Days Count]])</f>
        <v>923</v>
      </c>
      <c r="G15" s="9">
        <f>Table1[[#This Row],[In School Suspension Less Than or Equal to 10 days Count]]/Table1[[#This Row],[Total Student Suspensions Expulsions by Type and Length]]</f>
        <v>0.3315276273022752</v>
      </c>
      <c r="H15" s="9">
        <f>Table1[[#This Row],[In School Suspension Greater then 10 Days Count]]/Table1[[#This Row],[Total Student Suspensions Expulsions by Type and Length]]</f>
        <v>3.2502708559046588E-3</v>
      </c>
      <c r="I15" s="9">
        <f>Table1[[#This Row],[Out of School Suspension Less Than or Equal to 10 days Count]]/Table1[[#This Row],[Total Student Suspensions Expulsions by Type and Length]]</f>
        <v>0.64247020585048753</v>
      </c>
      <c r="J15" s="9">
        <f>Table1[[#This Row],[Out of School Suspension Greater then 10 Days Count]]/Table1[[#This Row],[Total Student Suspensions Expulsions by Type and Length]]</f>
        <v>2.2751895991332611E-2</v>
      </c>
      <c r="K15" s="27"/>
      <c r="L15" s="30" t="s">
        <v>71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ht="19.149999999999999" customHeight="1" x14ac:dyDescent="0.3">
      <c r="A16" s="7" t="s">
        <v>13</v>
      </c>
      <c r="B16">
        <v>2</v>
      </c>
      <c r="C16">
        <v>0</v>
      </c>
      <c r="D16" s="41">
        <v>3</v>
      </c>
      <c r="E16">
        <v>0</v>
      </c>
      <c r="F16" s="2">
        <f>SUM(Table1[[#This Row],[In School Suspension Less Than or Equal to 10 days Count]:[Out of School Suspension Greater then 10 Days Count]])</f>
        <v>5</v>
      </c>
      <c r="G16" s="9">
        <f>Table1[[#This Row],[In School Suspension Less Than or Equal to 10 days Count]]/Table1[[#This Row],[Total Student Suspensions Expulsions by Type and Length]]</f>
        <v>0.4</v>
      </c>
      <c r="H16" s="9">
        <f>Table1[[#This Row],[In School Suspension Greater then 10 Days Count]]/Table1[[#This Row],[Total Student Suspensions Expulsions by Type and Length]]</f>
        <v>0</v>
      </c>
      <c r="I16" s="9">
        <f>Table1[[#This Row],[Out of School Suspension Less Than or Equal to 10 days Count]]/Table1[[#This Row],[Total Student Suspensions Expulsions by Type and Length]]</f>
        <v>0.6</v>
      </c>
      <c r="J16" s="9">
        <f>Table1[[#This Row],[Out of School Suspension Greater then 10 Days Count]]/Table1[[#This Row],[Total Student Suspensions Expulsions by Type and Length]]</f>
        <v>0</v>
      </c>
      <c r="K16" s="27"/>
      <c r="L16" s="30" t="s">
        <v>71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ht="19.149999999999999" customHeight="1" x14ac:dyDescent="0.3">
      <c r="A17" s="7" t="s">
        <v>9</v>
      </c>
      <c r="B17">
        <v>562</v>
      </c>
      <c r="C17">
        <v>8</v>
      </c>
      <c r="D17" s="41">
        <v>1006</v>
      </c>
      <c r="E17">
        <v>41</v>
      </c>
      <c r="F17" s="2">
        <f>SUM(Table1[[#This Row],[In School Suspension Less Than or Equal to 10 days Count]:[Out of School Suspension Greater then 10 Days Count]])</f>
        <v>1617</v>
      </c>
      <c r="G17" s="9">
        <f>Table1[[#This Row],[In School Suspension Less Than or Equal to 10 days Count]]/Table1[[#This Row],[Total Student Suspensions Expulsions by Type and Length]]</f>
        <v>0.34755720470006185</v>
      </c>
      <c r="H17" s="9">
        <f>Table1[[#This Row],[In School Suspension Greater then 10 Days Count]]/Table1[[#This Row],[Total Student Suspensions Expulsions by Type and Length]]</f>
        <v>4.9474335188620907E-3</v>
      </c>
      <c r="I17" s="9">
        <f>Table1[[#This Row],[Out of School Suspension Less Than or Equal to 10 days Count]]/Table1[[#This Row],[Total Student Suspensions Expulsions by Type and Length]]</f>
        <v>0.62213976499690782</v>
      </c>
      <c r="J17" s="9">
        <f>Table1[[#This Row],[Out of School Suspension Greater then 10 Days Count]]/Table1[[#This Row],[Total Student Suspensions Expulsions by Type and Length]]</f>
        <v>2.5355596784168214E-2</v>
      </c>
      <c r="K17" s="27"/>
      <c r="L17" s="30" t="s">
        <v>71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19.149999999999999" customHeight="1" x14ac:dyDescent="0.3">
      <c r="A18" s="7" t="s">
        <v>10</v>
      </c>
      <c r="B18">
        <v>47</v>
      </c>
      <c r="C18">
        <v>0</v>
      </c>
      <c r="D18" s="41">
        <v>95</v>
      </c>
      <c r="E18">
        <v>1</v>
      </c>
      <c r="F18" s="2">
        <f>SUM(Table1[[#This Row],[In School Suspension Less Than or Equal to 10 days Count]:[Out of School Suspension Greater then 10 Days Count]])</f>
        <v>143</v>
      </c>
      <c r="G18" s="9">
        <f>Table1[[#This Row],[In School Suspension Less Than or Equal to 10 days Count]]/Table1[[#This Row],[Total Student Suspensions Expulsions by Type and Length]]</f>
        <v>0.32867132867132864</v>
      </c>
      <c r="H18" s="9">
        <f>Table1[[#This Row],[In School Suspension Greater then 10 Days Count]]/Table1[[#This Row],[Total Student Suspensions Expulsions by Type and Length]]</f>
        <v>0</v>
      </c>
      <c r="I18" s="9">
        <f>Table1[[#This Row],[Out of School Suspension Less Than or Equal to 10 days Count]]/Table1[[#This Row],[Total Student Suspensions Expulsions by Type and Length]]</f>
        <v>0.66433566433566438</v>
      </c>
      <c r="J18" s="9">
        <f>Table1[[#This Row],[Out of School Suspension Greater then 10 Days Count]]/Table1[[#This Row],[Total Student Suspensions Expulsions by Type and Length]]</f>
        <v>6.993006993006993E-3</v>
      </c>
      <c r="K18" s="27"/>
      <c r="L18" s="30" t="s">
        <v>71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9.149999999999999" customHeight="1" x14ac:dyDescent="0.3">
      <c r="A19" s="7" t="s">
        <v>11</v>
      </c>
      <c r="B19">
        <v>4</v>
      </c>
      <c r="C19">
        <v>0</v>
      </c>
      <c r="D19" s="41">
        <v>13</v>
      </c>
      <c r="E19">
        <v>1</v>
      </c>
      <c r="F19" s="2">
        <f>SUM(Table1[[#This Row],[In School Suspension Less Than or Equal to 10 days Count]:[Out of School Suspension Greater then 10 Days Count]])</f>
        <v>18</v>
      </c>
      <c r="G19" s="9">
        <f>Table1[[#This Row],[In School Suspension Less Than or Equal to 10 days Count]]/Table1[[#This Row],[Total Student Suspensions Expulsions by Type and Length]]</f>
        <v>0.22222222222222221</v>
      </c>
      <c r="H19" s="9">
        <f>Table1[[#This Row],[In School Suspension Greater then 10 Days Count]]/Table1[[#This Row],[Total Student Suspensions Expulsions by Type and Length]]</f>
        <v>0</v>
      </c>
      <c r="I19" s="9">
        <f>Table1[[#This Row],[Out of School Suspension Less Than or Equal to 10 days Count]]/Table1[[#This Row],[Total Student Suspensions Expulsions by Type and Length]]</f>
        <v>0.72222222222222221</v>
      </c>
      <c r="J19" s="9">
        <f>Table1[[#This Row],[Out of School Suspension Greater then 10 Days Count]]/Table1[[#This Row],[Total Student Suspensions Expulsions by Type and Length]]</f>
        <v>5.5555555555555552E-2</v>
      </c>
      <c r="K19" s="27"/>
      <c r="L19" s="30" t="s">
        <v>71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9.149999999999999" customHeight="1" x14ac:dyDescent="0.3">
      <c r="A20" s="7" t="s">
        <v>12</v>
      </c>
      <c r="B20">
        <v>1</v>
      </c>
      <c r="C20">
        <v>0</v>
      </c>
      <c r="D20" s="41">
        <v>3</v>
      </c>
      <c r="E20">
        <v>0</v>
      </c>
      <c r="F20" s="2">
        <f>SUM(Table1[[#This Row],[In School Suspension Less Than or Equal to 10 days Count]:[Out of School Suspension Greater then 10 Days Count]])</f>
        <v>4</v>
      </c>
      <c r="G20" s="9">
        <f>Table1[[#This Row],[In School Suspension Less Than or Equal to 10 days Count]]/Table1[[#This Row],[Total Student Suspensions Expulsions by Type and Length]]</f>
        <v>0.25</v>
      </c>
      <c r="H20" s="9">
        <f>Table1[[#This Row],[In School Suspension Greater then 10 Days Count]]/Table1[[#This Row],[Total Student Suspensions Expulsions by Type and Length]]</f>
        <v>0</v>
      </c>
      <c r="I20" s="9">
        <f>Table1[[#This Row],[Out of School Suspension Less Than or Equal to 10 days Count]]/Table1[[#This Row],[Total Student Suspensions Expulsions by Type and Length]]</f>
        <v>0.75</v>
      </c>
      <c r="J20" s="9">
        <f>Table1[[#This Row],[Out of School Suspension Greater then 10 Days Count]]/Table1[[#This Row],[Total Student Suspensions Expulsions by Type and Length]]</f>
        <v>0</v>
      </c>
      <c r="K20" s="27"/>
      <c r="L20" s="30" t="s">
        <v>71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9.149999999999999" customHeight="1" x14ac:dyDescent="0.3">
      <c r="A21" s="18" t="s">
        <v>48</v>
      </c>
      <c r="B21" s="2">
        <v>1354</v>
      </c>
      <c r="C21" s="2">
        <f>SUBTOTAL(109,C8:C20)</f>
        <v>14</v>
      </c>
      <c r="D21" s="42">
        <v>2704</v>
      </c>
      <c r="E21" s="2">
        <v>113</v>
      </c>
      <c r="F21" s="3">
        <f>SUM(Table1[[#This Row],[In School Suspension Less Than or Equal to 10 days Count]:[Out of School Suspension Greater then 10 Days Count]])</f>
        <v>4185</v>
      </c>
      <c r="G21" s="15">
        <f>Table1[[#This Row],[In School Suspension Less Than or Equal to 10 days Count]]/Table1[[#This Row],[Total Student Suspensions Expulsions by Type and Length]]</f>
        <v>0.32353643966547191</v>
      </c>
      <c r="H21" s="15">
        <f>Table1[[#This Row],[In School Suspension Greater then 10 Days Count]]/Table1[[#This Row],[Total Student Suspensions Expulsions by Type and Length]]</f>
        <v>3.3452807646356035E-3</v>
      </c>
      <c r="I21" s="15">
        <f>Table1[[#This Row],[Out of School Suspension Less Than or Equal to 10 days Count]]/Table1[[#This Row],[Total Student Suspensions Expulsions by Type and Length]]</f>
        <v>0.64611708482676222</v>
      </c>
      <c r="J21" s="15">
        <f>Table1[[#This Row],[Out of School Suspension Greater then 10 Days Count]]/Table1[[#This Row],[Total Student Suspensions Expulsions by Type and Length]]</f>
        <v>2.7001194743130227E-2</v>
      </c>
      <c r="K21" s="27"/>
      <c r="L21" s="30" t="s">
        <v>71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2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82.5" x14ac:dyDescent="0.3">
      <c r="A23" s="12" t="s">
        <v>79</v>
      </c>
      <c r="B23" s="13" t="s">
        <v>36</v>
      </c>
      <c r="C23" s="13" t="s">
        <v>37</v>
      </c>
      <c r="D23" s="13" t="s">
        <v>40</v>
      </c>
      <c r="E23" s="13" t="s">
        <v>41</v>
      </c>
      <c r="F23" s="1" t="s">
        <v>47</v>
      </c>
      <c r="G23" s="13" t="s">
        <v>38</v>
      </c>
      <c r="H23" s="13" t="s">
        <v>39</v>
      </c>
      <c r="I23" s="13" t="s">
        <v>42</v>
      </c>
      <c r="J23" s="14" t="s">
        <v>43</v>
      </c>
      <c r="K23" s="27"/>
      <c r="L23" s="30" t="s">
        <v>71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28.15" customHeight="1" x14ac:dyDescent="0.3">
      <c r="A24" s="17" t="s">
        <v>18</v>
      </c>
      <c r="B24">
        <v>7</v>
      </c>
      <c r="C24">
        <v>0</v>
      </c>
      <c r="D24">
        <v>22</v>
      </c>
      <c r="E24">
        <v>1</v>
      </c>
      <c r="F24" s="2">
        <f>SUM(Table2[[#This Row],[In School Suspension Less Than or Equal to 10 days Count]:[Out of School Suspension Greater then 10 Days Count]])</f>
        <v>30</v>
      </c>
      <c r="G24" s="9">
        <f>Table2[[#This Row],[In School Suspension Less Than or Equal to 10 days Count]]/Table2[[#This Row],[Total Student Suspensions Expulsions by Type and Length]]</f>
        <v>0.23333333333333334</v>
      </c>
      <c r="H24" s="9">
        <f>Table2[[#This Row],[In School Suspension Greater then 10 Days Count]]/Table2[[#This Row],[Total Student Suspensions Expulsions by Type and Length]]</f>
        <v>0</v>
      </c>
      <c r="I24" s="9">
        <f>Table2[[#This Row],[Out of School Suspension Less Than or Equal to 10 days Count]]/Table2[[#This Row],[Total Student Suspensions Expulsions by Type and Length]]</f>
        <v>0.73333333333333328</v>
      </c>
      <c r="J24" s="9">
        <f>Table2[[#This Row],[Out of School Suspension Greater then 10 Days Count]]/Table2[[#This Row],[Total Student Suspensions Expulsions by Type and Length]]</f>
        <v>3.3333333333333333E-2</v>
      </c>
      <c r="K24" s="27"/>
      <c r="L24" s="30" t="s">
        <v>71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28.15" customHeight="1" x14ac:dyDescent="0.3">
      <c r="A25" s="17" t="s">
        <v>19</v>
      </c>
      <c r="B25">
        <v>5</v>
      </c>
      <c r="C25">
        <v>0</v>
      </c>
      <c r="D25">
        <v>10</v>
      </c>
      <c r="E25">
        <v>2</v>
      </c>
      <c r="F25" s="2">
        <f>SUM(Table2[[#This Row],[In School Suspension Less Than or Equal to 10 days Count]:[Out of School Suspension Greater then 10 Days Count]])</f>
        <v>17</v>
      </c>
      <c r="G25" s="9">
        <f>Table2[[#This Row],[In School Suspension Less Than or Equal to 10 days Count]]/Table2[[#This Row],[Total Student Suspensions Expulsions by Type and Length]]</f>
        <v>0.29411764705882354</v>
      </c>
      <c r="H25" s="9">
        <f>Table2[[#This Row],[In School Suspension Greater then 10 Days Count]]/Table2[[#This Row],[Total Student Suspensions Expulsions by Type and Length]]</f>
        <v>0</v>
      </c>
      <c r="I25" s="9">
        <f>Table2[[#This Row],[Out of School Suspension Less Than or Equal to 10 days Count]]/Table2[[#This Row],[Total Student Suspensions Expulsions by Type and Length]]</f>
        <v>0.58823529411764708</v>
      </c>
      <c r="J25" s="9">
        <f>Table2[[#This Row],[Out of School Suspension Greater then 10 Days Count]]/Table2[[#This Row],[Total Student Suspensions Expulsions by Type and Length]]</f>
        <v>0.11764705882352941</v>
      </c>
      <c r="K25" s="27"/>
      <c r="L25" s="30" t="s">
        <v>71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28.15" customHeight="1" x14ac:dyDescent="0.3">
      <c r="A26" s="17" t="s">
        <v>20</v>
      </c>
      <c r="B26">
        <v>55</v>
      </c>
      <c r="C26">
        <v>0</v>
      </c>
      <c r="D26">
        <v>161</v>
      </c>
      <c r="E26">
        <v>9</v>
      </c>
      <c r="F26" s="2">
        <f>SUM(Table2[[#This Row],[In School Suspension Less Than or Equal to 10 days Count]:[Out of School Suspension Greater then 10 Days Count]])</f>
        <v>225</v>
      </c>
      <c r="G26" s="9">
        <f>Table2[[#This Row],[In School Suspension Less Than or Equal to 10 days Count]]/Table2[[#This Row],[Total Student Suspensions Expulsions by Type and Length]]</f>
        <v>0.24444444444444444</v>
      </c>
      <c r="H26" s="9">
        <f>Table2[[#This Row],[In School Suspension Greater then 10 Days Count]]/Table2[[#This Row],[Total Student Suspensions Expulsions by Type and Length]]</f>
        <v>0</v>
      </c>
      <c r="I26" s="9">
        <f>Table2[[#This Row],[Out of School Suspension Less Than or Equal to 10 days Count]]/Table2[[#This Row],[Total Student Suspensions Expulsions by Type and Length]]</f>
        <v>0.7155555555555555</v>
      </c>
      <c r="J26" s="9">
        <f>Table2[[#This Row],[Out of School Suspension Greater then 10 Days Count]]/Table2[[#This Row],[Total Student Suspensions Expulsions by Type and Length]]</f>
        <v>0.04</v>
      </c>
      <c r="K26" s="27"/>
      <c r="L26" s="30" t="s">
        <v>71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28.15" customHeight="1" x14ac:dyDescent="0.3">
      <c r="A27" s="17" t="s">
        <v>21</v>
      </c>
      <c r="B27">
        <v>501</v>
      </c>
      <c r="C27">
        <v>6</v>
      </c>
      <c r="D27">
        <v>1033</v>
      </c>
      <c r="E27">
        <v>44</v>
      </c>
      <c r="F27" s="2">
        <f>SUM(Table2[[#This Row],[In School Suspension Less Than or Equal to 10 days Count]:[Out of School Suspension Greater then 10 Days Count]])</f>
        <v>1584</v>
      </c>
      <c r="G27" s="9">
        <f>Table2[[#This Row],[In School Suspension Less Than or Equal to 10 days Count]]/Table2[[#This Row],[Total Student Suspensions Expulsions by Type and Length]]</f>
        <v>0.31628787878787878</v>
      </c>
      <c r="H27" s="9">
        <f>Table2[[#This Row],[In School Suspension Greater then 10 Days Count]]/Table2[[#This Row],[Total Student Suspensions Expulsions by Type and Length]]</f>
        <v>3.787878787878788E-3</v>
      </c>
      <c r="I27" s="9">
        <f>Table2[[#This Row],[Out of School Suspension Less Than or Equal to 10 days Count]]/Table2[[#This Row],[Total Student Suspensions Expulsions by Type and Length]]</f>
        <v>0.65214646464646464</v>
      </c>
      <c r="J27" s="9">
        <f>Table2[[#This Row],[Out of School Suspension Greater then 10 Days Count]]/Table2[[#This Row],[Total Student Suspensions Expulsions by Type and Length]]</f>
        <v>2.7777777777777776E-2</v>
      </c>
      <c r="K27" s="27"/>
      <c r="L27" s="30" t="s">
        <v>71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28.15" customHeight="1" x14ac:dyDescent="0.3">
      <c r="A28" s="17" t="s">
        <v>22</v>
      </c>
      <c r="B28">
        <v>53</v>
      </c>
      <c r="C28">
        <v>1</v>
      </c>
      <c r="D28">
        <v>132</v>
      </c>
      <c r="E28">
        <v>2</v>
      </c>
      <c r="F28" s="2">
        <f>SUM(Table2[[#This Row],[In School Suspension Less Than or Equal to 10 days Count]:[Out of School Suspension Greater then 10 Days Count]])</f>
        <v>188</v>
      </c>
      <c r="G28" s="9">
        <f>Table2[[#This Row],[In School Suspension Less Than or Equal to 10 days Count]]/Table2[[#This Row],[Total Student Suspensions Expulsions by Type and Length]]</f>
        <v>0.28191489361702127</v>
      </c>
      <c r="H28" s="9">
        <f>Table2[[#This Row],[In School Suspension Greater then 10 Days Count]]/Table2[[#This Row],[Total Student Suspensions Expulsions by Type and Length]]</f>
        <v>5.3191489361702126E-3</v>
      </c>
      <c r="I28" s="9">
        <f>Table2[[#This Row],[Out of School Suspension Less Than or Equal to 10 days Count]]/Table2[[#This Row],[Total Student Suspensions Expulsions by Type and Length]]</f>
        <v>0.7021276595744681</v>
      </c>
      <c r="J28" s="9">
        <f>Table2[[#This Row],[Out of School Suspension Greater then 10 Days Count]]/Table2[[#This Row],[Total Student Suspensions Expulsions by Type and Length]]</f>
        <v>1.0638297872340425E-2</v>
      </c>
      <c r="K28" s="27"/>
      <c r="L28" s="30" t="s">
        <v>71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28.15" customHeight="1" x14ac:dyDescent="0.3">
      <c r="A29" s="17" t="s">
        <v>23</v>
      </c>
      <c r="B29">
        <v>4</v>
      </c>
      <c r="C29">
        <v>0</v>
      </c>
      <c r="D29">
        <v>2</v>
      </c>
      <c r="E29">
        <v>0</v>
      </c>
      <c r="F29" s="2">
        <f>SUM(Table2[[#This Row],[In School Suspension Less Than or Equal to 10 days Count]:[Out of School Suspension Greater then 10 Days Count]])</f>
        <v>6</v>
      </c>
      <c r="G29" s="9">
        <f>Table2[[#This Row],[In School Suspension Less Than or Equal to 10 days Count]]/Table2[[#This Row],[Total Student Suspensions Expulsions by Type and Length]]</f>
        <v>0.66666666666666663</v>
      </c>
      <c r="H29" s="9">
        <f>Table2[[#This Row],[In School Suspension Greater then 10 Days Count]]/Table2[[#This Row],[Total Student Suspensions Expulsions by Type and Length]]</f>
        <v>0</v>
      </c>
      <c r="I29" s="9">
        <f>Table2[[#This Row],[Out of School Suspension Less Than or Equal to 10 days Count]]/Table2[[#This Row],[Total Student Suspensions Expulsions by Type and Length]]</f>
        <v>0.33333333333333331</v>
      </c>
      <c r="J29" s="9">
        <f>Table2[[#This Row],[Out of School Suspension Greater then 10 Days Count]]/Table2[[#This Row],[Total Student Suspensions Expulsions by Type and Length]]</f>
        <v>0</v>
      </c>
      <c r="K29" s="27"/>
      <c r="L29" s="30" t="s">
        <v>71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28.15" customHeight="1" x14ac:dyDescent="0.3">
      <c r="A30" s="17" t="s">
        <v>24</v>
      </c>
      <c r="B30">
        <v>727</v>
      </c>
      <c r="C30">
        <v>7</v>
      </c>
      <c r="D30">
        <v>1342</v>
      </c>
      <c r="E30">
        <v>56</v>
      </c>
      <c r="F30" s="2">
        <f>SUM(Table2[[#This Row],[In School Suspension Less Than or Equal to 10 days Count]:[Out of School Suspension Greater then 10 Days Count]])</f>
        <v>2132</v>
      </c>
      <c r="G30" s="9">
        <f>Table2[[#This Row],[In School Suspension Less Than or Equal to 10 days Count]]/Table2[[#This Row],[Total Student Suspensions Expulsions by Type and Length]]</f>
        <v>0.34099437148217637</v>
      </c>
      <c r="H30" s="9">
        <f>Table2[[#This Row],[In School Suspension Greater then 10 Days Count]]/Table2[[#This Row],[Total Student Suspensions Expulsions by Type and Length]]</f>
        <v>3.2833020637898689E-3</v>
      </c>
      <c r="I30" s="9">
        <f>Table2[[#This Row],[Out of School Suspension Less Than or Equal to 10 days Count]]/Table2[[#This Row],[Total Student Suspensions Expulsions by Type and Length]]</f>
        <v>0.62945590994371481</v>
      </c>
      <c r="J30" s="9">
        <f>Table2[[#This Row],[Out of School Suspension Greater then 10 Days Count]]/Table2[[#This Row],[Total Student Suspensions Expulsions by Type and Length]]</f>
        <v>2.6266416510318951E-2</v>
      </c>
      <c r="K30" s="27"/>
      <c r="L30" s="30" t="s">
        <v>71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28.15" customHeight="1" x14ac:dyDescent="0.3">
      <c r="A31" s="18" t="s">
        <v>48</v>
      </c>
      <c r="B31" s="2">
        <f>SUBTOTAL(109,B24:B30)</f>
        <v>1352</v>
      </c>
      <c r="C31" s="2">
        <f>SUBTOTAL(109,C24:C30)</f>
        <v>14</v>
      </c>
      <c r="D31" s="2">
        <f>SUBTOTAL(109,D24:D30)</f>
        <v>2702</v>
      </c>
      <c r="E31" s="2">
        <f>SUBTOTAL(109,E24:E30)</f>
        <v>114</v>
      </c>
      <c r="F31" s="3">
        <f>SUM(Table2[[#This Row],[In School Suspension Less Than or Equal to 10 days Count]:[Out of School Suspension Greater then 10 Days Count]])</f>
        <v>4182</v>
      </c>
      <c r="G31" s="15">
        <f>Table2[[#This Row],[In School Suspension Less Than or Equal to 10 days Count]]/Table2[[#This Row],[Total Student Suspensions Expulsions by Type and Length]]</f>
        <v>0.32329029172644669</v>
      </c>
      <c r="H31" s="15">
        <f>Table2[[#This Row],[In School Suspension Greater then 10 Days Count]]/Table2[[#This Row],[Total Student Suspensions Expulsions by Type and Length]]</f>
        <v>3.3476805356288859E-3</v>
      </c>
      <c r="I31" s="15">
        <f>Table2[[#This Row],[Out of School Suspension Less Than or Equal to 10 days Count]]/Table2[[#This Row],[Total Student Suspensions Expulsions by Type and Length]]</f>
        <v>0.64610234337637495</v>
      </c>
      <c r="J31" s="15">
        <f>Table2[[#This Row],[Out of School Suspension Greater then 10 Days Count]]/Table2[[#This Row],[Total Student Suspensions Expulsions by Type and Length]]</f>
        <v>2.7259684361549498E-2</v>
      </c>
      <c r="K31" s="27"/>
      <c r="L31" s="30" t="s">
        <v>71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82.5" x14ac:dyDescent="0.3">
      <c r="A33" s="12" t="s">
        <v>80</v>
      </c>
      <c r="B33" s="13" t="s">
        <v>36</v>
      </c>
      <c r="C33" s="13" t="s">
        <v>37</v>
      </c>
      <c r="D33" s="13" t="s">
        <v>40</v>
      </c>
      <c r="E33" s="13" t="s">
        <v>41</v>
      </c>
      <c r="F33" s="1" t="s">
        <v>47</v>
      </c>
      <c r="G33" s="13" t="s">
        <v>38</v>
      </c>
      <c r="H33" s="13" t="s">
        <v>39</v>
      </c>
      <c r="I33" s="13" t="s">
        <v>42</v>
      </c>
      <c r="J33" s="14" t="s">
        <v>43</v>
      </c>
      <c r="K33" s="27"/>
      <c r="L33" s="30" t="s">
        <v>71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50.45" customHeight="1" x14ac:dyDescent="0.3">
      <c r="A34" s="7" t="s">
        <v>25</v>
      </c>
      <c r="B34">
        <v>244</v>
      </c>
      <c r="C34">
        <v>1</v>
      </c>
      <c r="D34">
        <v>518</v>
      </c>
      <c r="E34">
        <v>15</v>
      </c>
      <c r="F34" s="2">
        <f>SUM(Table3[[#This Row],[In School Suspension Less Than or Equal to 10 days Count]:[Out of School Suspension Greater then 10 Days Count]])</f>
        <v>778</v>
      </c>
      <c r="G34" s="9">
        <f>Table3[[#This Row],[In School Suspension Less Than or Equal to 10 days Count]]/Table3[[#This Row],[Total Student Suspensions Expulsions by Type and Length]]</f>
        <v>0.31362467866323906</v>
      </c>
      <c r="H34" s="9">
        <f>Table3[[#This Row],[In School Suspension Greater then 10 Days Count]]/Table3[[#This Row],[Total Student Suspensions Expulsions by Type and Length]]</f>
        <v>1.2853470437017994E-3</v>
      </c>
      <c r="I34" s="9">
        <f>Table3[[#This Row],[Out of School Suspension Less Than or Equal to 10 days Count]]/Table3[[#This Row],[Total Student Suspensions Expulsions by Type and Length]]</f>
        <v>0.66580976863753216</v>
      </c>
      <c r="J34" s="9">
        <f>Table3[[#This Row],[Out of School Suspension Greater then 10 Days Count]]/Table3[[#This Row],[Total Student Suspensions Expulsions by Type and Length]]</f>
        <v>1.9280205655526992E-2</v>
      </c>
      <c r="K34" s="27"/>
      <c r="L34" s="30" t="s">
        <v>71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50.45" customHeight="1" x14ac:dyDescent="0.3">
      <c r="A35" s="7" t="s">
        <v>26</v>
      </c>
      <c r="B35">
        <v>1108</v>
      </c>
      <c r="C35">
        <v>13</v>
      </c>
      <c r="D35">
        <v>2184</v>
      </c>
      <c r="E35">
        <v>99</v>
      </c>
      <c r="F35" s="2">
        <f>SUM(Table3[[#This Row],[In School Suspension Less Than or Equal to 10 days Count]:[Out of School Suspension Greater then 10 Days Count]])</f>
        <v>3404</v>
      </c>
      <c r="G35" s="9">
        <f>Table3[[#This Row],[In School Suspension Less Than or Equal to 10 days Count]]/Table3[[#This Row],[Total Student Suspensions Expulsions by Type and Length]]</f>
        <v>0.32549941245593422</v>
      </c>
      <c r="H35" s="9">
        <f>Table3[[#This Row],[In School Suspension Greater then 10 Days Count]]/Table3[[#This Row],[Total Student Suspensions Expulsions by Type and Length]]</f>
        <v>3.8190364277320798E-3</v>
      </c>
      <c r="I35" s="9">
        <f>Table3[[#This Row],[Out of School Suspension Less Than or Equal to 10 days Count]]/Table3[[#This Row],[Total Student Suspensions Expulsions by Type and Length]]</f>
        <v>0.6415981198589894</v>
      </c>
      <c r="J35" s="9">
        <f>Table3[[#This Row],[Out of School Suspension Greater then 10 Days Count]]/Table3[[#This Row],[Total Student Suspensions Expulsions by Type and Length]]</f>
        <v>2.9083431257344302E-2</v>
      </c>
      <c r="K35" s="27"/>
      <c r="L35" s="30" t="s">
        <v>71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50.45" customHeight="1" x14ac:dyDescent="0.3">
      <c r="A36" s="32" t="s">
        <v>48</v>
      </c>
      <c r="B36" s="2">
        <f>SUBTOTAL(109,B34:B35)</f>
        <v>1352</v>
      </c>
      <c r="C36" s="2">
        <f>SUBTOTAL(109,C34:C35)</f>
        <v>14</v>
      </c>
      <c r="D36" s="2">
        <f>SUBTOTAL(109,D34:D35)</f>
        <v>2702</v>
      </c>
      <c r="E36" s="2">
        <f>SUBTOTAL(109,E34:E35)</f>
        <v>114</v>
      </c>
      <c r="F36" s="3">
        <f>SUM(Table3[[#This Row],[In School Suspension Less Than or Equal to 10 days Count]:[Out of School Suspension Greater then 10 Days Count]])</f>
        <v>4182</v>
      </c>
      <c r="G36" s="15">
        <f>Table3[[#This Row],[In School Suspension Less Than or Equal to 10 days Count]]/Table3[[#This Row],[Total Student Suspensions Expulsions by Type and Length]]</f>
        <v>0.32329029172644669</v>
      </c>
      <c r="H36" s="15">
        <f>Table3[[#This Row],[In School Suspension Greater then 10 Days Count]]/Table3[[#This Row],[Total Student Suspensions Expulsions by Type and Length]]</f>
        <v>3.3476805356288859E-3</v>
      </c>
      <c r="I36" s="15">
        <f>Table3[[#This Row],[Out of School Suspension Less Than or Equal to 10 days Count]]/Table3[[#This Row],[Total Student Suspensions Expulsions by Type and Length]]</f>
        <v>0.64610234337637495</v>
      </c>
      <c r="J36" s="15">
        <f>Table3[[#This Row],[Out of School Suspension Greater then 10 Days Count]]/Table3[[#This Row],[Total Student Suspensions Expulsions by Type and Length]]</f>
        <v>2.7259684361549498E-2</v>
      </c>
      <c r="K36" s="27"/>
      <c r="L36" s="30" t="s">
        <v>71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82.5" x14ac:dyDescent="0.3">
      <c r="A38" s="13" t="s">
        <v>81</v>
      </c>
      <c r="B38" s="13" t="s">
        <v>36</v>
      </c>
      <c r="C38" s="13" t="s">
        <v>37</v>
      </c>
      <c r="D38" s="13" t="s">
        <v>40</v>
      </c>
      <c r="E38" s="13" t="s">
        <v>41</v>
      </c>
      <c r="F38" s="1" t="s">
        <v>47</v>
      </c>
      <c r="G38" s="13" t="s">
        <v>38</v>
      </c>
      <c r="H38" s="13" t="s">
        <v>39</v>
      </c>
      <c r="I38" s="13" t="s">
        <v>42</v>
      </c>
      <c r="J38" s="14" t="s">
        <v>43</v>
      </c>
      <c r="K38" s="27"/>
      <c r="L38" s="30" t="s">
        <v>71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ht="51.6" customHeight="1" x14ac:dyDescent="0.3">
      <c r="A39" s="19" t="s">
        <v>27</v>
      </c>
      <c r="B39">
        <v>173</v>
      </c>
      <c r="C39">
        <v>3</v>
      </c>
      <c r="D39">
        <v>341</v>
      </c>
      <c r="E39">
        <v>10</v>
      </c>
      <c r="F39" s="2">
        <f>SUM(Table4[[#This Row],[In School Suspension Less Than or Equal to 10 days Count]:[Out of School Suspension Greater then 10 Days Count]])</f>
        <v>527</v>
      </c>
      <c r="G39" s="9">
        <f>Table4[[#This Row],[In School Suspension Less Than or Equal to 10 days Count]]/Table4[[#This Row],[Total Student Suspensions Expulsions by Type and Length]]</f>
        <v>0.32827324478178366</v>
      </c>
      <c r="H39" s="9">
        <f>Table4[[#This Row],[In School Suspension Greater then 10 Days Count]]/Table4[[#This Row],[Total Student Suspensions Expulsions by Type and Length]]</f>
        <v>5.6925996204933585E-3</v>
      </c>
      <c r="I39" s="9">
        <f>Table4[[#This Row],[Out of School Suspension Less Than or Equal to 10 days Count]]/Table4[[#This Row],[Total Student Suspensions Expulsions by Type and Length]]</f>
        <v>0.6470588235294118</v>
      </c>
      <c r="J39" s="9">
        <f>Table4[[#This Row],[Out of School Suspension Greater then 10 Days Count]]/Table4[[#This Row],[Total Student Suspensions Expulsions by Type and Length]]</f>
        <v>1.8975332068311195E-2</v>
      </c>
      <c r="K39" s="27"/>
      <c r="L39" s="30" t="s">
        <v>71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</row>
    <row r="40" spans="1:22" ht="51.6" customHeight="1" x14ac:dyDescent="0.3">
      <c r="A40" s="19" t="s">
        <v>28</v>
      </c>
      <c r="B40">
        <v>1179</v>
      </c>
      <c r="C40">
        <v>11</v>
      </c>
      <c r="D40">
        <v>2361</v>
      </c>
      <c r="E40">
        <v>104</v>
      </c>
      <c r="F40" s="2">
        <f>SUM(Table4[[#This Row],[In School Suspension Less Than or Equal to 10 days Count]:[Out of School Suspension Greater then 10 Days Count]])</f>
        <v>3655</v>
      </c>
      <c r="G40" s="9">
        <f>Table4[[#This Row],[In School Suspension Less Than or Equal to 10 days Count]]/Table4[[#This Row],[Total Student Suspensions Expulsions by Type and Length]]</f>
        <v>0.32257181942544461</v>
      </c>
      <c r="H40" s="9">
        <f>Table4[[#This Row],[In School Suspension Greater then 10 Days Count]]/Table4[[#This Row],[Total Student Suspensions Expulsions by Type and Length]]</f>
        <v>3.0095759233926128E-3</v>
      </c>
      <c r="I40" s="9">
        <f>Table4[[#This Row],[Out of School Suspension Less Than or Equal to 10 days Count]]/Table4[[#This Row],[Total Student Suspensions Expulsions by Type and Length]]</f>
        <v>0.6459644322845417</v>
      </c>
      <c r="J40" s="9">
        <f>Table4[[#This Row],[Out of School Suspension Greater then 10 Days Count]]/Table4[[#This Row],[Total Student Suspensions Expulsions by Type and Length]]</f>
        <v>2.8454172366621067E-2</v>
      </c>
      <c r="K40" s="27"/>
      <c r="L40" s="30" t="s">
        <v>71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</row>
    <row r="41" spans="1:22" ht="51.6" customHeight="1" x14ac:dyDescent="0.3">
      <c r="A41" s="32" t="s">
        <v>48</v>
      </c>
      <c r="B41" s="2">
        <f>SUBTOTAL(109,B39:B40)</f>
        <v>1352</v>
      </c>
      <c r="C41" s="2">
        <f>SUBTOTAL(109,C39:C40)</f>
        <v>14</v>
      </c>
      <c r="D41" s="2">
        <f>SUBTOTAL(109,D39:D40)</f>
        <v>2702</v>
      </c>
      <c r="E41" s="2">
        <f>SUBTOTAL(109,E39:E40)</f>
        <v>114</v>
      </c>
      <c r="F41" s="3">
        <f>SUM(Table4[[#This Row],[In School Suspension Less Than or Equal to 10 days Count]:[Out of School Suspension Greater then 10 Days Count]])</f>
        <v>4182</v>
      </c>
      <c r="G41" s="15">
        <f>Table4[[#This Row],[In School Suspension Less Than or Equal to 10 days Count]]/Table4[[#This Row],[Total Student Suspensions Expulsions by Type and Length]]</f>
        <v>0.32329029172644669</v>
      </c>
      <c r="H41" s="15">
        <f>Table4[[#This Row],[In School Suspension Greater then 10 Days Count]]/Table4[[#This Row],[Total Student Suspensions Expulsions by Type and Length]]</f>
        <v>3.3476805356288859E-3</v>
      </c>
      <c r="I41" s="15">
        <f>Table4[[#This Row],[Out of School Suspension Less Than or Equal to 10 days Count]]/Table4[[#This Row],[Total Student Suspensions Expulsions by Type and Length]]</f>
        <v>0.64610234337637495</v>
      </c>
      <c r="J41" s="15">
        <f>Table4[[#This Row],[Out of School Suspension Greater then 10 Days Count]]/Table4[[#This Row],[Total Student Suspensions Expulsions by Type and Length]]</f>
        <v>2.7259684361549498E-2</v>
      </c>
      <c r="K41" s="27"/>
      <c r="L41" s="30" t="s">
        <v>71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2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2" x14ac:dyDescent="0.3">
      <c r="A43" s="26" t="s">
        <v>72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</sheetData>
  <mergeCells count="1">
    <mergeCell ref="A1:V1"/>
  </mergeCell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40"/>
  <sheetViews>
    <sheetView zoomScale="90" zoomScaleNormal="90" workbookViewId="0">
      <selection sqref="A1:S1"/>
    </sheetView>
  </sheetViews>
  <sheetFormatPr defaultColWidth="0" defaultRowHeight="16.5" zeroHeight="1" x14ac:dyDescent="0.3"/>
  <cols>
    <col min="1" max="1" width="42.625" customWidth="1"/>
    <col min="2" max="8" width="11.5" customWidth="1"/>
    <col min="9" max="20" width="8.875" customWidth="1"/>
    <col min="21" max="16384" width="8.875" hidden="1"/>
  </cols>
  <sheetData>
    <row r="1" spans="1:20" s="21" customFormat="1" ht="81.599999999999994" customHeight="1" x14ac:dyDescent="0.3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20"/>
    </row>
    <row r="2" spans="1:20" ht="14.45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4.45" x14ac:dyDescent="0.3">
      <c r="A3" s="27" t="s">
        <v>77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64.5" customHeight="1" x14ac:dyDescent="0.3">
      <c r="A4" s="1" t="s">
        <v>82</v>
      </c>
      <c r="B4" s="1" t="s">
        <v>50</v>
      </c>
      <c r="C4" s="1" t="s">
        <v>51</v>
      </c>
      <c r="D4" s="1" t="s">
        <v>52</v>
      </c>
      <c r="E4" s="1" t="s">
        <v>44</v>
      </c>
      <c r="F4" s="1" t="s">
        <v>53</v>
      </c>
      <c r="G4" s="1" t="s">
        <v>54</v>
      </c>
      <c r="H4" s="1" t="s">
        <v>55</v>
      </c>
      <c r="I4" s="27"/>
      <c r="J4" s="30" t="s">
        <v>71</v>
      </c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3">
      <c r="A5" s="7" t="s">
        <v>1</v>
      </c>
      <c r="B5">
        <v>111</v>
      </c>
      <c r="C5">
        <v>146</v>
      </c>
      <c r="D5">
        <v>3</v>
      </c>
      <c r="E5" s="2">
        <f>SUM(Table5[[#This Row],[One Day or Less Count]:[10 Days or Greater Count]])</f>
        <v>260</v>
      </c>
      <c r="F5" s="9">
        <f>Table5[[#This Row],[One Day or Less Count]]/Table5[[#This Row],[Total Number of Children Removed]]</f>
        <v>0.42692307692307691</v>
      </c>
      <c r="G5" s="9">
        <f>Table5[[#This Row],[2 to 10 Days Count]]/Table5[[#This Row],[Total Number of Children Removed]]</f>
        <v>0.56153846153846154</v>
      </c>
      <c r="H5" s="9">
        <f>Table5[[#This Row],[10 Days or Greater Count]]/Table5[[#This Row],[Total Number of Children Removed]]</f>
        <v>1.1538461538461539E-2</v>
      </c>
      <c r="I5" s="27"/>
      <c r="J5" s="30" t="s">
        <v>71</v>
      </c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x14ac:dyDescent="0.3">
      <c r="A6" s="7" t="s">
        <v>2</v>
      </c>
      <c r="B6" t="s">
        <v>100</v>
      </c>
      <c r="C6" t="s">
        <v>100</v>
      </c>
      <c r="D6" t="s">
        <v>100</v>
      </c>
      <c r="E6" s="2" t="s">
        <v>100</v>
      </c>
      <c r="F6" t="s">
        <v>100</v>
      </c>
      <c r="G6" t="s">
        <v>100</v>
      </c>
      <c r="H6" t="s">
        <v>100</v>
      </c>
      <c r="I6" s="27"/>
      <c r="J6" s="30" t="s">
        <v>71</v>
      </c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x14ac:dyDescent="0.3">
      <c r="A7" s="7" t="s">
        <v>3</v>
      </c>
      <c r="B7">
        <v>57</v>
      </c>
      <c r="C7">
        <v>62</v>
      </c>
      <c r="D7">
        <v>5</v>
      </c>
      <c r="E7" s="2">
        <f>SUM(Table5[[#This Row],[One Day or Less Count]:[10 Days or Greater Count]])</f>
        <v>124</v>
      </c>
      <c r="F7" s="9">
        <f>Table5[[#This Row],[One Day or Less Count]]/Table5[[#This Row],[Total Number of Children Removed]]</f>
        <v>0.45967741935483869</v>
      </c>
      <c r="G7" s="9">
        <f>Table5[[#This Row],[2 to 10 Days Count]]/Table5[[#This Row],[Total Number of Children Removed]]</f>
        <v>0.5</v>
      </c>
      <c r="H7" s="9">
        <f>Table5[[#This Row],[10 Days or Greater Count]]/Table5[[#This Row],[Total Number of Children Removed]]</f>
        <v>4.0322580645161289E-2</v>
      </c>
      <c r="I7" s="27"/>
      <c r="J7" s="30" t="s">
        <v>71</v>
      </c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x14ac:dyDescent="0.3">
      <c r="A8" s="7" t="s">
        <v>4</v>
      </c>
      <c r="B8">
        <v>239</v>
      </c>
      <c r="C8">
        <v>487</v>
      </c>
      <c r="D8">
        <v>45</v>
      </c>
      <c r="E8" s="2">
        <f>SUM(Table5[[#This Row],[One Day or Less Count]:[10 Days or Greater Count]])</f>
        <v>771</v>
      </c>
      <c r="F8" s="9">
        <f>Table5[[#This Row],[One Day or Less Count]]/Table5[[#This Row],[Total Number of Children Removed]]</f>
        <v>0.30998702983138782</v>
      </c>
      <c r="G8" s="9">
        <f>Table5[[#This Row],[2 to 10 Days Count]]/Table5[[#This Row],[Total Number of Children Removed]]</f>
        <v>0.63164721141374836</v>
      </c>
      <c r="H8" s="9">
        <f>Table5[[#This Row],[10 Days or Greater Count]]/Table5[[#This Row],[Total Number of Children Removed]]</f>
        <v>5.8365758754863814E-2</v>
      </c>
      <c r="I8" s="27"/>
      <c r="J8" s="30" t="s">
        <v>71</v>
      </c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x14ac:dyDescent="0.3">
      <c r="A9" s="7" t="s">
        <v>5</v>
      </c>
      <c r="B9">
        <v>7</v>
      </c>
      <c r="C9">
        <v>15</v>
      </c>
      <c r="D9">
        <v>0</v>
      </c>
      <c r="E9" s="2">
        <f>SUM(Table5[[#This Row],[One Day or Less Count]:[10 Days or Greater Count]])</f>
        <v>22</v>
      </c>
      <c r="F9" s="9">
        <f>Table5[[#This Row],[One Day or Less Count]]/Table5[[#This Row],[Total Number of Children Removed]]</f>
        <v>0.31818181818181818</v>
      </c>
      <c r="G9" s="9">
        <f>Table5[[#This Row],[2 to 10 Days Count]]/Table5[[#This Row],[Total Number of Children Removed]]</f>
        <v>0.68181818181818177</v>
      </c>
      <c r="H9" s="9">
        <f>Table5[[#This Row],[10 Days or Greater Count]]/Table5[[#This Row],[Total Number of Children Removed]]</f>
        <v>0</v>
      </c>
      <c r="I9" s="27"/>
      <c r="J9" s="30" t="s">
        <v>71</v>
      </c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x14ac:dyDescent="0.3">
      <c r="A10" s="7" t="s">
        <v>6</v>
      </c>
      <c r="B10">
        <v>26</v>
      </c>
      <c r="C10">
        <v>33</v>
      </c>
      <c r="D10">
        <v>4</v>
      </c>
      <c r="E10" s="2">
        <f>SUM(Table5[[#This Row],[One Day or Less Count]:[10 Days or Greater Count]])</f>
        <v>63</v>
      </c>
      <c r="F10" s="9">
        <f>Table5[[#This Row],[One Day or Less Count]]/Table5[[#This Row],[Total Number of Children Removed]]</f>
        <v>0.41269841269841268</v>
      </c>
      <c r="G10" s="9">
        <f>Table5[[#This Row],[2 to 10 Days Count]]/Table5[[#This Row],[Total Number of Children Removed]]</f>
        <v>0.52380952380952384</v>
      </c>
      <c r="H10" s="9">
        <f>Table5[[#This Row],[10 Days or Greater Count]]/Table5[[#This Row],[Total Number of Children Removed]]</f>
        <v>6.3492063492063489E-2</v>
      </c>
      <c r="I10" s="27"/>
      <c r="J10" s="30" t="s">
        <v>71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x14ac:dyDescent="0.3">
      <c r="A11" s="7" t="s">
        <v>7</v>
      </c>
      <c r="B11">
        <v>23</v>
      </c>
      <c r="C11">
        <v>24</v>
      </c>
      <c r="D11">
        <v>4</v>
      </c>
      <c r="E11" s="2">
        <f>SUM(Table5[[#This Row],[One Day or Less Count]:[10 Days or Greater Count]])</f>
        <v>51</v>
      </c>
      <c r="F11" s="9">
        <f>Table5[[#This Row],[One Day or Less Count]]/Table5[[#This Row],[Total Number of Children Removed]]</f>
        <v>0.45098039215686275</v>
      </c>
      <c r="G11" s="9">
        <f>Table5[[#This Row],[2 to 10 Days Count]]/Table5[[#This Row],[Total Number of Children Removed]]</f>
        <v>0.47058823529411764</v>
      </c>
      <c r="H11" s="9">
        <f>Table5[[#This Row],[10 Days or Greater Count]]/Table5[[#This Row],[Total Number of Children Removed]]</f>
        <v>7.8431372549019607E-2</v>
      </c>
      <c r="I11" s="27"/>
      <c r="J11" s="30" t="s">
        <v>71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x14ac:dyDescent="0.3">
      <c r="A12" s="7" t="s">
        <v>8</v>
      </c>
      <c r="B12">
        <v>299</v>
      </c>
      <c r="C12">
        <v>489</v>
      </c>
      <c r="D12">
        <v>31</v>
      </c>
      <c r="E12" s="2">
        <f>SUM(Table5[[#This Row],[One Day or Less Count]:[10 Days or Greater Count]])</f>
        <v>819</v>
      </c>
      <c r="F12" s="9">
        <f>Table5[[#This Row],[One Day or Less Count]]/Table5[[#This Row],[Total Number of Children Removed]]</f>
        <v>0.36507936507936506</v>
      </c>
      <c r="G12" s="9">
        <f>Table5[[#This Row],[2 to 10 Days Count]]/Table5[[#This Row],[Total Number of Children Removed]]</f>
        <v>0.59706959706959706</v>
      </c>
      <c r="H12" s="9">
        <f>Table5[[#This Row],[10 Days or Greater Count]]/Table5[[#This Row],[Total Number of Children Removed]]</f>
        <v>3.7851037851037848E-2</v>
      </c>
      <c r="I12" s="27"/>
      <c r="J12" s="30" t="s">
        <v>71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x14ac:dyDescent="0.3">
      <c r="A13" s="7" t="s">
        <v>13</v>
      </c>
      <c r="B13">
        <v>1</v>
      </c>
      <c r="C13">
        <v>3</v>
      </c>
      <c r="D13">
        <v>0</v>
      </c>
      <c r="E13" s="2">
        <f>SUM(Table5[[#This Row],[One Day or Less Count]:[10 Days or Greater Count]])</f>
        <v>4</v>
      </c>
      <c r="F13" s="9">
        <f>Table5[[#This Row],[One Day or Less Count]]/Table5[[#This Row],[Total Number of Children Removed]]</f>
        <v>0.25</v>
      </c>
      <c r="G13" s="9">
        <f>Table5[[#This Row],[2 to 10 Days Count]]/Table5[[#This Row],[Total Number of Children Removed]]</f>
        <v>0.75</v>
      </c>
      <c r="H13" s="9">
        <f>Table5[[#This Row],[10 Days or Greater Count]]/Table5[[#This Row],[Total Number of Children Removed]]</f>
        <v>0</v>
      </c>
      <c r="I13" s="27"/>
      <c r="J13" s="30" t="s">
        <v>71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x14ac:dyDescent="0.3">
      <c r="A14" s="7" t="s">
        <v>9</v>
      </c>
      <c r="B14">
        <v>522</v>
      </c>
      <c r="C14">
        <v>865</v>
      </c>
      <c r="D14">
        <v>54</v>
      </c>
      <c r="E14" s="2">
        <f>SUM(Table5[[#This Row],[One Day or Less Count]:[10 Days or Greater Count]])</f>
        <v>1441</v>
      </c>
      <c r="F14" s="9">
        <f>Table5[[#This Row],[One Day or Less Count]]/Table5[[#This Row],[Total Number of Children Removed]]</f>
        <v>0.36224843858431643</v>
      </c>
      <c r="G14" s="9">
        <f>Table5[[#This Row],[2 to 10 Days Count]]/Table5[[#This Row],[Total Number of Children Removed]]</f>
        <v>0.6002775850104094</v>
      </c>
      <c r="H14" s="9">
        <f>Table5[[#This Row],[10 Days or Greater Count]]/Table5[[#This Row],[Total Number of Children Removed]]</f>
        <v>3.7473976405274112E-2</v>
      </c>
      <c r="I14" s="27"/>
      <c r="J14" s="30" t="s">
        <v>71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x14ac:dyDescent="0.3">
      <c r="A15" s="7" t="s">
        <v>10</v>
      </c>
      <c r="B15">
        <v>52</v>
      </c>
      <c r="C15">
        <v>76</v>
      </c>
      <c r="D15">
        <v>1</v>
      </c>
      <c r="E15" s="2">
        <f>SUM(Table5[[#This Row],[One Day or Less Count]:[10 Days or Greater Count]])</f>
        <v>129</v>
      </c>
      <c r="F15" s="9">
        <f>Table5[[#This Row],[One Day or Less Count]]/Table5[[#This Row],[Total Number of Children Removed]]</f>
        <v>0.40310077519379844</v>
      </c>
      <c r="G15" s="9">
        <f>Table5[[#This Row],[2 to 10 Days Count]]/Table5[[#This Row],[Total Number of Children Removed]]</f>
        <v>0.58914728682170547</v>
      </c>
      <c r="H15" s="9">
        <f>Table5[[#This Row],[10 Days or Greater Count]]/Table5[[#This Row],[Total Number of Children Removed]]</f>
        <v>7.7519379844961239E-3</v>
      </c>
      <c r="I15" s="27"/>
      <c r="J15" s="30" t="s">
        <v>71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x14ac:dyDescent="0.3">
      <c r="A16" s="7" t="s">
        <v>11</v>
      </c>
      <c r="B16">
        <v>3</v>
      </c>
      <c r="C16">
        <v>12</v>
      </c>
      <c r="D16">
        <v>1</v>
      </c>
      <c r="E16" s="2">
        <f>SUM(Table5[[#This Row],[One Day or Less Count]:[10 Days or Greater Count]])</f>
        <v>16</v>
      </c>
      <c r="F16" s="9">
        <f>Table5[[#This Row],[One Day or Less Count]]/Table5[[#This Row],[Total Number of Children Removed]]</f>
        <v>0.1875</v>
      </c>
      <c r="G16" s="9">
        <f>Table5[[#This Row],[2 to 10 Days Count]]/Table5[[#This Row],[Total Number of Children Removed]]</f>
        <v>0.75</v>
      </c>
      <c r="H16" s="9">
        <f>Table5[[#This Row],[10 Days or Greater Count]]/Table5[[#This Row],[Total Number of Children Removed]]</f>
        <v>6.25E-2</v>
      </c>
      <c r="I16" s="27"/>
      <c r="J16" s="30" t="s">
        <v>71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x14ac:dyDescent="0.3">
      <c r="A17" s="7" t="s">
        <v>12</v>
      </c>
      <c r="B17">
        <v>1</v>
      </c>
      <c r="C17">
        <v>2</v>
      </c>
      <c r="D17">
        <v>0</v>
      </c>
      <c r="E17" s="2">
        <f>SUM(Table5[[#This Row],[One Day or Less Count]:[10 Days or Greater Count]])</f>
        <v>3</v>
      </c>
      <c r="F17" s="9">
        <f>Table5[[#This Row],[One Day or Less Count]]/Table5[[#This Row],[Total Number of Children Removed]]</f>
        <v>0.33333333333333331</v>
      </c>
      <c r="G17" s="9">
        <f>Table5[[#This Row],[2 to 10 Days Count]]/Table5[[#This Row],[Total Number of Children Removed]]</f>
        <v>0.66666666666666663</v>
      </c>
      <c r="H17" s="9">
        <f>Table5[[#This Row],[10 Days or Greater Count]]/Table5[[#This Row],[Total Number of Children Removed]]</f>
        <v>0</v>
      </c>
      <c r="I17" s="27"/>
      <c r="J17" s="30" t="s">
        <v>71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4.45" x14ac:dyDescent="0.3">
      <c r="A18" s="2" t="s">
        <v>56</v>
      </c>
      <c r="B18" s="2">
        <f>SUBTOTAL(109,B5:B17)</f>
        <v>1341</v>
      </c>
      <c r="C18" s="2">
        <f>SUBTOTAL(109,C5:C17)</f>
        <v>2214</v>
      </c>
      <c r="D18" s="2">
        <f>SUBTOTAL(109,D5:D17)</f>
        <v>148</v>
      </c>
      <c r="E18" s="3">
        <f>SUM(Table5[[#This Row],[One Day or Less Count]:[10 Days or Greater Count]])</f>
        <v>3703</v>
      </c>
      <c r="F18" s="15">
        <f>Table5[[#This Row],[One Day or Less Count]]/Table5[[#This Row],[Total Number of Children Removed]]</f>
        <v>0.36213880637321089</v>
      </c>
      <c r="G18" s="15">
        <f>Table5[[#This Row],[2 to 10 Days Count]]/Table5[[#This Row],[Total Number of Children Removed]]</f>
        <v>0.59789359978395895</v>
      </c>
      <c r="H18" s="15">
        <f>Table5[[#This Row],[10 Days or Greater Count]]/Table5[[#This Row],[Total Number of Children Removed]]</f>
        <v>3.9967593842830135E-2</v>
      </c>
      <c r="I18" s="27"/>
      <c r="J18" s="30" t="s">
        <v>71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4.4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63.75" customHeight="1" x14ac:dyDescent="0.3">
      <c r="A20" s="12" t="s">
        <v>83</v>
      </c>
      <c r="B20" s="13" t="s">
        <v>50</v>
      </c>
      <c r="C20" s="13" t="s">
        <v>51</v>
      </c>
      <c r="D20" s="13" t="s">
        <v>52</v>
      </c>
      <c r="E20" s="13" t="s">
        <v>44</v>
      </c>
      <c r="F20" s="13" t="s">
        <v>53</v>
      </c>
      <c r="G20" s="13" t="s">
        <v>54</v>
      </c>
      <c r="H20" s="14" t="s">
        <v>55</v>
      </c>
      <c r="I20" s="27"/>
      <c r="J20" s="30" t="s">
        <v>71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24" customHeight="1" x14ac:dyDescent="0.3">
      <c r="A21" s="17" t="s">
        <v>18</v>
      </c>
      <c r="B21">
        <v>9</v>
      </c>
      <c r="C21">
        <v>17</v>
      </c>
      <c r="D21">
        <v>1</v>
      </c>
      <c r="E21" s="2">
        <f>SUM(Table6[[#This Row],[One Day or Less Count]:[10 Days or Greater Count]])</f>
        <v>27</v>
      </c>
      <c r="F21" s="9">
        <f>Table6[[#This Row],[One Day or Less Count]]/Table6[[#This Row],[Total Number of Children Removed]]</f>
        <v>0.33333333333333331</v>
      </c>
      <c r="G21" s="9">
        <f>Table6[[#This Row],[2 to 10 Days Count]]/Table6[[#This Row],[Total Number of Children Removed]]</f>
        <v>0.62962962962962965</v>
      </c>
      <c r="H21" s="9">
        <f>Table6[[#This Row],[10 Days or Greater Count]]/Table6[[#This Row],[Total Number of Children Removed]]</f>
        <v>3.7037037037037035E-2</v>
      </c>
      <c r="I21" s="27"/>
      <c r="J21" s="30" t="s">
        <v>71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24" customHeight="1" x14ac:dyDescent="0.3">
      <c r="A22" s="17" t="s">
        <v>19</v>
      </c>
      <c r="B22">
        <v>7</v>
      </c>
      <c r="C22">
        <v>7</v>
      </c>
      <c r="D22">
        <v>2</v>
      </c>
      <c r="E22" s="2">
        <f>SUM(Table6[[#This Row],[One Day or Less Count]:[10 Days or Greater Count]])</f>
        <v>16</v>
      </c>
      <c r="F22" s="9">
        <f>Table6[[#This Row],[One Day or Less Count]]/Table6[[#This Row],[Total Number of Children Removed]]</f>
        <v>0.4375</v>
      </c>
      <c r="G22" s="9">
        <f>Table6[[#This Row],[2 to 10 Days Count]]/Table6[[#This Row],[Total Number of Children Removed]]</f>
        <v>0.4375</v>
      </c>
      <c r="H22" s="9">
        <f>Table6[[#This Row],[10 Days or Greater Count]]/Table6[[#This Row],[Total Number of Children Removed]]</f>
        <v>0.125</v>
      </c>
      <c r="I22" s="27"/>
      <c r="J22" s="30" t="s">
        <v>71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24" customHeight="1" x14ac:dyDescent="0.3">
      <c r="A23" s="17" t="s">
        <v>20</v>
      </c>
      <c r="B23">
        <v>81</v>
      </c>
      <c r="C23">
        <v>121</v>
      </c>
      <c r="D23">
        <v>10</v>
      </c>
      <c r="E23" s="2">
        <f>SUM(Table6[[#This Row],[One Day or Less Count]:[10 Days or Greater Count]])</f>
        <v>212</v>
      </c>
      <c r="F23" s="9">
        <f>Table6[[#This Row],[One Day or Less Count]]/Table6[[#This Row],[Total Number of Children Removed]]</f>
        <v>0.38207547169811323</v>
      </c>
      <c r="G23" s="9">
        <f>Table6[[#This Row],[2 to 10 Days Count]]/Table6[[#This Row],[Total Number of Children Removed]]</f>
        <v>0.57075471698113212</v>
      </c>
      <c r="H23" s="9">
        <f>Table6[[#This Row],[10 Days or Greater Count]]/Table6[[#This Row],[Total Number of Children Removed]]</f>
        <v>4.716981132075472E-2</v>
      </c>
      <c r="I23" s="27"/>
      <c r="J23" s="30" t="s">
        <v>71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24" customHeight="1" x14ac:dyDescent="0.3">
      <c r="A24" s="17" t="s">
        <v>21</v>
      </c>
      <c r="B24">
        <v>491</v>
      </c>
      <c r="C24">
        <v>861</v>
      </c>
      <c r="D24">
        <v>53</v>
      </c>
      <c r="E24" s="2">
        <f>SUM(Table6[[#This Row],[One Day or Less Count]:[10 Days or Greater Count]])</f>
        <v>1405</v>
      </c>
      <c r="F24" s="9">
        <f>Table6[[#This Row],[One Day or Less Count]]/Table6[[#This Row],[Total Number of Children Removed]]</f>
        <v>0.34946619217081848</v>
      </c>
      <c r="G24" s="9">
        <f>Table6[[#This Row],[2 to 10 Days Count]]/Table6[[#This Row],[Total Number of Children Removed]]</f>
        <v>0.61281138790035583</v>
      </c>
      <c r="H24" s="9">
        <f>Table6[[#This Row],[10 Days or Greater Count]]/Table6[[#This Row],[Total Number of Children Removed]]</f>
        <v>3.7722419928825621E-2</v>
      </c>
      <c r="I24" s="27"/>
      <c r="J24" s="30" t="s">
        <v>71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24" customHeight="1" x14ac:dyDescent="0.3">
      <c r="A25" s="17" t="s">
        <v>22</v>
      </c>
      <c r="B25">
        <v>60</v>
      </c>
      <c r="C25">
        <v>109</v>
      </c>
      <c r="D25">
        <v>4</v>
      </c>
      <c r="E25" s="2">
        <f>SUM(Table6[[#This Row],[One Day or Less Count]:[10 Days or Greater Count]])</f>
        <v>173</v>
      </c>
      <c r="F25" s="9">
        <f>Table6[[#This Row],[One Day or Less Count]]/Table6[[#This Row],[Total Number of Children Removed]]</f>
        <v>0.34682080924855491</v>
      </c>
      <c r="G25" s="9">
        <f>Table6[[#This Row],[2 to 10 Days Count]]/Table6[[#This Row],[Total Number of Children Removed]]</f>
        <v>0.63005780346820806</v>
      </c>
      <c r="H25" s="9">
        <f>Table6[[#This Row],[10 Days or Greater Count]]/Table6[[#This Row],[Total Number of Children Removed]]</f>
        <v>2.3121387283236993E-2</v>
      </c>
      <c r="I25" s="27"/>
      <c r="J25" s="30" t="s">
        <v>71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29.45" customHeight="1" x14ac:dyDescent="0.3">
      <c r="A26" s="17" t="s">
        <v>23</v>
      </c>
      <c r="B26">
        <v>2</v>
      </c>
      <c r="C26">
        <v>3</v>
      </c>
      <c r="D26">
        <v>0</v>
      </c>
      <c r="E26" s="2">
        <f>SUM(Table6[[#This Row],[One Day or Less Count]:[10 Days or Greater Count]])</f>
        <v>5</v>
      </c>
      <c r="F26" s="9">
        <f>Table6[[#This Row],[One Day or Less Count]]/Table6[[#This Row],[Total Number of Children Removed]]</f>
        <v>0.4</v>
      </c>
      <c r="G26" s="9">
        <f>Table6[[#This Row],[2 to 10 Days Count]]/Table6[[#This Row],[Total Number of Children Removed]]</f>
        <v>0.6</v>
      </c>
      <c r="H26" s="9">
        <f>Table6[[#This Row],[10 Days or Greater Count]]/Table6[[#This Row],[Total Number of Children Removed]]</f>
        <v>0</v>
      </c>
      <c r="I26" s="27"/>
      <c r="J26" s="30" t="s">
        <v>71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24" customHeight="1" x14ac:dyDescent="0.3">
      <c r="A27" s="17" t="s">
        <v>24</v>
      </c>
      <c r="B27">
        <v>691</v>
      </c>
      <c r="C27">
        <v>1096</v>
      </c>
      <c r="D27">
        <v>78</v>
      </c>
      <c r="E27" s="2">
        <f>SUM(Table6[[#This Row],[One Day or Less Count]:[10 Days or Greater Count]])</f>
        <v>1865</v>
      </c>
      <c r="F27" s="9">
        <f>Table6[[#This Row],[One Day or Less Count]]/Table6[[#This Row],[Total Number of Children Removed]]</f>
        <v>0.37050938337801609</v>
      </c>
      <c r="G27" s="9">
        <f>Table6[[#This Row],[2 to 10 Days Count]]/Table6[[#This Row],[Total Number of Children Removed]]</f>
        <v>0.58766756032171585</v>
      </c>
      <c r="H27" s="9">
        <f>Table6[[#This Row],[10 Days or Greater Count]]/Table6[[#This Row],[Total Number of Children Removed]]</f>
        <v>4.1823056300268099E-2</v>
      </c>
      <c r="I27" s="27"/>
      <c r="J27" s="30" t="s">
        <v>71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24" customHeight="1" x14ac:dyDescent="0.3">
      <c r="A28" s="8" t="s">
        <v>56</v>
      </c>
      <c r="B28" s="2">
        <f>SUBTOTAL(109,B21:B27)</f>
        <v>1341</v>
      </c>
      <c r="C28" s="2">
        <f>SUBTOTAL(109,C21:C27)</f>
        <v>2214</v>
      </c>
      <c r="D28" s="2">
        <f>SUBTOTAL(109,D21:D27)</f>
        <v>148</v>
      </c>
      <c r="E28" s="3">
        <f>SUM(Table6[[#This Row],[One Day or Less Count]:[10 Days or Greater Count]])</f>
        <v>3703</v>
      </c>
      <c r="F28" s="15">
        <f>Table6[[#This Row],[One Day or Less Count]]/Table6[[#This Row],[Total Number of Children Removed]]</f>
        <v>0.36213880637321089</v>
      </c>
      <c r="G28" s="15">
        <f>Table6[[#This Row],[2 to 10 Days Count]]/Table6[[#This Row],[Total Number of Children Removed]]</f>
        <v>0.59789359978395895</v>
      </c>
      <c r="H28" s="15">
        <f>Table6[[#This Row],[10 Days or Greater Count]]/Table6[[#This Row],[Total Number of Children Removed]]</f>
        <v>3.9967593842830135E-2</v>
      </c>
      <c r="I28" s="27"/>
      <c r="J28" s="30" t="s">
        <v>71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66" x14ac:dyDescent="0.3">
      <c r="A30" s="12" t="s">
        <v>84</v>
      </c>
      <c r="B30" s="13" t="s">
        <v>50</v>
      </c>
      <c r="C30" s="13" t="s">
        <v>51</v>
      </c>
      <c r="D30" s="13" t="s">
        <v>52</v>
      </c>
      <c r="E30" s="13" t="s">
        <v>44</v>
      </c>
      <c r="F30" s="13" t="s">
        <v>53</v>
      </c>
      <c r="G30" s="13" t="s">
        <v>54</v>
      </c>
      <c r="H30" s="14" t="s">
        <v>55</v>
      </c>
      <c r="I30" s="27"/>
      <c r="J30" s="30" t="s">
        <v>71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42" customHeight="1" x14ac:dyDescent="0.3">
      <c r="A31" s="7" t="s">
        <v>25</v>
      </c>
      <c r="B31">
        <v>247</v>
      </c>
      <c r="C31">
        <v>436</v>
      </c>
      <c r="D31">
        <v>20</v>
      </c>
      <c r="E31" s="2">
        <f>SUM(Table7[[#This Row],[One Day or Less Count]:[10 Days or Greater Count]])</f>
        <v>703</v>
      </c>
      <c r="F31" s="9">
        <f>Table7[[#This Row],[One Day or Less Count]]/Table7[[#This Row],[Total Number of Children Removed]]</f>
        <v>0.35135135135135137</v>
      </c>
      <c r="G31" s="9">
        <f>Table7[[#This Row],[2 to 10 Days Count]]/Table7[[#This Row],[Total Number of Children Removed]]</f>
        <v>0.62019914651493602</v>
      </c>
      <c r="H31" s="9">
        <f>Table7[[#This Row],[10 Days or Greater Count]]/Table7[[#This Row],[Total Number of Children Removed]]</f>
        <v>2.8449502133712661E-2</v>
      </c>
      <c r="I31" s="27"/>
      <c r="J31" s="30" t="s">
        <v>71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42" customHeight="1" x14ac:dyDescent="0.3">
      <c r="A32" s="7" t="s">
        <v>26</v>
      </c>
      <c r="B32">
        <v>1094</v>
      </c>
      <c r="C32">
        <v>1778</v>
      </c>
      <c r="D32">
        <v>128</v>
      </c>
      <c r="E32" s="2">
        <f>SUM(Table7[[#This Row],[One Day or Less Count]:[10 Days or Greater Count]])</f>
        <v>3000</v>
      </c>
      <c r="F32" s="9">
        <f>Table7[[#This Row],[One Day or Less Count]]/Table7[[#This Row],[Total Number of Children Removed]]</f>
        <v>0.36466666666666664</v>
      </c>
      <c r="G32" s="9">
        <f>Table7[[#This Row],[2 to 10 Days Count]]/Table7[[#This Row],[Total Number of Children Removed]]</f>
        <v>0.59266666666666667</v>
      </c>
      <c r="H32" s="9">
        <f>Table7[[#This Row],[10 Days or Greater Count]]/Table7[[#This Row],[Total Number of Children Removed]]</f>
        <v>4.2666666666666665E-2</v>
      </c>
      <c r="I32" s="27"/>
      <c r="J32" s="30" t="s">
        <v>71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42" customHeight="1" x14ac:dyDescent="0.3">
      <c r="A33" s="8" t="s">
        <v>56</v>
      </c>
      <c r="B33" s="2">
        <f>SUBTOTAL(109,B31:B32)</f>
        <v>1341</v>
      </c>
      <c r="C33" s="2">
        <f>SUBTOTAL(109,C31:C32)</f>
        <v>2214</v>
      </c>
      <c r="D33" s="2">
        <f>SUBTOTAL(109,D31:D32)</f>
        <v>148</v>
      </c>
      <c r="E33" s="3">
        <f>SUM(Table7[[#This Row],[One Day or Less Count]:[10 Days or Greater Count]])</f>
        <v>3703</v>
      </c>
      <c r="F33" s="15">
        <f>Table7[[#This Row],[One Day or Less Count]]/Table7[[#This Row],[Total Number of Children Removed]]</f>
        <v>0.36213880637321089</v>
      </c>
      <c r="G33" s="15">
        <f>Table7[[#This Row],[2 to 10 Days Count]]/Table7[[#This Row],[Total Number of Children Removed]]</f>
        <v>0.59789359978395895</v>
      </c>
      <c r="H33" s="15">
        <f>Table7[[#This Row],[10 Days or Greater Count]]/Table7[[#This Row],[Total Number of Children Removed]]</f>
        <v>3.9967593842830135E-2</v>
      </c>
      <c r="I33" s="27"/>
      <c r="J33" s="30" t="s">
        <v>71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66" x14ac:dyDescent="0.3">
      <c r="A35" s="12" t="s">
        <v>85</v>
      </c>
      <c r="B35" s="13" t="s">
        <v>50</v>
      </c>
      <c r="C35" s="13" t="s">
        <v>51</v>
      </c>
      <c r="D35" s="13" t="s">
        <v>52</v>
      </c>
      <c r="E35" s="13" t="s">
        <v>44</v>
      </c>
      <c r="F35" s="13" t="s">
        <v>53</v>
      </c>
      <c r="G35" s="13" t="s">
        <v>54</v>
      </c>
      <c r="H35" s="14" t="s">
        <v>55</v>
      </c>
      <c r="I35" s="27"/>
      <c r="J35" s="30" t="s">
        <v>71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45" customHeight="1" x14ac:dyDescent="0.3">
      <c r="A36" s="19" t="s">
        <v>27</v>
      </c>
      <c r="B36">
        <v>176</v>
      </c>
      <c r="C36">
        <v>281</v>
      </c>
      <c r="D36">
        <v>15</v>
      </c>
      <c r="E36" s="2">
        <f>SUM(Table8[[#This Row],[One Day or Less Count]:[10 Days or Greater Count]])</f>
        <v>472</v>
      </c>
      <c r="F36" s="9">
        <f>Table8[[#This Row],[One Day or Less Count]]/Table8[[#This Row],[Total Number of Children Removed]]</f>
        <v>0.3728813559322034</v>
      </c>
      <c r="G36" s="9">
        <f>Table8[[#This Row],[2 to 10 Days Count]]/Table8[[#This Row],[Total Number of Children Removed]]</f>
        <v>0.59533898305084743</v>
      </c>
      <c r="H36" s="9">
        <f>Table8[[#This Row],[10 Days or Greater Count]]/Table8[[#This Row],[Total Number of Children Removed]]</f>
        <v>3.1779661016949151E-2</v>
      </c>
      <c r="I36" s="27"/>
      <c r="J36" s="30" t="s">
        <v>71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45" customHeight="1" x14ac:dyDescent="0.3">
      <c r="A37" s="19" t="s">
        <v>28</v>
      </c>
      <c r="B37">
        <v>1165</v>
      </c>
      <c r="C37">
        <v>1933</v>
      </c>
      <c r="D37">
        <v>133</v>
      </c>
      <c r="E37" s="2">
        <f>SUM(Table8[[#This Row],[One Day or Less Count]:[10 Days or Greater Count]])</f>
        <v>3231</v>
      </c>
      <c r="F37" s="9">
        <f>Table8[[#This Row],[One Day or Less Count]]/Table8[[#This Row],[Total Number of Children Removed]]</f>
        <v>0.36056948313215725</v>
      </c>
      <c r="G37" s="9">
        <f>Table8[[#This Row],[2 to 10 Days Count]]/Table8[[#This Row],[Total Number of Children Removed]]</f>
        <v>0.59826679046734754</v>
      </c>
      <c r="H37" s="9">
        <f>Table8[[#This Row],[10 Days or Greater Count]]/Table8[[#This Row],[Total Number of Children Removed]]</f>
        <v>4.1163726400495204E-2</v>
      </c>
      <c r="I37" s="27"/>
      <c r="J37" s="30" t="s">
        <v>71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45" customHeight="1" x14ac:dyDescent="0.3">
      <c r="A38" s="8" t="s">
        <v>56</v>
      </c>
      <c r="B38" s="2">
        <f>SUBTOTAL(109,B36:B37)</f>
        <v>1341</v>
      </c>
      <c r="C38" s="2">
        <f>SUBTOTAL(109,C36:C37)</f>
        <v>2214</v>
      </c>
      <c r="D38" s="2">
        <f>SUBTOTAL(109,D36:D37)</f>
        <v>148</v>
      </c>
      <c r="E38" s="3">
        <f>SUM(Table8[[#This Row],[One Day or Less Count]:[10 Days or Greater Count]])</f>
        <v>3703</v>
      </c>
      <c r="F38" s="15">
        <f>Table8[[#This Row],[One Day or Less Count]]/Table8[[#This Row],[Total Number of Children Removed]]</f>
        <v>0.36213880637321089</v>
      </c>
      <c r="G38" s="15">
        <f>Table8[[#This Row],[2 to 10 Days Count]]/Table8[[#This Row],[Total Number of Children Removed]]</f>
        <v>0.59789359978395895</v>
      </c>
      <c r="H38" s="15">
        <f>Table8[[#This Row],[10 Days or Greater Count]]/Table8[[#This Row],[Total Number of Children Removed]]</f>
        <v>3.9967593842830135E-2</v>
      </c>
      <c r="I38" s="27"/>
      <c r="J38" s="30" t="s">
        <v>71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x14ac:dyDescent="0.3">
      <c r="A40" s="26" t="s">
        <v>72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</sheetData>
  <mergeCells count="1">
    <mergeCell ref="A1:S1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40"/>
  <sheetViews>
    <sheetView workbookViewId="0">
      <selection sqref="A1:N1"/>
    </sheetView>
  </sheetViews>
  <sheetFormatPr defaultColWidth="0" defaultRowHeight="16.5" zeroHeight="1" x14ac:dyDescent="0.3"/>
  <cols>
    <col min="1" max="1" width="50.5" customWidth="1"/>
    <col min="2" max="2" width="25.5" customWidth="1"/>
    <col min="3" max="5" width="14.875" customWidth="1"/>
    <col min="6" max="14" width="8.875" customWidth="1"/>
    <col min="15" max="20" width="0" hidden="1" customWidth="1"/>
    <col min="21" max="16384" width="8.875" hidden="1"/>
  </cols>
  <sheetData>
    <row r="1" spans="1:20" s="21" customFormat="1" ht="81" customHeight="1" x14ac:dyDescent="0.3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/>
      <c r="P1"/>
      <c r="Q1"/>
      <c r="R1"/>
      <c r="S1"/>
      <c r="T1"/>
    </row>
    <row r="2" spans="1:20" ht="14.45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0" ht="14.45" x14ac:dyDescent="0.3">
      <c r="A3" s="27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20" ht="46.5" customHeight="1" x14ac:dyDescent="0.3">
      <c r="A4" s="4" t="s">
        <v>86</v>
      </c>
      <c r="B4" s="1" t="s">
        <v>59</v>
      </c>
      <c r="C4" s="1" t="s">
        <v>60</v>
      </c>
      <c r="D4" s="1" t="s">
        <v>58</v>
      </c>
      <c r="E4" s="1" t="s">
        <v>61</v>
      </c>
      <c r="F4" s="27"/>
      <c r="G4" s="30" t="s">
        <v>71</v>
      </c>
      <c r="H4" s="27"/>
      <c r="I4" s="27"/>
      <c r="J4" s="27"/>
      <c r="K4" s="27"/>
      <c r="L4" s="27"/>
      <c r="M4" s="27"/>
      <c r="N4" s="27"/>
    </row>
    <row r="5" spans="1:20" ht="16.149999999999999" customHeight="1" x14ac:dyDescent="0.3">
      <c r="A5" s="7" t="s">
        <v>1</v>
      </c>
      <c r="B5">
        <v>416</v>
      </c>
      <c r="C5" s="15">
        <f>Table9[[#This Row],[Count of Removals]]/$B$18</f>
        <v>6.5989847715736044E-2</v>
      </c>
      <c r="D5">
        <v>260</v>
      </c>
      <c r="E5" s="22">
        <f>Table9[[#This Row],[Count of Removals]]/Table9[[#This Row],[Count of Students Removed]]</f>
        <v>1.6</v>
      </c>
      <c r="F5" s="27"/>
      <c r="G5" s="30" t="s">
        <v>71</v>
      </c>
      <c r="H5" s="27"/>
      <c r="I5" s="27"/>
      <c r="J5" s="27"/>
      <c r="K5" s="27"/>
      <c r="L5" s="27"/>
      <c r="M5" s="27"/>
      <c r="N5" s="27"/>
    </row>
    <row r="6" spans="1:20" ht="16.149999999999999" customHeight="1" x14ac:dyDescent="0.3">
      <c r="A6" s="7" t="s">
        <v>2</v>
      </c>
      <c r="B6" t="s">
        <v>100</v>
      </c>
      <c r="C6" s="15" t="s">
        <v>100</v>
      </c>
      <c r="D6" t="s">
        <v>100</v>
      </c>
      <c r="E6" s="22" t="s">
        <v>100</v>
      </c>
      <c r="F6" s="27"/>
      <c r="G6" s="30" t="s">
        <v>71</v>
      </c>
      <c r="H6" s="27"/>
      <c r="I6" s="27"/>
      <c r="J6" s="27"/>
      <c r="K6" s="27"/>
      <c r="L6" s="27"/>
      <c r="M6" s="27"/>
      <c r="N6" s="27"/>
    </row>
    <row r="7" spans="1:20" ht="16.149999999999999" customHeight="1" x14ac:dyDescent="0.3">
      <c r="A7" s="7" t="s">
        <v>3</v>
      </c>
      <c r="B7">
        <v>272</v>
      </c>
      <c r="C7" s="15">
        <f>Table9[[#This Row],[Count of Removals]]/$B$18</f>
        <v>4.3147208121827409E-2</v>
      </c>
      <c r="D7">
        <v>124</v>
      </c>
      <c r="E7" s="22">
        <f>Table9[[#This Row],[Count of Removals]]/Table9[[#This Row],[Count of Students Removed]]</f>
        <v>2.193548387096774</v>
      </c>
      <c r="F7" s="27"/>
      <c r="G7" s="30" t="s">
        <v>71</v>
      </c>
      <c r="H7" s="27"/>
      <c r="I7" s="27"/>
      <c r="J7" s="27"/>
      <c r="K7" s="27"/>
      <c r="L7" s="27"/>
      <c r="M7" s="27"/>
      <c r="N7" s="27"/>
    </row>
    <row r="8" spans="1:20" ht="16.149999999999999" customHeight="1" x14ac:dyDescent="0.3">
      <c r="A8" s="7" t="s">
        <v>4</v>
      </c>
      <c r="B8">
        <v>1508</v>
      </c>
      <c r="C8" s="15">
        <f>Table9[[#This Row],[Count of Removals]]/$B$18</f>
        <v>0.23921319796954316</v>
      </c>
      <c r="D8">
        <v>771</v>
      </c>
      <c r="E8" s="22">
        <f>Table9[[#This Row],[Count of Removals]]/Table9[[#This Row],[Count of Students Removed]]</f>
        <v>1.9559014267185473</v>
      </c>
      <c r="F8" s="27"/>
      <c r="G8" s="30" t="s">
        <v>71</v>
      </c>
      <c r="H8" s="27"/>
      <c r="I8" s="27"/>
      <c r="J8" s="27"/>
      <c r="K8" s="27"/>
      <c r="L8" s="27"/>
      <c r="M8" s="27"/>
      <c r="N8" s="27"/>
    </row>
    <row r="9" spans="1:20" ht="16.149999999999999" customHeight="1" x14ac:dyDescent="0.3">
      <c r="A9" s="7" t="s">
        <v>5</v>
      </c>
      <c r="B9">
        <v>32</v>
      </c>
      <c r="C9" s="15">
        <f>Table9[[#This Row],[Count of Removals]]/$B$18</f>
        <v>5.076142131979695E-3</v>
      </c>
      <c r="D9">
        <v>22</v>
      </c>
      <c r="E9" s="22">
        <f>Table9[[#This Row],[Count of Removals]]/Table9[[#This Row],[Count of Students Removed]]</f>
        <v>1.4545454545454546</v>
      </c>
      <c r="F9" s="27"/>
      <c r="G9" s="30" t="s">
        <v>71</v>
      </c>
      <c r="H9" s="27"/>
      <c r="I9" s="27"/>
      <c r="J9" s="27"/>
      <c r="K9" s="27"/>
      <c r="L9" s="27"/>
      <c r="M9" s="27"/>
      <c r="N9" s="27"/>
    </row>
    <row r="10" spans="1:20" ht="16.149999999999999" customHeight="1" x14ac:dyDescent="0.3">
      <c r="A10" s="7" t="s">
        <v>6</v>
      </c>
      <c r="B10">
        <v>91</v>
      </c>
      <c r="C10" s="15">
        <f>Table9[[#This Row],[Count of Removals]]/$B$18</f>
        <v>1.4435279187817259E-2</v>
      </c>
      <c r="D10">
        <v>63</v>
      </c>
      <c r="E10" s="22">
        <f>Table9[[#This Row],[Count of Removals]]/Table9[[#This Row],[Count of Students Removed]]</f>
        <v>1.4444444444444444</v>
      </c>
      <c r="F10" s="27"/>
      <c r="G10" s="30" t="s">
        <v>71</v>
      </c>
      <c r="H10" s="27"/>
      <c r="I10" s="27"/>
      <c r="J10" s="27"/>
      <c r="K10" s="27"/>
      <c r="L10" s="27"/>
      <c r="M10" s="27"/>
      <c r="N10" s="27"/>
    </row>
    <row r="11" spans="1:20" ht="16.149999999999999" customHeight="1" x14ac:dyDescent="0.3">
      <c r="A11" s="7" t="s">
        <v>7</v>
      </c>
      <c r="B11">
        <v>86</v>
      </c>
      <c r="C11" s="15">
        <f>Table9[[#This Row],[Count of Removals]]/$B$18</f>
        <v>1.3642131979695431E-2</v>
      </c>
      <c r="D11">
        <v>51</v>
      </c>
      <c r="E11" s="22">
        <f>Table9[[#This Row],[Count of Removals]]/Table9[[#This Row],[Count of Students Removed]]</f>
        <v>1.6862745098039216</v>
      </c>
      <c r="F11" s="27"/>
      <c r="G11" s="30" t="s">
        <v>71</v>
      </c>
      <c r="H11" s="27"/>
      <c r="I11" s="27"/>
      <c r="J11" s="27"/>
      <c r="K11" s="27"/>
      <c r="L11" s="27"/>
      <c r="M11" s="27"/>
      <c r="N11" s="27"/>
    </row>
    <row r="12" spans="1:20" ht="16.149999999999999" customHeight="1" x14ac:dyDescent="0.3">
      <c r="A12" s="7" t="s">
        <v>8</v>
      </c>
      <c r="B12">
        <v>1420</v>
      </c>
      <c r="C12" s="15">
        <f>Table9[[#This Row],[Count of Removals]]/$B$18</f>
        <v>0.22525380710659898</v>
      </c>
      <c r="D12">
        <v>819</v>
      </c>
      <c r="E12" s="22">
        <f>Table9[[#This Row],[Count of Removals]]/Table9[[#This Row],[Count of Students Removed]]</f>
        <v>1.7338217338217339</v>
      </c>
      <c r="F12" s="27"/>
      <c r="G12" s="30" t="s">
        <v>71</v>
      </c>
      <c r="H12" s="27"/>
      <c r="I12" s="27"/>
      <c r="J12" s="27"/>
      <c r="K12" s="27"/>
      <c r="L12" s="27"/>
      <c r="M12" s="27"/>
      <c r="N12" s="27"/>
    </row>
    <row r="13" spans="1:20" ht="16.149999999999999" customHeight="1" x14ac:dyDescent="0.3">
      <c r="A13" s="7" t="s">
        <v>13</v>
      </c>
      <c r="B13">
        <v>8</v>
      </c>
      <c r="C13" s="15">
        <f>Table9[[#This Row],[Count of Removals]]/$B$18</f>
        <v>1.2690355329949238E-3</v>
      </c>
      <c r="D13">
        <v>4</v>
      </c>
      <c r="E13" s="22">
        <f>Table9[[#This Row],[Count of Removals]]/Table9[[#This Row],[Count of Students Removed]]</f>
        <v>2</v>
      </c>
      <c r="F13" s="27"/>
      <c r="G13" s="30" t="s">
        <v>71</v>
      </c>
      <c r="H13" s="27"/>
      <c r="I13" s="27"/>
      <c r="J13" s="27"/>
      <c r="K13" s="27"/>
      <c r="L13" s="27"/>
      <c r="M13" s="27"/>
      <c r="N13" s="27"/>
    </row>
    <row r="14" spans="1:20" ht="16.149999999999999" customHeight="1" x14ac:dyDescent="0.3">
      <c r="A14" s="7" t="s">
        <v>9</v>
      </c>
      <c r="B14">
        <v>2225</v>
      </c>
      <c r="C14" s="15">
        <f>Table9[[#This Row],[Count of Removals]]/$B$18</f>
        <v>0.3529505076142132</v>
      </c>
      <c r="D14">
        <v>1441</v>
      </c>
      <c r="E14" s="22">
        <f>Table9[[#This Row],[Count of Removals]]/Table9[[#This Row],[Count of Students Removed]]</f>
        <v>1.5440666204024982</v>
      </c>
      <c r="F14" s="27"/>
      <c r="G14" s="30" t="s">
        <v>71</v>
      </c>
      <c r="H14" s="27"/>
      <c r="I14" s="27"/>
      <c r="J14" s="27"/>
      <c r="K14" s="27"/>
      <c r="L14" s="27"/>
      <c r="M14" s="27"/>
      <c r="N14" s="27"/>
    </row>
    <row r="15" spans="1:20" ht="16.149999999999999" customHeight="1" x14ac:dyDescent="0.3">
      <c r="A15" s="7" t="s">
        <v>10</v>
      </c>
      <c r="B15">
        <v>211</v>
      </c>
      <c r="C15" s="15">
        <f>Table9[[#This Row],[Count of Removals]]/$B$18</f>
        <v>3.3470812182741116E-2</v>
      </c>
      <c r="D15">
        <v>129</v>
      </c>
      <c r="E15" s="22">
        <f>Table9[[#This Row],[Count of Removals]]/Table9[[#This Row],[Count of Students Removed]]</f>
        <v>1.6356589147286822</v>
      </c>
      <c r="F15" s="27"/>
      <c r="G15" s="30" t="s">
        <v>71</v>
      </c>
      <c r="H15" s="27"/>
      <c r="I15" s="27"/>
      <c r="J15" s="27"/>
      <c r="K15" s="27"/>
      <c r="L15" s="27"/>
      <c r="M15" s="27"/>
      <c r="N15" s="27"/>
    </row>
    <row r="16" spans="1:20" ht="16.149999999999999" customHeight="1" x14ac:dyDescent="0.3">
      <c r="A16" s="7" t="s">
        <v>11</v>
      </c>
      <c r="B16">
        <v>31</v>
      </c>
      <c r="C16" s="15">
        <f>Table9[[#This Row],[Count of Removals]]/$B$18</f>
        <v>4.9175126903553299E-3</v>
      </c>
      <c r="D16">
        <v>16</v>
      </c>
      <c r="E16" s="22">
        <f>Table9[[#This Row],[Count of Removals]]/Table9[[#This Row],[Count of Students Removed]]</f>
        <v>1.9375</v>
      </c>
      <c r="F16" s="27"/>
      <c r="G16" s="30" t="s">
        <v>71</v>
      </c>
      <c r="H16" s="27"/>
      <c r="I16" s="27"/>
      <c r="J16" s="27"/>
      <c r="K16" s="27"/>
      <c r="L16" s="27"/>
      <c r="M16" s="27"/>
      <c r="N16" s="27"/>
    </row>
    <row r="17" spans="1:14" ht="16.149999999999999" customHeight="1" x14ac:dyDescent="0.3">
      <c r="A17" s="7" t="s">
        <v>12</v>
      </c>
      <c r="B17">
        <v>4</v>
      </c>
      <c r="C17" s="15">
        <f>Table9[[#This Row],[Count of Removals]]/$B$18</f>
        <v>6.3451776649746188E-4</v>
      </c>
      <c r="D17">
        <v>3</v>
      </c>
      <c r="E17" s="22">
        <f>Table9[[#This Row],[Count of Removals]]/Table9[[#This Row],[Count of Students Removed]]</f>
        <v>1.3333333333333333</v>
      </c>
      <c r="F17" s="27"/>
      <c r="G17" s="30" t="s">
        <v>71</v>
      </c>
      <c r="H17" s="27"/>
      <c r="I17" s="27"/>
      <c r="J17" s="27"/>
      <c r="K17" s="27"/>
      <c r="L17" s="27"/>
      <c r="M17" s="27"/>
      <c r="N17" s="27"/>
    </row>
    <row r="18" spans="1:14" ht="14.45" x14ac:dyDescent="0.3">
      <c r="A18" s="2" t="s">
        <v>0</v>
      </c>
      <c r="B18" s="2">
        <f>SUBTOTAL(109,B5:B17)</f>
        <v>6304</v>
      </c>
      <c r="C18" s="15">
        <f>Table9[[#This Row],[Count of Removals]]/$B$18</f>
        <v>1</v>
      </c>
      <c r="D18" s="2">
        <f>SUBTOTAL(109,D5:D17)</f>
        <v>3703</v>
      </c>
      <c r="E18" s="22">
        <f>Table9[[#This Row],[Count of Removals]]/Table9[[#This Row],[Count of Students Removed]]</f>
        <v>1.7024034566567647</v>
      </c>
      <c r="F18" s="27"/>
      <c r="G18" s="30" t="s">
        <v>71</v>
      </c>
      <c r="H18" s="27"/>
      <c r="I18" s="27"/>
      <c r="J18" s="27"/>
      <c r="K18" s="27"/>
      <c r="L18" s="27"/>
      <c r="M18" s="27"/>
      <c r="N18" s="27"/>
    </row>
    <row r="19" spans="1:14" ht="14.4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47.25" customHeight="1" x14ac:dyDescent="0.3">
      <c r="A20" s="12" t="s">
        <v>87</v>
      </c>
      <c r="B20" s="13" t="s">
        <v>59</v>
      </c>
      <c r="C20" s="13" t="s">
        <v>60</v>
      </c>
      <c r="D20" s="13" t="s">
        <v>58</v>
      </c>
      <c r="E20" s="14" t="s">
        <v>61</v>
      </c>
      <c r="F20" s="27"/>
      <c r="G20" s="30" t="s">
        <v>71</v>
      </c>
      <c r="H20" s="27"/>
      <c r="I20" s="27"/>
      <c r="J20" s="27"/>
      <c r="K20" s="27"/>
      <c r="L20" s="27"/>
      <c r="M20" s="27"/>
      <c r="N20" s="27"/>
    </row>
    <row r="21" spans="1:14" ht="22.9" customHeight="1" x14ac:dyDescent="0.3">
      <c r="A21" s="17" t="s">
        <v>18</v>
      </c>
      <c r="B21">
        <v>47</v>
      </c>
      <c r="C21" s="15">
        <f>Table10[[#This Row],[Count of Removals]]/$B$28</f>
        <v>7.4555837563451775E-3</v>
      </c>
      <c r="D21">
        <v>27</v>
      </c>
      <c r="E21" s="22">
        <f>Table10[[#This Row],[Count of Removals]]/Table10[[#This Row],[Count of Students Removed]]</f>
        <v>1.7407407407407407</v>
      </c>
      <c r="F21" s="27"/>
      <c r="G21" s="30" t="s">
        <v>71</v>
      </c>
      <c r="H21" s="27"/>
      <c r="I21" s="27"/>
      <c r="J21" s="27"/>
      <c r="K21" s="27"/>
      <c r="L21" s="27"/>
      <c r="M21" s="27"/>
      <c r="N21" s="27"/>
    </row>
    <row r="22" spans="1:14" ht="22.9" customHeight="1" x14ac:dyDescent="0.3">
      <c r="A22" s="17" t="s">
        <v>19</v>
      </c>
      <c r="B22">
        <v>22</v>
      </c>
      <c r="C22" s="15">
        <f>Table10[[#This Row],[Count of Removals]]/$B$28</f>
        <v>3.4898477157360407E-3</v>
      </c>
      <c r="D22">
        <v>16</v>
      </c>
      <c r="E22" s="22">
        <f>Table10[[#This Row],[Count of Removals]]/Table10[[#This Row],[Count of Students Removed]]</f>
        <v>1.375</v>
      </c>
      <c r="F22" s="27"/>
      <c r="G22" s="30" t="s">
        <v>71</v>
      </c>
      <c r="H22" s="27"/>
      <c r="I22" s="27"/>
      <c r="J22" s="27"/>
      <c r="K22" s="27"/>
      <c r="L22" s="27"/>
      <c r="M22" s="27"/>
      <c r="N22" s="27"/>
    </row>
    <row r="23" spans="1:14" ht="22.9" customHeight="1" x14ac:dyDescent="0.3">
      <c r="A23" s="17" t="s">
        <v>20</v>
      </c>
      <c r="B23">
        <v>344</v>
      </c>
      <c r="C23" s="15">
        <f>Table10[[#This Row],[Count of Removals]]/$B$28</f>
        <v>5.4568527918781723E-2</v>
      </c>
      <c r="D23">
        <v>212</v>
      </c>
      <c r="E23" s="22">
        <f>Table10[[#This Row],[Count of Removals]]/Table10[[#This Row],[Count of Students Removed]]</f>
        <v>1.6226415094339623</v>
      </c>
      <c r="F23" s="27"/>
      <c r="G23" s="30" t="s">
        <v>71</v>
      </c>
      <c r="H23" s="27"/>
      <c r="I23" s="27"/>
      <c r="J23" s="27"/>
      <c r="K23" s="27"/>
      <c r="L23" s="27"/>
      <c r="M23" s="27"/>
      <c r="N23" s="27"/>
    </row>
    <row r="24" spans="1:14" ht="22.9" customHeight="1" x14ac:dyDescent="0.3">
      <c r="A24" s="17" t="s">
        <v>21</v>
      </c>
      <c r="B24">
        <v>2348</v>
      </c>
      <c r="C24" s="15">
        <f>Table10[[#This Row],[Count of Removals]]/$B$28</f>
        <v>0.37246192893401014</v>
      </c>
      <c r="D24">
        <v>1405</v>
      </c>
      <c r="E24" s="22">
        <f>Table10[[#This Row],[Count of Removals]]/Table10[[#This Row],[Count of Students Removed]]</f>
        <v>1.6711743772241994</v>
      </c>
      <c r="F24" s="27"/>
      <c r="G24" s="30" t="s">
        <v>71</v>
      </c>
      <c r="H24" s="27"/>
      <c r="I24" s="27"/>
      <c r="J24" s="27"/>
      <c r="K24" s="27"/>
      <c r="L24" s="27"/>
      <c r="M24" s="27"/>
      <c r="N24" s="27"/>
    </row>
    <row r="25" spans="1:14" ht="22.9" customHeight="1" x14ac:dyDescent="0.3">
      <c r="A25" s="17" t="s">
        <v>22</v>
      </c>
      <c r="B25">
        <v>258</v>
      </c>
      <c r="C25" s="15">
        <f>Table10[[#This Row],[Count of Removals]]/$B$28</f>
        <v>4.0926395939086292E-2</v>
      </c>
      <c r="D25">
        <v>173</v>
      </c>
      <c r="E25" s="22">
        <f>Table10[[#This Row],[Count of Removals]]/Table10[[#This Row],[Count of Students Removed]]</f>
        <v>1.4913294797687862</v>
      </c>
      <c r="F25" s="27"/>
      <c r="G25" s="30" t="s">
        <v>71</v>
      </c>
      <c r="H25" s="27"/>
      <c r="I25" s="27"/>
      <c r="J25" s="27"/>
      <c r="K25" s="27"/>
      <c r="L25" s="27"/>
      <c r="M25" s="27"/>
      <c r="N25" s="27"/>
    </row>
    <row r="26" spans="1:14" ht="22.9" customHeight="1" x14ac:dyDescent="0.3">
      <c r="A26" s="17" t="s">
        <v>23</v>
      </c>
      <c r="B26">
        <v>11</v>
      </c>
      <c r="C26" s="15">
        <f>Table10[[#This Row],[Count of Removals]]/$B$28</f>
        <v>1.7449238578680203E-3</v>
      </c>
      <c r="D26">
        <v>5</v>
      </c>
      <c r="E26" s="22">
        <f>Table10[[#This Row],[Count of Removals]]/Table10[[#This Row],[Count of Students Removed]]</f>
        <v>2.2000000000000002</v>
      </c>
      <c r="F26" s="27"/>
      <c r="G26" s="30" t="s">
        <v>71</v>
      </c>
      <c r="H26" s="27"/>
      <c r="I26" s="27"/>
      <c r="J26" s="27"/>
      <c r="K26" s="27"/>
      <c r="L26" s="27"/>
      <c r="M26" s="27"/>
      <c r="N26" s="27"/>
    </row>
    <row r="27" spans="1:14" ht="22.9" customHeight="1" x14ac:dyDescent="0.3">
      <c r="A27" s="17" t="s">
        <v>24</v>
      </c>
      <c r="B27">
        <v>3274</v>
      </c>
      <c r="C27" s="15">
        <f>Table10[[#This Row],[Count of Removals]]/$B$28</f>
        <v>0.51935279187817263</v>
      </c>
      <c r="D27">
        <v>1865</v>
      </c>
      <c r="E27" s="22">
        <f>Table10[[#This Row],[Count of Removals]]/Table10[[#This Row],[Count of Students Removed]]</f>
        <v>1.7554959785522788</v>
      </c>
      <c r="F27" s="27"/>
      <c r="G27" s="30" t="s">
        <v>71</v>
      </c>
      <c r="H27" s="27"/>
      <c r="I27" s="27"/>
      <c r="J27" s="27"/>
      <c r="K27" s="27"/>
      <c r="L27" s="27"/>
      <c r="M27" s="27"/>
      <c r="N27" s="27"/>
    </row>
    <row r="28" spans="1:14" x14ac:dyDescent="0.3">
      <c r="A28" s="2" t="s">
        <v>0</v>
      </c>
      <c r="B28" s="2">
        <f>SUBTOTAL(109,B21:B27)</f>
        <v>6304</v>
      </c>
      <c r="C28" s="15">
        <f>Table10[[#This Row],[Count of Removals]]/$B$28</f>
        <v>1</v>
      </c>
      <c r="D28" s="2">
        <f t="shared" ref="D28" si="0">SUBTOTAL(109,D21:D27)</f>
        <v>3703</v>
      </c>
      <c r="E28" s="22">
        <f>Table10[[#This Row],[Count of Removals]]/Table10[[#This Row],[Count of Students Removed]]</f>
        <v>1.7024034566567647</v>
      </c>
      <c r="F28" s="27"/>
      <c r="G28" s="30" t="s">
        <v>71</v>
      </c>
      <c r="H28" s="27"/>
      <c r="I28" s="27"/>
      <c r="J28" s="27"/>
      <c r="K28" s="27"/>
      <c r="L28" s="27"/>
      <c r="M28" s="27"/>
      <c r="N28" s="27"/>
    </row>
    <row r="29" spans="1:14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49.15" customHeight="1" x14ac:dyDescent="0.3">
      <c r="A30" s="12" t="s">
        <v>88</v>
      </c>
      <c r="B30" s="13" t="s">
        <v>59</v>
      </c>
      <c r="C30" s="13" t="s">
        <v>60</v>
      </c>
      <c r="D30" s="13" t="s">
        <v>58</v>
      </c>
      <c r="E30" s="14" t="s">
        <v>61</v>
      </c>
      <c r="F30" s="27"/>
      <c r="G30" s="30" t="s">
        <v>71</v>
      </c>
      <c r="H30" s="27"/>
      <c r="I30" s="27"/>
      <c r="J30" s="27"/>
      <c r="K30" s="27"/>
      <c r="L30" s="27"/>
      <c r="M30" s="27"/>
      <c r="N30" s="27"/>
    </row>
    <row r="31" spans="1:14" ht="49.15" customHeight="1" x14ac:dyDescent="0.3">
      <c r="A31" s="7" t="s">
        <v>25</v>
      </c>
      <c r="B31">
        <v>1041</v>
      </c>
      <c r="C31" s="15">
        <f>Table11[[#This Row],[Count of Removals]]/$B$33</f>
        <v>0.16513324873096447</v>
      </c>
      <c r="D31" s="25">
        <v>703</v>
      </c>
      <c r="E31" s="22">
        <f>Table11[[#This Row],[Count of Removals]]/Table11[[#This Row],[Count of Students Removed]]</f>
        <v>1.4807965860597438</v>
      </c>
      <c r="F31" s="27"/>
      <c r="G31" s="30" t="s">
        <v>71</v>
      </c>
      <c r="H31" s="27"/>
      <c r="I31" s="27"/>
      <c r="J31" s="27"/>
      <c r="K31" s="27"/>
      <c r="L31" s="27"/>
      <c r="M31" s="27"/>
      <c r="N31" s="27"/>
    </row>
    <row r="32" spans="1:14" ht="49.15" customHeight="1" x14ac:dyDescent="0.3">
      <c r="A32" s="7" t="s">
        <v>26</v>
      </c>
      <c r="B32">
        <v>5263</v>
      </c>
      <c r="C32" s="15">
        <f>Table11[[#This Row],[Count of Removals]]/$B$33</f>
        <v>0.83486675126903553</v>
      </c>
      <c r="D32" s="25">
        <v>3000</v>
      </c>
      <c r="E32" s="22">
        <f>Table11[[#This Row],[Count of Removals]]/Table11[[#This Row],[Count of Students Removed]]</f>
        <v>1.7543333333333333</v>
      </c>
      <c r="F32" s="27"/>
      <c r="G32" s="30" t="s">
        <v>71</v>
      </c>
      <c r="H32" s="27"/>
      <c r="I32" s="27"/>
      <c r="J32" s="27"/>
      <c r="K32" s="27"/>
      <c r="L32" s="27"/>
      <c r="M32" s="27"/>
      <c r="N32" s="27"/>
    </row>
    <row r="33" spans="1:14" ht="49.15" customHeight="1" x14ac:dyDescent="0.3">
      <c r="A33" s="2" t="s">
        <v>0</v>
      </c>
      <c r="B33" s="2">
        <f>SUBTOTAL(109,B31:B32)</f>
        <v>6304</v>
      </c>
      <c r="C33" s="15">
        <f>Table11[[#This Row],[Count of Removals]]/$B$33</f>
        <v>1</v>
      </c>
      <c r="D33" s="2">
        <f t="shared" ref="D33" si="1">SUBTOTAL(109,D31:D32)</f>
        <v>3703</v>
      </c>
      <c r="E33" s="22">
        <f>Table11[[#This Row],[Count of Removals]]/Table11[[#This Row],[Count of Students Removed]]</f>
        <v>1.7024034566567647</v>
      </c>
      <c r="F33" s="27"/>
      <c r="G33" s="30" t="s">
        <v>71</v>
      </c>
      <c r="H33" s="27"/>
      <c r="I33" s="27"/>
      <c r="J33" s="27"/>
      <c r="K33" s="27"/>
      <c r="L33" s="27"/>
      <c r="M33" s="27"/>
      <c r="N33" s="27"/>
    </row>
    <row r="34" spans="1:14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48.6" customHeight="1" x14ac:dyDescent="0.3">
      <c r="A35" s="12" t="s">
        <v>89</v>
      </c>
      <c r="B35" s="13" t="s">
        <v>59</v>
      </c>
      <c r="C35" s="23" t="s">
        <v>60</v>
      </c>
      <c r="D35" s="23" t="s">
        <v>58</v>
      </c>
      <c r="E35" s="24" t="s">
        <v>61</v>
      </c>
      <c r="F35" s="27"/>
      <c r="G35" s="30" t="s">
        <v>71</v>
      </c>
      <c r="H35" s="27"/>
      <c r="I35" s="27"/>
      <c r="J35" s="27"/>
      <c r="K35" s="27"/>
      <c r="L35" s="27"/>
      <c r="M35" s="27"/>
      <c r="N35" s="27"/>
    </row>
    <row r="36" spans="1:14" ht="48.6" customHeight="1" x14ac:dyDescent="0.3">
      <c r="A36" s="19" t="s">
        <v>27</v>
      </c>
      <c r="B36">
        <v>742</v>
      </c>
      <c r="C36" s="15">
        <f>Table12[[#This Row],[Count of Removals]]/$B$38</f>
        <v>0.11770304568527919</v>
      </c>
      <c r="D36" s="39">
        <v>472</v>
      </c>
      <c r="E36" s="22">
        <f>Table12[[#This Row],[Count of Removals]]/Table12[[#This Row],[Count of Students Removed]]</f>
        <v>1.5720338983050848</v>
      </c>
      <c r="F36" s="27"/>
      <c r="G36" s="30" t="s">
        <v>71</v>
      </c>
      <c r="H36" s="27"/>
      <c r="I36" s="27"/>
      <c r="J36" s="27"/>
      <c r="K36" s="27"/>
      <c r="L36" s="27"/>
      <c r="M36" s="27"/>
      <c r="N36" s="27"/>
    </row>
    <row r="37" spans="1:14" ht="48.6" customHeight="1" x14ac:dyDescent="0.3">
      <c r="A37" s="19" t="s">
        <v>28</v>
      </c>
      <c r="B37">
        <v>5562</v>
      </c>
      <c r="C37" s="15">
        <f>Table12[[#This Row],[Count of Removals]]/$B$38</f>
        <v>0.88229695431472077</v>
      </c>
      <c r="D37" s="39">
        <v>3231</v>
      </c>
      <c r="E37" s="22">
        <f>Table12[[#This Row],[Count of Removals]]/Table12[[#This Row],[Count of Students Removed]]</f>
        <v>1.7214484679665738</v>
      </c>
      <c r="F37" s="27"/>
      <c r="G37" s="30" t="s">
        <v>71</v>
      </c>
      <c r="H37" s="27"/>
      <c r="I37" s="27"/>
      <c r="J37" s="27"/>
      <c r="K37" s="27"/>
      <c r="L37" s="27"/>
      <c r="M37" s="27"/>
      <c r="N37" s="27"/>
    </row>
    <row r="38" spans="1:14" ht="48.6" customHeight="1" x14ac:dyDescent="0.3">
      <c r="A38" s="2" t="s">
        <v>0</v>
      </c>
      <c r="B38" s="2">
        <f>SUBTOTAL(109,B36:B37)</f>
        <v>6304</v>
      </c>
      <c r="C38" s="15">
        <f>Table12[[#This Row],[Count of Removals]]/$B$38</f>
        <v>1</v>
      </c>
      <c r="D38" s="2">
        <f>SUBTOTAL(109,D36:D37)</f>
        <v>3703</v>
      </c>
      <c r="E38" s="22">
        <f>Table12[[#This Row],[Count of Removals]]/Table12[[#This Row],[Count of Students Removed]]</f>
        <v>1.7024034566567647</v>
      </c>
      <c r="F38" s="27"/>
      <c r="G38" s="30" t="s">
        <v>71</v>
      </c>
      <c r="H38" s="27"/>
      <c r="I38" s="27"/>
      <c r="J38" s="27"/>
      <c r="K38" s="27"/>
      <c r="L38" s="27"/>
      <c r="M38" s="27"/>
      <c r="N38" s="27"/>
    </row>
    <row r="39" spans="1:14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x14ac:dyDescent="0.3">
      <c r="A40" s="26" t="s">
        <v>72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</sheetData>
  <mergeCells count="1">
    <mergeCell ref="A1:N1"/>
  </mergeCells>
  <conditionalFormatting sqref="E5:E18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{9C8A921F-AA1B-487B-A943-D28A6CE14DA8}</x14:id>
        </ext>
      </extLst>
    </cfRule>
  </conditionalFormatting>
  <conditionalFormatting sqref="E21:E28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{CF857C65-AB28-4E7A-89FE-1D09652C787E}</x14:id>
        </ext>
      </extLst>
    </cfRule>
  </conditionalFormatting>
  <conditionalFormatting sqref="E31:E3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{576E96D1-8F16-454B-8C2F-A13B7D3E929C}</x14:id>
        </ext>
      </extLst>
    </cfRule>
  </conditionalFormatting>
  <conditionalFormatting sqref="E36:E3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{D999C1E0-EC6E-4427-A452-202337F1FB1B}</x14:id>
        </ext>
      </extLst>
    </cfRule>
  </conditionalFormatting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8A921F-AA1B-487B-A943-D28A6CE14DA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E5:E18</xm:sqref>
        </x14:conditionalFormatting>
        <x14:conditionalFormatting xmlns:xm="http://schemas.microsoft.com/office/excel/2006/main">
          <x14:cfRule type="dataBar" id="{CF857C65-AB28-4E7A-89FE-1D09652C787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E21:E28</xm:sqref>
        </x14:conditionalFormatting>
        <x14:conditionalFormatting xmlns:xm="http://schemas.microsoft.com/office/excel/2006/main">
          <x14:cfRule type="dataBar" id="{576E96D1-8F16-454B-8C2F-A13B7D3E929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E31:E33</xm:sqref>
        </x14:conditionalFormatting>
        <x14:conditionalFormatting xmlns:xm="http://schemas.microsoft.com/office/excel/2006/main">
          <x14:cfRule type="dataBar" id="{D999C1E0-EC6E-4427-A452-202337F1FB1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E36:E38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9"/>
  <sheetViews>
    <sheetView workbookViewId="0">
      <selection sqref="A1:N1"/>
    </sheetView>
  </sheetViews>
  <sheetFormatPr defaultColWidth="0" defaultRowHeight="16.5" zeroHeight="1" x14ac:dyDescent="0.3"/>
  <cols>
    <col min="1" max="1" width="57.125" customWidth="1"/>
    <col min="2" max="6" width="11.625" customWidth="1"/>
    <col min="7" max="13" width="8.875" customWidth="1"/>
    <col min="14" max="14" width="11.5" customWidth="1"/>
    <col min="15" max="16384" width="8.875" hidden="1"/>
  </cols>
  <sheetData>
    <row r="1" spans="1:14" ht="76.900000000000006" customHeight="1" x14ac:dyDescent="0.3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45" x14ac:dyDescent="0.3">
      <c r="A2" s="26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45" x14ac:dyDescent="0.3">
      <c r="A3" s="27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63" customHeight="1" x14ac:dyDescent="0.3">
      <c r="A4" s="4" t="s">
        <v>90</v>
      </c>
      <c r="B4" s="1" t="s">
        <v>66</v>
      </c>
      <c r="C4" s="1" t="s">
        <v>67</v>
      </c>
      <c r="D4" s="1" t="s">
        <v>65</v>
      </c>
      <c r="E4" s="1" t="s">
        <v>68</v>
      </c>
      <c r="F4" s="1" t="s">
        <v>69</v>
      </c>
      <c r="G4" s="27"/>
      <c r="H4" s="30" t="s">
        <v>71</v>
      </c>
      <c r="I4" s="27"/>
      <c r="J4" s="27"/>
      <c r="K4" s="27"/>
      <c r="L4" s="27"/>
      <c r="M4" s="27"/>
      <c r="N4" s="27"/>
    </row>
    <row r="5" spans="1:14" ht="63" customHeight="1" x14ac:dyDescent="0.3">
      <c r="A5" t="s">
        <v>63</v>
      </c>
      <c r="B5">
        <v>30</v>
      </c>
      <c r="C5">
        <v>12</v>
      </c>
      <c r="D5" s="2">
        <f>SUM(Table13[[#This Row],[Services Provided Count]:[Services not Provided Count]])</f>
        <v>42</v>
      </c>
      <c r="E5" s="9">
        <f>Table13[[#This Row],[Services Provided Count]]/Table13[[#This Row],[Total Students]]</f>
        <v>0.7142857142857143</v>
      </c>
      <c r="F5" s="9">
        <f>Table13[[#This Row],[Services not Provided Count]]/Table13[[#This Row],[Total Students]]</f>
        <v>0.2857142857142857</v>
      </c>
      <c r="G5" s="27"/>
      <c r="H5" s="30" t="s">
        <v>71</v>
      </c>
      <c r="I5" s="27"/>
      <c r="J5" s="27"/>
      <c r="K5" s="27"/>
      <c r="L5" s="27"/>
      <c r="M5" s="27"/>
      <c r="N5" s="27"/>
    </row>
    <row r="6" spans="1:14" ht="63" customHeight="1" x14ac:dyDescent="0.3">
      <c r="A6" t="s">
        <v>64</v>
      </c>
      <c r="B6">
        <v>72</v>
      </c>
      <c r="C6">
        <v>97</v>
      </c>
      <c r="D6" s="2">
        <f>SUM(Table13[[#This Row],[Services Provided Count]:[Services not Provided Count]])</f>
        <v>169</v>
      </c>
      <c r="E6" s="9">
        <f>Table13[[#This Row],[Services Provided Count]]/Table13[[#This Row],[Total Students]]</f>
        <v>0.42603550295857989</v>
      </c>
      <c r="F6" s="9">
        <f>Table13[[#This Row],[Services not Provided Count]]/Table13[[#This Row],[Total Students]]</f>
        <v>0.57396449704142016</v>
      </c>
      <c r="G6" s="27"/>
      <c r="H6" s="30" t="s">
        <v>71</v>
      </c>
      <c r="I6" s="27"/>
      <c r="J6" s="27"/>
      <c r="K6" s="27"/>
      <c r="L6" s="27"/>
      <c r="M6" s="27"/>
      <c r="N6" s="27"/>
    </row>
    <row r="7" spans="1:14" ht="63" customHeight="1" x14ac:dyDescent="0.3">
      <c r="A7" s="2" t="s">
        <v>65</v>
      </c>
      <c r="B7" s="2">
        <f>SUBTOTAL(109,B5:B6)</f>
        <v>102</v>
      </c>
      <c r="C7" s="2">
        <f>SUBTOTAL(109,C5:C6)</f>
        <v>109</v>
      </c>
      <c r="D7" s="3">
        <f>SUM(Table13[[#This Row],[Services Provided Count]:[Services not Provided Count]])</f>
        <v>211</v>
      </c>
      <c r="E7" s="15">
        <f>Table13[[#This Row],[Services Provided Count]]/Table13[[#This Row],[Total Students]]</f>
        <v>0.48341232227488151</v>
      </c>
      <c r="F7" s="15">
        <f>Table13[[#This Row],[Services not Provided Count]]/Table13[[#This Row],[Total Students]]</f>
        <v>0.51658767772511849</v>
      </c>
      <c r="G7" s="27"/>
      <c r="H7" s="30" t="s">
        <v>71</v>
      </c>
      <c r="I7" s="27"/>
      <c r="J7" s="27"/>
      <c r="K7" s="27"/>
      <c r="L7" s="27"/>
      <c r="M7" s="27"/>
      <c r="N7" s="27"/>
    </row>
    <row r="8" spans="1:14" ht="14.45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45" x14ac:dyDescent="0.3">
      <c r="A9" s="26" t="s">
        <v>72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</sheetData>
  <mergeCells count="1">
    <mergeCell ref="A1:N1"/>
  </mergeCell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40"/>
  <sheetViews>
    <sheetView zoomScale="90" zoomScaleNormal="90" workbookViewId="0">
      <selection sqref="A1:R1"/>
    </sheetView>
  </sheetViews>
  <sheetFormatPr defaultColWidth="0" defaultRowHeight="16.5" zeroHeight="1" x14ac:dyDescent="0.3"/>
  <cols>
    <col min="1" max="1" width="47" customWidth="1"/>
    <col min="2" max="6" width="15.125" customWidth="1"/>
    <col min="7" max="18" width="8.875" customWidth="1"/>
    <col min="19" max="16384" width="8.875" hidden="1"/>
  </cols>
  <sheetData>
    <row r="1" spans="1:18" ht="76.150000000000006" customHeight="1" x14ac:dyDescent="0.3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4.45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4.45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s="1" customFormat="1" ht="66" x14ac:dyDescent="0.3">
      <c r="A4" s="1" t="s">
        <v>91</v>
      </c>
      <c r="B4" s="1" t="s">
        <v>14</v>
      </c>
      <c r="C4" s="1" t="s">
        <v>15</v>
      </c>
      <c r="D4" s="1" t="s">
        <v>0</v>
      </c>
      <c r="E4" s="1" t="s">
        <v>16</v>
      </c>
      <c r="F4" s="1" t="s">
        <v>17</v>
      </c>
      <c r="G4" s="28"/>
      <c r="H4" s="29" t="s">
        <v>71</v>
      </c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x14ac:dyDescent="0.3">
      <c r="A5" t="s">
        <v>1</v>
      </c>
      <c r="B5">
        <v>0</v>
      </c>
      <c r="C5">
        <v>0</v>
      </c>
      <c r="D5" s="38"/>
      <c r="E5" s="33" t="e">
        <f>Table14[[#This Row],[Removal by School Personnel Count]]/Table14[[#This Row],[Total Removals]]</f>
        <v>#DIV/0!</v>
      </c>
      <c r="F5" s="33" t="e">
        <f>Table14[[#This Row],[Removal by Hearing Officer Count]]/Table14[[#This Row],[Total Removals]]</f>
        <v>#DIV/0!</v>
      </c>
      <c r="G5" s="27"/>
      <c r="H5" s="30" t="s">
        <v>71</v>
      </c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x14ac:dyDescent="0.3">
      <c r="A6" t="s">
        <v>2</v>
      </c>
      <c r="B6">
        <v>0</v>
      </c>
      <c r="C6">
        <v>0</v>
      </c>
      <c r="D6" s="38"/>
      <c r="E6" s="33" t="e">
        <f>Table14[[#This Row],[Removal by School Personnel Count]]/Table14[[#This Row],[Total Removals]]</f>
        <v>#DIV/0!</v>
      </c>
      <c r="F6" s="33" t="e">
        <f>Table14[[#This Row],[Removal by Hearing Officer Count]]/Table14[[#This Row],[Total Removals]]</f>
        <v>#DIV/0!</v>
      </c>
      <c r="G6" s="27"/>
      <c r="H6" s="30" t="s">
        <v>71</v>
      </c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x14ac:dyDescent="0.3">
      <c r="A7" t="s">
        <v>3</v>
      </c>
      <c r="B7">
        <v>0</v>
      </c>
      <c r="C7">
        <v>0</v>
      </c>
      <c r="D7" s="38"/>
      <c r="E7" s="33" t="e">
        <f>Table14[[#This Row],[Removal by School Personnel Count]]/Table14[[#This Row],[Total Removals]]</f>
        <v>#DIV/0!</v>
      </c>
      <c r="F7" s="33" t="e">
        <f>Table14[[#This Row],[Removal by Hearing Officer Count]]/Table14[[#This Row],[Total Removals]]</f>
        <v>#DIV/0!</v>
      </c>
      <c r="G7" s="27"/>
      <c r="H7" s="30" t="s">
        <v>71</v>
      </c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x14ac:dyDescent="0.3">
      <c r="A8" t="s">
        <v>4</v>
      </c>
      <c r="B8">
        <v>0</v>
      </c>
      <c r="C8">
        <v>0</v>
      </c>
      <c r="D8" s="38"/>
      <c r="E8" s="33" t="e">
        <f>Table14[[#This Row],[Removal by School Personnel Count]]/Table14[[#This Row],[Total Removals]]</f>
        <v>#DIV/0!</v>
      </c>
      <c r="F8" s="33" t="e">
        <f>Table14[[#This Row],[Removal by Hearing Officer Count]]/Table14[[#This Row],[Total Removals]]</f>
        <v>#DIV/0!</v>
      </c>
      <c r="G8" s="27"/>
      <c r="H8" s="30" t="s">
        <v>71</v>
      </c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x14ac:dyDescent="0.3">
      <c r="A9" t="s">
        <v>5</v>
      </c>
      <c r="B9">
        <v>0</v>
      </c>
      <c r="C9">
        <v>0</v>
      </c>
      <c r="D9" s="38"/>
      <c r="E9" s="33" t="e">
        <f>Table14[[#This Row],[Removal by School Personnel Count]]/Table14[[#This Row],[Total Removals]]</f>
        <v>#DIV/0!</v>
      </c>
      <c r="F9" s="33" t="e">
        <f>Table14[[#This Row],[Removal by Hearing Officer Count]]/Table14[[#This Row],[Total Removals]]</f>
        <v>#DIV/0!</v>
      </c>
      <c r="G9" s="27"/>
      <c r="H9" s="30" t="s">
        <v>71</v>
      </c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x14ac:dyDescent="0.3">
      <c r="A10" t="s">
        <v>6</v>
      </c>
      <c r="B10">
        <v>0</v>
      </c>
      <c r="C10">
        <v>0</v>
      </c>
      <c r="D10" s="38"/>
      <c r="E10" s="33" t="e">
        <f>Table14[[#This Row],[Removal by School Personnel Count]]/Table14[[#This Row],[Total Removals]]</f>
        <v>#DIV/0!</v>
      </c>
      <c r="F10" s="33" t="e">
        <f>Table14[[#This Row],[Removal by Hearing Officer Count]]/Table14[[#This Row],[Total Removals]]</f>
        <v>#DIV/0!</v>
      </c>
      <c r="G10" s="27"/>
      <c r="H10" s="30" t="s">
        <v>71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x14ac:dyDescent="0.3">
      <c r="A11" t="s">
        <v>7</v>
      </c>
      <c r="B11">
        <v>0</v>
      </c>
      <c r="C11">
        <v>0</v>
      </c>
      <c r="D11" s="38"/>
      <c r="E11" s="33" t="e">
        <f>Table14[[#This Row],[Removal by School Personnel Count]]/Table14[[#This Row],[Total Removals]]</f>
        <v>#DIV/0!</v>
      </c>
      <c r="F11" s="33" t="e">
        <f>Table14[[#This Row],[Removal by Hearing Officer Count]]/Table14[[#This Row],[Total Removals]]</f>
        <v>#DIV/0!</v>
      </c>
      <c r="G11" s="27"/>
      <c r="H11" s="30" t="s">
        <v>71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x14ac:dyDescent="0.3">
      <c r="A12" t="s">
        <v>8</v>
      </c>
      <c r="B12">
        <v>0</v>
      </c>
      <c r="C12">
        <v>0</v>
      </c>
      <c r="D12" s="38"/>
      <c r="E12" s="33" t="e">
        <f>Table14[[#This Row],[Removal by School Personnel Count]]/Table14[[#This Row],[Total Removals]]</f>
        <v>#DIV/0!</v>
      </c>
      <c r="F12" s="33" t="e">
        <f>Table14[[#This Row],[Removal by Hearing Officer Count]]/Table14[[#This Row],[Total Removals]]</f>
        <v>#DIV/0!</v>
      </c>
      <c r="G12" s="27"/>
      <c r="H12" s="30" t="s">
        <v>71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x14ac:dyDescent="0.3">
      <c r="A13" t="s">
        <v>13</v>
      </c>
      <c r="B13">
        <v>0</v>
      </c>
      <c r="C13">
        <v>0</v>
      </c>
      <c r="D13" s="38"/>
      <c r="E13" s="33" t="e">
        <f>Table14[[#This Row],[Removal by School Personnel Count]]/Table14[[#This Row],[Total Removals]]</f>
        <v>#DIV/0!</v>
      </c>
      <c r="F13" s="33" t="e">
        <f>Table14[[#This Row],[Removal by Hearing Officer Count]]/Table14[[#This Row],[Total Removals]]</f>
        <v>#DIV/0!</v>
      </c>
      <c r="G13" s="27"/>
      <c r="H13" s="30" t="s">
        <v>71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x14ac:dyDescent="0.3">
      <c r="A14" t="s">
        <v>9</v>
      </c>
      <c r="B14">
        <v>0</v>
      </c>
      <c r="C14">
        <v>0</v>
      </c>
      <c r="D14" s="38"/>
      <c r="E14" s="33" t="e">
        <f>Table14[[#This Row],[Removal by School Personnel Count]]/Table14[[#This Row],[Total Removals]]</f>
        <v>#DIV/0!</v>
      </c>
      <c r="F14" s="33" t="e">
        <f>Table14[[#This Row],[Removal by Hearing Officer Count]]/Table14[[#This Row],[Total Removals]]</f>
        <v>#DIV/0!</v>
      </c>
      <c r="G14" s="27"/>
      <c r="H14" s="30" t="s">
        <v>71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18" x14ac:dyDescent="0.3">
      <c r="A15" t="s">
        <v>10</v>
      </c>
      <c r="B15">
        <v>0</v>
      </c>
      <c r="C15">
        <v>0</v>
      </c>
      <c r="D15" s="38"/>
      <c r="E15" s="33" t="e">
        <f>Table14[[#This Row],[Removal by School Personnel Count]]/Table14[[#This Row],[Total Removals]]</f>
        <v>#DIV/0!</v>
      </c>
      <c r="F15" s="33" t="e">
        <f>Table14[[#This Row],[Removal by Hearing Officer Count]]/Table14[[#This Row],[Total Removals]]</f>
        <v>#DIV/0!</v>
      </c>
      <c r="G15" s="27"/>
      <c r="H15" s="30" t="s">
        <v>71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3">
      <c r="A16" t="s">
        <v>11</v>
      </c>
      <c r="B16">
        <v>0</v>
      </c>
      <c r="C16">
        <v>0</v>
      </c>
      <c r="D16" s="38"/>
      <c r="E16" s="33" t="e">
        <f>Table14[[#This Row],[Removal by School Personnel Count]]/Table14[[#This Row],[Total Removals]]</f>
        <v>#DIV/0!</v>
      </c>
      <c r="F16" s="33" t="e">
        <f>Table14[[#This Row],[Removal by Hearing Officer Count]]/Table14[[#This Row],[Total Removals]]</f>
        <v>#DIV/0!</v>
      </c>
      <c r="G16" s="27"/>
      <c r="H16" s="30" t="s">
        <v>71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3">
      <c r="A17" t="s">
        <v>12</v>
      </c>
      <c r="B17">
        <v>0</v>
      </c>
      <c r="C17">
        <v>0</v>
      </c>
      <c r="D17" s="38"/>
      <c r="E17" s="33" t="e">
        <f>Table14[[#This Row],[Removal by School Personnel Count]]/Table14[[#This Row],[Total Removals]]</f>
        <v>#DIV/0!</v>
      </c>
      <c r="F17" s="33" t="e">
        <f>Table14[[#This Row],[Removal by Hearing Officer Count]]/Table14[[#This Row],[Total Removals]]</f>
        <v>#DIV/0!</v>
      </c>
      <c r="G17" s="27"/>
      <c r="H17" s="30" t="s">
        <v>71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3">
      <c r="A18" s="2" t="s">
        <v>0</v>
      </c>
      <c r="B18" s="2">
        <f>SUBTOTAL(109,B5:B17)</f>
        <v>0</v>
      </c>
      <c r="C18" s="2">
        <f>SUBTOTAL(109,C5:C17)</f>
        <v>0</v>
      </c>
      <c r="D18" s="2"/>
      <c r="E18" s="15"/>
      <c r="F18" s="15"/>
      <c r="G18" s="27"/>
      <c r="H18" s="30" t="s">
        <v>71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4.4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66" x14ac:dyDescent="0.3">
      <c r="A20" s="12" t="s">
        <v>92</v>
      </c>
      <c r="B20" s="13" t="s">
        <v>14</v>
      </c>
      <c r="C20" s="13" t="s">
        <v>15</v>
      </c>
      <c r="D20" s="13" t="s">
        <v>0</v>
      </c>
      <c r="E20" s="13" t="s">
        <v>16</v>
      </c>
      <c r="F20" s="14" t="s">
        <v>17</v>
      </c>
      <c r="G20" s="27"/>
      <c r="H20" s="30" t="s">
        <v>71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28.15" customHeight="1" x14ac:dyDescent="0.3">
      <c r="A21" s="11" t="s">
        <v>18</v>
      </c>
      <c r="B21">
        <v>0</v>
      </c>
      <c r="C21">
        <v>0</v>
      </c>
      <c r="D21" s="38"/>
      <c r="E21" s="34" t="e">
        <f>Table15[[#This Row],[Removal by School Personnel Count]]/Table15[[#This Row],[Total Removals]]</f>
        <v>#DIV/0!</v>
      </c>
      <c r="F21" s="34" t="e">
        <f>Table15[[#This Row],[Removal by Hearing Officer Count]]/Table15[[#This Row],[Total Removals]]</f>
        <v>#DIV/0!</v>
      </c>
      <c r="G21" s="27"/>
      <c r="H21" s="30" t="s">
        <v>71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ht="28.15" customHeight="1" x14ac:dyDescent="0.3">
      <c r="A22" s="11" t="s">
        <v>19</v>
      </c>
      <c r="B22">
        <v>0</v>
      </c>
      <c r="C22">
        <v>0</v>
      </c>
      <c r="D22" s="38"/>
      <c r="E22" s="34" t="e">
        <f>Table15[[#This Row],[Removal by School Personnel Count]]/Table15[[#This Row],[Total Removals]]</f>
        <v>#DIV/0!</v>
      </c>
      <c r="F22" s="34" t="e">
        <f>Table15[[#This Row],[Removal by Hearing Officer Count]]/Table15[[#This Row],[Total Removals]]</f>
        <v>#DIV/0!</v>
      </c>
      <c r="G22" s="27"/>
      <c r="H22" s="30" t="s">
        <v>71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8.15" customHeight="1" x14ac:dyDescent="0.3">
      <c r="A23" s="11" t="s">
        <v>20</v>
      </c>
      <c r="B23">
        <v>0</v>
      </c>
      <c r="C23">
        <v>0</v>
      </c>
      <c r="D23" s="38"/>
      <c r="E23" s="34" t="e">
        <f>Table15[[#This Row],[Removal by School Personnel Count]]/Table15[[#This Row],[Total Removals]]</f>
        <v>#DIV/0!</v>
      </c>
      <c r="F23" s="34" t="e">
        <f>Table15[[#This Row],[Removal by Hearing Officer Count]]/Table15[[#This Row],[Total Removals]]</f>
        <v>#DIV/0!</v>
      </c>
      <c r="G23" s="27"/>
      <c r="H23" s="30" t="s">
        <v>71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28.15" customHeight="1" x14ac:dyDescent="0.3">
      <c r="A24" s="11" t="s">
        <v>21</v>
      </c>
      <c r="B24">
        <v>0</v>
      </c>
      <c r="C24">
        <v>0</v>
      </c>
      <c r="D24" s="38"/>
      <c r="E24" s="35" t="e">
        <f>Table15[[#This Row],[Removal by School Personnel Count]]/Table15[[#This Row],[Total Removals]]</f>
        <v>#DIV/0!</v>
      </c>
      <c r="F24" s="35" t="e">
        <f>Table15[[#This Row],[Removal by Hearing Officer Count]]/Table15[[#This Row],[Total Removals]]</f>
        <v>#DIV/0!</v>
      </c>
      <c r="G24" s="27"/>
      <c r="H24" s="30" t="s">
        <v>71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28.15" customHeight="1" x14ac:dyDescent="0.3">
      <c r="A25" s="11" t="s">
        <v>22</v>
      </c>
      <c r="B25">
        <v>0</v>
      </c>
      <c r="C25">
        <v>0</v>
      </c>
      <c r="D25" s="38"/>
      <c r="E25" s="35" t="e">
        <f>Table15[[#This Row],[Removal by School Personnel Count]]/Table15[[#This Row],[Total Removals]]</f>
        <v>#DIV/0!</v>
      </c>
      <c r="F25" s="35" t="e">
        <f>Table15[[#This Row],[Removal by Hearing Officer Count]]/Table15[[#This Row],[Total Removals]]</f>
        <v>#DIV/0!</v>
      </c>
      <c r="G25" s="27"/>
      <c r="H25" s="30" t="s">
        <v>71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28.15" customHeight="1" x14ac:dyDescent="0.3">
      <c r="A26" s="11" t="s">
        <v>23</v>
      </c>
      <c r="B26">
        <v>0</v>
      </c>
      <c r="C26">
        <v>0</v>
      </c>
      <c r="D26" s="38"/>
      <c r="E26" s="35" t="e">
        <f>Table15[[#This Row],[Removal by School Personnel Count]]/Table15[[#This Row],[Total Removals]]</f>
        <v>#DIV/0!</v>
      </c>
      <c r="F26" s="35" t="e">
        <f>Table15[[#This Row],[Removal by Hearing Officer Count]]/Table15[[#This Row],[Total Removals]]</f>
        <v>#DIV/0!</v>
      </c>
      <c r="G26" s="27"/>
      <c r="H26" s="30" t="s">
        <v>71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ht="28.15" customHeight="1" x14ac:dyDescent="0.3">
      <c r="A27" s="11" t="s">
        <v>24</v>
      </c>
      <c r="B27">
        <v>0</v>
      </c>
      <c r="C27">
        <v>0</v>
      </c>
      <c r="D27" s="38"/>
      <c r="E27" s="35" t="e">
        <f>Table15[[#This Row],[Removal by School Personnel Count]]/Table15[[#This Row],[Total Removals]]</f>
        <v>#DIV/0!</v>
      </c>
      <c r="F27" s="35" t="e">
        <f>Table15[[#This Row],[Removal by Hearing Officer Count]]/Table15[[#This Row],[Total Removals]]</f>
        <v>#DIV/0!</v>
      </c>
      <c r="G27" s="27"/>
      <c r="H27" s="30" t="s">
        <v>71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3">
      <c r="A28" s="10" t="s">
        <v>0</v>
      </c>
      <c r="B28" s="2">
        <v>0</v>
      </c>
      <c r="C28" s="2">
        <v>0</v>
      </c>
      <c r="D28" s="2"/>
      <c r="E28" s="15"/>
      <c r="F28" s="15"/>
      <c r="G28" s="27"/>
      <c r="H28" s="30" t="s">
        <v>71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78.599999999999994" customHeight="1" x14ac:dyDescent="0.3">
      <c r="A30" s="12" t="s">
        <v>93</v>
      </c>
      <c r="B30" s="13" t="s">
        <v>14</v>
      </c>
      <c r="C30" s="13" t="s">
        <v>15</v>
      </c>
      <c r="D30" s="13" t="s">
        <v>0</v>
      </c>
      <c r="E30" s="13" t="s">
        <v>16</v>
      </c>
      <c r="F30" s="14" t="s">
        <v>17</v>
      </c>
      <c r="G30" s="27"/>
      <c r="H30" s="30" t="s">
        <v>71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34.9" customHeight="1" x14ac:dyDescent="0.3">
      <c r="A31" t="s">
        <v>25</v>
      </c>
      <c r="B31">
        <v>0</v>
      </c>
      <c r="C31">
        <v>0</v>
      </c>
      <c r="D31" s="38"/>
      <c r="E31" s="36" t="e">
        <f>Table16[[#This Row],[Removal by School Personnel Count]]/Table16[[#This Row],[Total Removals]]</f>
        <v>#DIV/0!</v>
      </c>
      <c r="F31" s="33" t="e">
        <f>Table16[[#This Row],[Removal by Hearing Officer Count]]/Table16[[#This Row],[Total Removals]]</f>
        <v>#DIV/0!</v>
      </c>
      <c r="G31" s="27"/>
      <c r="H31" s="30" t="s">
        <v>71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34.9" customHeight="1" x14ac:dyDescent="0.3">
      <c r="A32" t="s">
        <v>26</v>
      </c>
      <c r="B32">
        <v>0</v>
      </c>
      <c r="C32">
        <v>0</v>
      </c>
      <c r="D32" s="38"/>
      <c r="E32" s="37" t="e">
        <f>Table16[[#This Row],[Removal by School Personnel Count]]/Table16[[#This Row],[Total Removals]]</f>
        <v>#DIV/0!</v>
      </c>
      <c r="F32" s="33" t="e">
        <f>Table16[[#This Row],[Removal by Hearing Officer Count]]/Table16[[#This Row],[Total Removals]]</f>
        <v>#DIV/0!</v>
      </c>
      <c r="G32" s="27"/>
      <c r="H32" s="30" t="s">
        <v>71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ht="34.9" customHeight="1" x14ac:dyDescent="0.3">
      <c r="A33" s="8" t="s">
        <v>0</v>
      </c>
      <c r="B33" s="2">
        <v>0</v>
      </c>
      <c r="C33" s="2">
        <v>0</v>
      </c>
      <c r="D33" s="2"/>
      <c r="E33" s="16"/>
      <c r="F33" s="15"/>
      <c r="G33" s="27"/>
      <c r="H33" s="30" t="s">
        <v>71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66" x14ac:dyDescent="0.3">
      <c r="A35" s="12" t="s">
        <v>94</v>
      </c>
      <c r="B35" s="5" t="s">
        <v>14</v>
      </c>
      <c r="C35" s="5" t="s">
        <v>15</v>
      </c>
      <c r="D35" s="5" t="s">
        <v>0</v>
      </c>
      <c r="E35" s="5" t="s">
        <v>16</v>
      </c>
      <c r="F35" s="6" t="s">
        <v>17</v>
      </c>
      <c r="G35" s="27"/>
      <c r="H35" s="30" t="s">
        <v>71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34.15" customHeight="1" x14ac:dyDescent="0.3">
      <c r="A36" t="s">
        <v>27</v>
      </c>
      <c r="B36">
        <v>0</v>
      </c>
      <c r="C36">
        <v>0</v>
      </c>
      <c r="D36" s="38"/>
      <c r="E36" s="33" t="e">
        <f>Table17[[#This Row],[Removal by School Personnel Count]]/Table17[[#This Row],[Total Removals]]</f>
        <v>#DIV/0!</v>
      </c>
      <c r="F36" s="33" t="e">
        <f>Table17[[#This Row],[Removal by Hearing Officer Count]]/Table17[[#This Row],[Total Removals]]</f>
        <v>#DIV/0!</v>
      </c>
      <c r="G36" s="27"/>
      <c r="H36" s="30" t="s">
        <v>71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34.15" customHeight="1" x14ac:dyDescent="0.3">
      <c r="A37" t="s">
        <v>28</v>
      </c>
      <c r="B37">
        <v>0</v>
      </c>
      <c r="C37">
        <v>0</v>
      </c>
      <c r="D37" s="38"/>
      <c r="E37" s="33" t="e">
        <f>Table17[[#This Row],[Removal by School Personnel Count]]/Table17[[#This Row],[Total Removals]]</f>
        <v>#DIV/0!</v>
      </c>
      <c r="F37" s="33" t="e">
        <f>Table17[[#This Row],[Removal by Hearing Officer Count]]/Table17[[#This Row],[Total Removals]]</f>
        <v>#DIV/0!</v>
      </c>
      <c r="G37" s="27"/>
      <c r="H37" s="30" t="s">
        <v>71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34.15" customHeight="1" x14ac:dyDescent="0.3">
      <c r="A38" s="8" t="s">
        <v>0</v>
      </c>
      <c r="B38" s="2">
        <v>0</v>
      </c>
      <c r="C38" s="2">
        <v>0</v>
      </c>
      <c r="D38" s="2"/>
      <c r="E38" s="15"/>
      <c r="F38" s="15"/>
      <c r="G38" s="27"/>
      <c r="H38" s="30" t="s">
        <v>71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4.45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4.45" x14ac:dyDescent="0.3">
      <c r="A40" s="26" t="s">
        <v>72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</sheetData>
  <mergeCells count="1">
    <mergeCell ref="A1:R1"/>
  </mergeCells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40"/>
  <sheetViews>
    <sheetView zoomScale="80" zoomScaleNormal="80" workbookViewId="0">
      <selection sqref="A1:R1"/>
    </sheetView>
  </sheetViews>
  <sheetFormatPr defaultColWidth="0" defaultRowHeight="16.5" zeroHeight="1" x14ac:dyDescent="0.3"/>
  <cols>
    <col min="1" max="1" width="57.125" customWidth="1"/>
    <col min="2" max="8" width="14.25" customWidth="1"/>
    <col min="9" max="19" width="8.875" customWidth="1"/>
    <col min="20" max="16384" width="8.875" hidden="1"/>
  </cols>
  <sheetData>
    <row r="1" spans="1:19" ht="93" customHeight="1" x14ac:dyDescent="0.3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31"/>
    </row>
    <row r="2" spans="1:19" ht="14.45" x14ac:dyDescent="0.3">
      <c r="A2" s="26" t="s">
        <v>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45" x14ac:dyDescent="0.3">
      <c r="A3" s="27" t="s">
        <v>49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49.5" x14ac:dyDescent="0.3">
      <c r="A4" s="4" t="s">
        <v>95</v>
      </c>
      <c r="B4" s="1" t="s">
        <v>30</v>
      </c>
      <c r="C4" s="1" t="s">
        <v>31</v>
      </c>
      <c r="D4" s="1" t="s">
        <v>32</v>
      </c>
      <c r="E4" s="1" t="s">
        <v>29</v>
      </c>
      <c r="F4" s="1" t="s">
        <v>33</v>
      </c>
      <c r="G4" s="1" t="s">
        <v>34</v>
      </c>
      <c r="H4" s="1" t="s">
        <v>35</v>
      </c>
      <c r="I4" s="27"/>
      <c r="J4" s="30" t="s">
        <v>71</v>
      </c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3">
      <c r="A5" s="7" t="s">
        <v>1</v>
      </c>
      <c r="B5">
        <v>0</v>
      </c>
      <c r="C5">
        <v>0</v>
      </c>
      <c r="D5">
        <v>0</v>
      </c>
      <c r="E5" s="38">
        <v>0</v>
      </c>
      <c r="F5" s="33" t="e">
        <f>Table18[[#This Row],[Removed for Drugs Count]]/Table18[[#This Row],[Total Removal Reasons]]</f>
        <v>#DIV/0!</v>
      </c>
      <c r="G5" s="33" t="e">
        <f>Table18[[#This Row],[Removed for Serious Bodily Injury Count]]/Table18[[#This Row],[Total Removal Reasons]]</f>
        <v>#DIV/0!</v>
      </c>
      <c r="H5" s="33" t="e">
        <f>Table18[[#This Row],[Removed for Weapon Count]]/Table18[[#This Row],[Total Removal Reasons]]</f>
        <v>#DIV/0!</v>
      </c>
      <c r="I5" s="27"/>
      <c r="J5" s="30" t="s">
        <v>71</v>
      </c>
      <c r="K5" s="27"/>
      <c r="L5" s="27"/>
      <c r="M5" s="27"/>
      <c r="N5" s="27"/>
      <c r="O5" s="27"/>
      <c r="P5" s="27"/>
      <c r="Q5" s="27"/>
      <c r="R5" s="27"/>
      <c r="S5" s="27"/>
    </row>
    <row r="6" spans="1:19" x14ac:dyDescent="0.3">
      <c r="A6" s="7" t="s">
        <v>2</v>
      </c>
      <c r="B6">
        <v>0</v>
      </c>
      <c r="C6">
        <v>0</v>
      </c>
      <c r="D6">
        <v>0</v>
      </c>
      <c r="E6" s="38">
        <v>0</v>
      </c>
      <c r="F6" s="33" t="e">
        <f>Table18[[#This Row],[Removed for Drugs Count]]/Table18[[#This Row],[Total Removal Reasons]]</f>
        <v>#DIV/0!</v>
      </c>
      <c r="G6" s="33" t="e">
        <f>Table18[[#This Row],[Removed for Serious Bodily Injury Count]]/Table18[[#This Row],[Total Removal Reasons]]</f>
        <v>#DIV/0!</v>
      </c>
      <c r="H6" s="33" t="e">
        <f>Table18[[#This Row],[Removed for Weapon Count]]/Table18[[#This Row],[Total Removal Reasons]]</f>
        <v>#DIV/0!</v>
      </c>
      <c r="I6" s="27"/>
      <c r="J6" s="30" t="s">
        <v>71</v>
      </c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3">
      <c r="A7" s="7" t="s">
        <v>3</v>
      </c>
      <c r="B7">
        <v>0</v>
      </c>
      <c r="C7">
        <v>0</v>
      </c>
      <c r="D7">
        <v>0</v>
      </c>
      <c r="E7" s="38">
        <v>0</v>
      </c>
      <c r="F7" s="33" t="e">
        <f>Table18[[#This Row],[Removed for Drugs Count]]/Table18[[#This Row],[Total Removal Reasons]]</f>
        <v>#DIV/0!</v>
      </c>
      <c r="G7" s="33" t="e">
        <f>Table18[[#This Row],[Removed for Serious Bodily Injury Count]]/Table18[[#This Row],[Total Removal Reasons]]</f>
        <v>#DIV/0!</v>
      </c>
      <c r="H7" s="33" t="e">
        <f>Table18[[#This Row],[Removed for Weapon Count]]/Table18[[#This Row],[Total Removal Reasons]]</f>
        <v>#DIV/0!</v>
      </c>
      <c r="I7" s="27"/>
      <c r="J7" s="30" t="s">
        <v>71</v>
      </c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3">
      <c r="A8" s="7" t="s">
        <v>4</v>
      </c>
      <c r="B8">
        <v>0</v>
      </c>
      <c r="C8">
        <v>0</v>
      </c>
      <c r="D8">
        <v>0</v>
      </c>
      <c r="E8" s="38">
        <v>0</v>
      </c>
      <c r="F8" s="33" t="e">
        <f>Table18[[#This Row],[Removed for Drugs Count]]/Table18[[#This Row],[Total Removal Reasons]]</f>
        <v>#DIV/0!</v>
      </c>
      <c r="G8" s="33" t="e">
        <f>Table18[[#This Row],[Removed for Serious Bodily Injury Count]]/Table18[[#This Row],[Total Removal Reasons]]</f>
        <v>#DIV/0!</v>
      </c>
      <c r="H8" s="33" t="e">
        <f>Table18[[#This Row],[Removed for Weapon Count]]/Table18[[#This Row],[Total Removal Reasons]]</f>
        <v>#DIV/0!</v>
      </c>
      <c r="I8" s="27"/>
      <c r="J8" s="30" t="s">
        <v>71</v>
      </c>
      <c r="K8" s="27"/>
      <c r="L8" s="27"/>
      <c r="M8" s="27"/>
      <c r="N8" s="27"/>
      <c r="O8" s="27"/>
      <c r="P8" s="27"/>
      <c r="Q8" s="27"/>
      <c r="R8" s="27"/>
      <c r="S8" s="27"/>
    </row>
    <row r="9" spans="1:19" x14ac:dyDescent="0.3">
      <c r="A9" s="7" t="s">
        <v>5</v>
      </c>
      <c r="B9">
        <v>0</v>
      </c>
      <c r="C9">
        <v>0</v>
      </c>
      <c r="D9">
        <v>0</v>
      </c>
      <c r="E9" s="38">
        <v>0</v>
      </c>
      <c r="F9" s="33" t="e">
        <f>Table18[[#This Row],[Removed for Drugs Count]]/Table18[[#This Row],[Total Removal Reasons]]</f>
        <v>#DIV/0!</v>
      </c>
      <c r="G9" s="33" t="e">
        <f>Table18[[#This Row],[Removed for Serious Bodily Injury Count]]/Table18[[#This Row],[Total Removal Reasons]]</f>
        <v>#DIV/0!</v>
      </c>
      <c r="H9" s="33" t="e">
        <f>Table18[[#This Row],[Removed for Weapon Count]]/Table18[[#This Row],[Total Removal Reasons]]</f>
        <v>#DIV/0!</v>
      </c>
      <c r="I9" s="27"/>
      <c r="J9" s="30" t="s">
        <v>71</v>
      </c>
      <c r="K9" s="27"/>
      <c r="L9" s="27"/>
      <c r="M9" s="27"/>
      <c r="N9" s="27"/>
      <c r="O9" s="27"/>
      <c r="P9" s="27"/>
      <c r="Q9" s="27"/>
      <c r="R9" s="27"/>
      <c r="S9" s="27"/>
    </row>
    <row r="10" spans="1:19" x14ac:dyDescent="0.3">
      <c r="A10" s="7" t="s">
        <v>6</v>
      </c>
      <c r="B10">
        <v>0</v>
      </c>
      <c r="C10">
        <v>0</v>
      </c>
      <c r="D10">
        <v>0</v>
      </c>
      <c r="E10" s="38">
        <v>0</v>
      </c>
      <c r="F10" s="33" t="e">
        <f>Table18[[#This Row],[Removed for Drugs Count]]/Table18[[#This Row],[Total Removal Reasons]]</f>
        <v>#DIV/0!</v>
      </c>
      <c r="G10" s="33" t="e">
        <f>Table18[[#This Row],[Removed for Serious Bodily Injury Count]]/Table18[[#This Row],[Total Removal Reasons]]</f>
        <v>#DIV/0!</v>
      </c>
      <c r="H10" s="33" t="e">
        <f>Table18[[#This Row],[Removed for Weapon Count]]/Table18[[#This Row],[Total Removal Reasons]]</f>
        <v>#DIV/0!</v>
      </c>
      <c r="I10" s="27"/>
      <c r="J10" s="30" t="s">
        <v>71</v>
      </c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3">
      <c r="A11" s="7" t="s">
        <v>7</v>
      </c>
      <c r="B11">
        <v>0</v>
      </c>
      <c r="C11">
        <v>0</v>
      </c>
      <c r="D11">
        <v>0</v>
      </c>
      <c r="E11" s="38">
        <v>0</v>
      </c>
      <c r="F11" s="33" t="e">
        <f>Table18[[#This Row],[Removed for Drugs Count]]/Table18[[#This Row],[Total Removal Reasons]]</f>
        <v>#DIV/0!</v>
      </c>
      <c r="G11" s="33" t="e">
        <f>Table18[[#This Row],[Removed for Serious Bodily Injury Count]]/Table18[[#This Row],[Total Removal Reasons]]</f>
        <v>#DIV/0!</v>
      </c>
      <c r="H11" s="33" t="e">
        <f>Table18[[#This Row],[Removed for Weapon Count]]/Table18[[#This Row],[Total Removal Reasons]]</f>
        <v>#DIV/0!</v>
      </c>
      <c r="I11" s="27"/>
      <c r="J11" s="30" t="s">
        <v>71</v>
      </c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3">
      <c r="A12" s="7" t="s">
        <v>8</v>
      </c>
      <c r="B12">
        <v>0</v>
      </c>
      <c r="C12">
        <v>0</v>
      </c>
      <c r="D12">
        <v>0</v>
      </c>
      <c r="E12" s="38">
        <v>0</v>
      </c>
      <c r="F12" s="33" t="e">
        <f>Table18[[#This Row],[Removed for Drugs Count]]/Table18[[#This Row],[Total Removal Reasons]]</f>
        <v>#DIV/0!</v>
      </c>
      <c r="G12" s="33" t="e">
        <f>Table18[[#This Row],[Removed for Serious Bodily Injury Count]]/Table18[[#This Row],[Total Removal Reasons]]</f>
        <v>#DIV/0!</v>
      </c>
      <c r="H12" s="33" t="e">
        <f>Table18[[#This Row],[Removed for Weapon Count]]/Table18[[#This Row],[Total Removal Reasons]]</f>
        <v>#DIV/0!</v>
      </c>
      <c r="I12" s="27"/>
      <c r="J12" s="30" t="s">
        <v>71</v>
      </c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3">
      <c r="A13" s="7" t="s">
        <v>13</v>
      </c>
      <c r="B13">
        <v>0</v>
      </c>
      <c r="C13">
        <v>0</v>
      </c>
      <c r="D13">
        <v>0</v>
      </c>
      <c r="E13" s="38">
        <v>0</v>
      </c>
      <c r="F13" s="33" t="e">
        <f>Table18[[#This Row],[Removed for Drugs Count]]/Table18[[#This Row],[Total Removal Reasons]]</f>
        <v>#DIV/0!</v>
      </c>
      <c r="G13" s="33" t="e">
        <f>Table18[[#This Row],[Removed for Serious Bodily Injury Count]]/Table18[[#This Row],[Total Removal Reasons]]</f>
        <v>#DIV/0!</v>
      </c>
      <c r="H13" s="33" t="e">
        <f>Table18[[#This Row],[Removed for Weapon Count]]/Table18[[#This Row],[Total Removal Reasons]]</f>
        <v>#DIV/0!</v>
      </c>
      <c r="I13" s="27"/>
      <c r="J13" s="30" t="s">
        <v>71</v>
      </c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3">
      <c r="A14" s="7" t="s">
        <v>9</v>
      </c>
      <c r="B14">
        <v>0</v>
      </c>
      <c r="C14">
        <v>0</v>
      </c>
      <c r="D14">
        <v>0</v>
      </c>
      <c r="E14" s="38">
        <v>0</v>
      </c>
      <c r="F14" s="33" t="e">
        <f>Table18[[#This Row],[Removed for Drugs Count]]/Table18[[#This Row],[Total Removal Reasons]]</f>
        <v>#DIV/0!</v>
      </c>
      <c r="G14" s="33" t="e">
        <f>Table18[[#This Row],[Removed for Serious Bodily Injury Count]]/Table18[[#This Row],[Total Removal Reasons]]</f>
        <v>#DIV/0!</v>
      </c>
      <c r="H14" s="33" t="e">
        <f>Table18[[#This Row],[Removed for Weapon Count]]/Table18[[#This Row],[Total Removal Reasons]]</f>
        <v>#DIV/0!</v>
      </c>
      <c r="I14" s="27"/>
      <c r="J14" s="30" t="s">
        <v>71</v>
      </c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3">
      <c r="A15" s="7" t="s">
        <v>10</v>
      </c>
      <c r="B15">
        <v>0</v>
      </c>
      <c r="C15">
        <v>0</v>
      </c>
      <c r="D15">
        <v>0</v>
      </c>
      <c r="E15" s="38">
        <v>0</v>
      </c>
      <c r="F15" s="33" t="e">
        <f>Table18[[#This Row],[Removed for Drugs Count]]/Table18[[#This Row],[Total Removal Reasons]]</f>
        <v>#DIV/0!</v>
      </c>
      <c r="G15" s="33" t="e">
        <f>Table18[[#This Row],[Removed for Serious Bodily Injury Count]]/Table18[[#This Row],[Total Removal Reasons]]</f>
        <v>#DIV/0!</v>
      </c>
      <c r="H15" s="33" t="e">
        <f>Table18[[#This Row],[Removed for Weapon Count]]/Table18[[#This Row],[Total Removal Reasons]]</f>
        <v>#DIV/0!</v>
      </c>
      <c r="I15" s="27"/>
      <c r="J15" s="30" t="s">
        <v>71</v>
      </c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3">
      <c r="A16" s="7" t="s">
        <v>11</v>
      </c>
      <c r="B16">
        <v>0</v>
      </c>
      <c r="C16">
        <v>0</v>
      </c>
      <c r="D16">
        <v>0</v>
      </c>
      <c r="E16" s="38">
        <v>0</v>
      </c>
      <c r="F16" s="33" t="e">
        <f>Table18[[#This Row],[Removed for Drugs Count]]/Table18[[#This Row],[Total Removal Reasons]]</f>
        <v>#DIV/0!</v>
      </c>
      <c r="G16" s="33" t="e">
        <f>Table18[[#This Row],[Removed for Serious Bodily Injury Count]]/Table18[[#This Row],[Total Removal Reasons]]</f>
        <v>#DIV/0!</v>
      </c>
      <c r="H16" s="33" t="e">
        <f>Table18[[#This Row],[Removed for Weapon Count]]/Table18[[#This Row],[Total Removal Reasons]]</f>
        <v>#DIV/0!</v>
      </c>
      <c r="I16" s="27"/>
      <c r="J16" s="30" t="s">
        <v>71</v>
      </c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3">
      <c r="A17" s="7" t="s">
        <v>12</v>
      </c>
      <c r="B17">
        <v>0</v>
      </c>
      <c r="C17">
        <v>0</v>
      </c>
      <c r="D17">
        <v>0</v>
      </c>
      <c r="E17" s="38">
        <v>0</v>
      </c>
      <c r="F17" s="33" t="e">
        <f>Table18[[#This Row],[Removed for Drugs Count]]/Table18[[#This Row],[Total Removal Reasons]]</f>
        <v>#DIV/0!</v>
      </c>
      <c r="G17" s="33" t="e">
        <f>Table18[[#This Row],[Removed for Serious Bodily Injury Count]]/Table18[[#This Row],[Total Removal Reasons]]</f>
        <v>#DIV/0!</v>
      </c>
      <c r="H17" s="33" t="e">
        <f>Table18[[#This Row],[Removed for Weapon Count]]/Table18[[#This Row],[Total Removal Reasons]]</f>
        <v>#DIV/0!</v>
      </c>
      <c r="I17" s="27"/>
      <c r="J17" s="30" t="s">
        <v>71</v>
      </c>
      <c r="K17" s="27"/>
      <c r="L17" s="27"/>
      <c r="M17" s="27"/>
      <c r="N17" s="27"/>
      <c r="O17" s="27"/>
      <c r="P17" s="27"/>
      <c r="Q17" s="27"/>
      <c r="R17" s="27"/>
      <c r="S17" s="27"/>
    </row>
    <row r="18" spans="1:19" x14ac:dyDescent="0.3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40" t="e">
        <f>Table18[[#This Row],[Removed for Drugs Count]]/Table18[[#This Row],[Total Removal Reasons]]</f>
        <v>#DIV/0!</v>
      </c>
      <c r="G18" s="40" t="e">
        <f>Table18[[#This Row],[Removed for Serious Bodily Injury Count]]/Table18[[#This Row],[Total Removal Reasons]]</f>
        <v>#DIV/0!</v>
      </c>
      <c r="H18" s="40" t="e">
        <f>Table18[[#This Row],[Removed for Weapon Count]]/Table18[[#This Row],[Total Removal Reasons]]</f>
        <v>#DIV/0!</v>
      </c>
      <c r="I18" s="27"/>
      <c r="J18" s="30" t="s">
        <v>71</v>
      </c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14.45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ht="49.5" x14ac:dyDescent="0.3">
      <c r="A20" s="13" t="s">
        <v>96</v>
      </c>
      <c r="B20" s="13" t="s">
        <v>30</v>
      </c>
      <c r="C20" s="13" t="s">
        <v>31</v>
      </c>
      <c r="D20" s="13" t="s">
        <v>32</v>
      </c>
      <c r="E20" s="13" t="s">
        <v>29</v>
      </c>
      <c r="F20" s="13" t="s">
        <v>33</v>
      </c>
      <c r="G20" s="13" t="s">
        <v>34</v>
      </c>
      <c r="H20" s="14" t="s">
        <v>35</v>
      </c>
      <c r="I20" s="27"/>
      <c r="J20" s="30" t="s">
        <v>71</v>
      </c>
      <c r="K20" s="27"/>
      <c r="L20" s="27"/>
      <c r="M20" s="27"/>
      <c r="N20" s="27"/>
      <c r="O20" s="27"/>
      <c r="P20" s="27"/>
      <c r="Q20" s="27"/>
      <c r="R20" s="27"/>
      <c r="S20" s="27"/>
    </row>
    <row r="21" spans="1:19" ht="27" customHeight="1" x14ac:dyDescent="0.3">
      <c r="A21" s="17" t="s">
        <v>18</v>
      </c>
      <c r="B21">
        <v>0</v>
      </c>
      <c r="C21">
        <v>0</v>
      </c>
      <c r="D21">
        <v>0</v>
      </c>
      <c r="E21" s="38">
        <v>0</v>
      </c>
      <c r="F21" s="34" t="e">
        <f>Table19[[#This Row],[Removed for Drugs Count]]/Table19[[#This Row],[Total Removal Reasons]]</f>
        <v>#DIV/0!</v>
      </c>
      <c r="G21" s="34" t="e">
        <f>Table19[[#This Row],[Removed for Serious Bodily Injury Count]]/Table19[[#This Row],[Total Removal Reasons]]</f>
        <v>#DIV/0!</v>
      </c>
      <c r="H21" s="34" t="e">
        <f>Table19[[#This Row],[Removed for Weapon Count]]/Table19[[#This Row],[Total Removal Reasons]]</f>
        <v>#DIV/0!</v>
      </c>
      <c r="I21" s="27"/>
      <c r="J21" s="30" t="s">
        <v>71</v>
      </c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27" customHeight="1" x14ac:dyDescent="0.3">
      <c r="A22" s="17" t="s">
        <v>19</v>
      </c>
      <c r="B22">
        <v>0</v>
      </c>
      <c r="C22">
        <v>0</v>
      </c>
      <c r="D22">
        <v>0</v>
      </c>
      <c r="E22" s="38">
        <v>0</v>
      </c>
      <c r="F22" s="34" t="e">
        <f>Table19[[#This Row],[Removed for Drugs Count]]/Table19[[#This Row],[Total Removal Reasons]]</f>
        <v>#DIV/0!</v>
      </c>
      <c r="G22" s="34" t="e">
        <f>Table19[[#This Row],[Removed for Serious Bodily Injury Count]]/Table19[[#This Row],[Total Removal Reasons]]</f>
        <v>#DIV/0!</v>
      </c>
      <c r="H22" s="34" t="e">
        <f>Table19[[#This Row],[Removed for Weapon Count]]/Table19[[#This Row],[Total Removal Reasons]]</f>
        <v>#DIV/0!</v>
      </c>
      <c r="I22" s="27"/>
      <c r="J22" s="30" t="s">
        <v>71</v>
      </c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27" customHeight="1" x14ac:dyDescent="0.3">
      <c r="A23" s="17" t="s">
        <v>20</v>
      </c>
      <c r="B23">
        <v>0</v>
      </c>
      <c r="C23">
        <v>0</v>
      </c>
      <c r="D23">
        <v>0</v>
      </c>
      <c r="E23" s="38">
        <v>0</v>
      </c>
      <c r="F23" s="34" t="e">
        <f>Table19[[#This Row],[Removed for Drugs Count]]/Table19[[#This Row],[Total Removal Reasons]]</f>
        <v>#DIV/0!</v>
      </c>
      <c r="G23" s="34" t="e">
        <f>Table19[[#This Row],[Removed for Serious Bodily Injury Count]]/Table19[[#This Row],[Total Removal Reasons]]</f>
        <v>#DIV/0!</v>
      </c>
      <c r="H23" s="34" t="e">
        <f>Table19[[#This Row],[Removed for Weapon Count]]/Table19[[#This Row],[Total Removal Reasons]]</f>
        <v>#DIV/0!</v>
      </c>
      <c r="I23" s="27"/>
      <c r="J23" s="30" t="s">
        <v>71</v>
      </c>
      <c r="K23" s="27"/>
      <c r="L23" s="27"/>
      <c r="M23" s="27"/>
      <c r="N23" s="27"/>
      <c r="O23" s="27"/>
      <c r="P23" s="27"/>
      <c r="Q23" s="27"/>
      <c r="R23" s="27"/>
      <c r="S23" s="27"/>
    </row>
    <row r="24" spans="1:19" ht="27" customHeight="1" x14ac:dyDescent="0.3">
      <c r="A24" s="17" t="s">
        <v>21</v>
      </c>
      <c r="B24">
        <v>0</v>
      </c>
      <c r="C24">
        <v>0</v>
      </c>
      <c r="D24">
        <v>0</v>
      </c>
      <c r="E24" s="38">
        <v>0</v>
      </c>
      <c r="F24" s="35" t="e">
        <f>Table19[[#This Row],[Removed for Drugs Count]]/Table19[[#This Row],[Total Removal Reasons]]</f>
        <v>#DIV/0!</v>
      </c>
      <c r="G24" s="35" t="e">
        <f>Table19[[#This Row],[Removed for Serious Bodily Injury Count]]/Table19[[#This Row],[Total Removal Reasons]]</f>
        <v>#DIV/0!</v>
      </c>
      <c r="H24" s="35" t="e">
        <f>Table19[[#This Row],[Removed for Weapon Count]]/Table19[[#This Row],[Total Removal Reasons]]</f>
        <v>#DIV/0!</v>
      </c>
      <c r="I24" s="27"/>
      <c r="J24" s="30" t="s">
        <v>71</v>
      </c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7" customHeight="1" x14ac:dyDescent="0.3">
      <c r="A25" s="17" t="s">
        <v>22</v>
      </c>
      <c r="B25">
        <v>0</v>
      </c>
      <c r="C25">
        <v>0</v>
      </c>
      <c r="D25">
        <v>0</v>
      </c>
      <c r="E25" s="38">
        <v>0</v>
      </c>
      <c r="F25" s="35" t="e">
        <f>Table19[[#This Row],[Removed for Drugs Count]]/Table19[[#This Row],[Total Removal Reasons]]</f>
        <v>#DIV/0!</v>
      </c>
      <c r="G25" s="35" t="e">
        <f>Table19[[#This Row],[Removed for Serious Bodily Injury Count]]/Table19[[#This Row],[Total Removal Reasons]]</f>
        <v>#DIV/0!</v>
      </c>
      <c r="H25" s="35" t="e">
        <f>Table19[[#This Row],[Removed for Weapon Count]]/Table19[[#This Row],[Total Removal Reasons]]</f>
        <v>#DIV/0!</v>
      </c>
      <c r="I25" s="27"/>
      <c r="J25" s="30" t="s">
        <v>71</v>
      </c>
      <c r="K25" s="27"/>
      <c r="L25" s="27"/>
      <c r="M25" s="27"/>
      <c r="N25" s="27"/>
      <c r="O25" s="27"/>
      <c r="P25" s="27"/>
      <c r="Q25" s="27"/>
      <c r="R25" s="27"/>
      <c r="S25" s="27"/>
    </row>
    <row r="26" spans="1:19" ht="27" customHeight="1" x14ac:dyDescent="0.3">
      <c r="A26" s="17" t="s">
        <v>23</v>
      </c>
      <c r="B26">
        <v>0</v>
      </c>
      <c r="C26">
        <v>0</v>
      </c>
      <c r="D26">
        <v>0</v>
      </c>
      <c r="E26" s="38">
        <v>0</v>
      </c>
      <c r="F26" s="35" t="e">
        <f>Table19[[#This Row],[Removed for Drugs Count]]/Table19[[#This Row],[Total Removal Reasons]]</f>
        <v>#DIV/0!</v>
      </c>
      <c r="G26" s="35" t="e">
        <f>Table19[[#This Row],[Removed for Serious Bodily Injury Count]]/Table19[[#This Row],[Total Removal Reasons]]</f>
        <v>#DIV/0!</v>
      </c>
      <c r="H26" s="35" t="e">
        <f>Table19[[#This Row],[Removed for Weapon Count]]/Table19[[#This Row],[Total Removal Reasons]]</f>
        <v>#DIV/0!</v>
      </c>
      <c r="I26" s="27"/>
      <c r="J26" s="30" t="s">
        <v>71</v>
      </c>
      <c r="K26" s="27"/>
      <c r="L26" s="27"/>
      <c r="M26" s="27"/>
      <c r="N26" s="27"/>
      <c r="O26" s="27"/>
      <c r="P26" s="27"/>
      <c r="Q26" s="27"/>
      <c r="R26" s="27"/>
      <c r="S26" s="27"/>
    </row>
    <row r="27" spans="1:19" ht="27" customHeight="1" x14ac:dyDescent="0.3">
      <c r="A27" s="17" t="s">
        <v>24</v>
      </c>
      <c r="B27">
        <v>0</v>
      </c>
      <c r="C27">
        <v>0</v>
      </c>
      <c r="D27">
        <v>0</v>
      </c>
      <c r="E27" s="38">
        <v>0</v>
      </c>
      <c r="F27" s="35" t="e">
        <f>Table19[[#This Row],[Removed for Drugs Count]]/Table19[[#This Row],[Total Removal Reasons]]</f>
        <v>#DIV/0!</v>
      </c>
      <c r="G27" s="35" t="e">
        <f>Table19[[#This Row],[Removed for Serious Bodily Injury Count]]/Table19[[#This Row],[Total Removal Reasons]]</f>
        <v>#DIV/0!</v>
      </c>
      <c r="H27" s="35" t="e">
        <f>Table19[[#This Row],[Removed for Weapon Count]]/Table19[[#This Row],[Total Removal Reasons]]</f>
        <v>#DIV/0!</v>
      </c>
      <c r="I27" s="27"/>
      <c r="J27" s="30" t="s">
        <v>71</v>
      </c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27" customHeight="1" x14ac:dyDescent="0.3">
      <c r="A28" s="18" t="s">
        <v>0</v>
      </c>
      <c r="B28" s="2">
        <v>0</v>
      </c>
      <c r="C28" s="2">
        <v>0</v>
      </c>
      <c r="D28" s="2">
        <v>0</v>
      </c>
      <c r="E28" s="2">
        <v>0</v>
      </c>
      <c r="F28" s="40" t="e">
        <f>Table19[[#This Row],[Removed for Drugs Count]]/Table19[[#This Row],[Total Removal Reasons]]</f>
        <v>#DIV/0!</v>
      </c>
      <c r="G28" s="40" t="e">
        <f>Table19[[#This Row],[Removed for Serious Bodily Injury Count]]/Table19[[#This Row],[Total Removal Reasons]]</f>
        <v>#DIV/0!</v>
      </c>
      <c r="H28" s="40" t="e">
        <f>Table19[[#This Row],[Removed for Weapon Count]]/Table19[[#This Row],[Total Removal Reasons]]</f>
        <v>#DIV/0!</v>
      </c>
      <c r="I28" s="27"/>
      <c r="J28" s="30" t="s">
        <v>71</v>
      </c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4.4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43.15" x14ac:dyDescent="0.3">
      <c r="A30" s="13" t="s">
        <v>97</v>
      </c>
      <c r="B30" s="13" t="s">
        <v>30</v>
      </c>
      <c r="C30" s="13" t="s">
        <v>31</v>
      </c>
      <c r="D30" s="13" t="s">
        <v>32</v>
      </c>
      <c r="E30" s="13" t="s">
        <v>29</v>
      </c>
      <c r="F30" s="13" t="s">
        <v>33</v>
      </c>
      <c r="G30" s="13" t="s">
        <v>34</v>
      </c>
      <c r="H30" s="14" t="s">
        <v>35</v>
      </c>
      <c r="I30" s="27"/>
      <c r="J30" s="30" t="s">
        <v>71</v>
      </c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43.9" customHeight="1" x14ac:dyDescent="0.3">
      <c r="A31" s="19" t="s">
        <v>25</v>
      </c>
      <c r="B31">
        <v>0</v>
      </c>
      <c r="C31">
        <v>0</v>
      </c>
      <c r="D31">
        <v>0</v>
      </c>
      <c r="E31" s="38">
        <v>0</v>
      </c>
      <c r="F31" s="33" t="e">
        <f>Table20[[#This Row],[Removed for Drugs Count]]/Table20[[#This Row],[Total Removal Reasons]]</f>
        <v>#DIV/0!</v>
      </c>
      <c r="G31" s="33" t="e">
        <f>Table20[[#This Row],[Removed for Serious Bodily Injury Count]]/Table20[[#This Row],[Total Removal Reasons]]</f>
        <v>#DIV/0!</v>
      </c>
      <c r="H31" s="33" t="e">
        <f>Table20[[#This Row],[Removed for Weapon Count]]/Table20[[#This Row],[Total Removal Reasons]]</f>
        <v>#DIV/0!</v>
      </c>
      <c r="I31" s="27"/>
      <c r="J31" s="30" t="s">
        <v>71</v>
      </c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43.9" customHeight="1" x14ac:dyDescent="0.3">
      <c r="A32" s="19" t="s">
        <v>26</v>
      </c>
      <c r="B32">
        <v>0</v>
      </c>
      <c r="C32">
        <v>0</v>
      </c>
      <c r="D32">
        <v>0</v>
      </c>
      <c r="E32" s="38">
        <v>0</v>
      </c>
      <c r="F32" s="33" t="e">
        <f>Table20[[#This Row],[Removed for Drugs Count]]/Table20[[#This Row],[Total Removal Reasons]]</f>
        <v>#DIV/0!</v>
      </c>
      <c r="G32" s="33" t="e">
        <f>Table20[[#This Row],[Removed for Serious Bodily Injury Count]]/Table20[[#This Row],[Total Removal Reasons]]</f>
        <v>#DIV/0!</v>
      </c>
      <c r="H32" s="33" t="e">
        <f>Table20[[#This Row],[Removed for Weapon Count]]/Table20[[#This Row],[Total Removal Reasons]]</f>
        <v>#DIV/0!</v>
      </c>
      <c r="I32" s="27"/>
      <c r="J32" s="30" t="s">
        <v>71</v>
      </c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43.9" customHeight="1" x14ac:dyDescent="0.3">
      <c r="A33" s="18" t="s">
        <v>0</v>
      </c>
      <c r="B33" s="2">
        <v>0</v>
      </c>
      <c r="C33" s="2">
        <v>0</v>
      </c>
      <c r="D33" s="2">
        <v>0</v>
      </c>
      <c r="E33" s="2">
        <v>0</v>
      </c>
      <c r="F33" s="40" t="e">
        <f>Table20[[#This Row],[Removed for Drugs Count]]/Table20[[#This Row],[Total Removal Reasons]]</f>
        <v>#DIV/0!</v>
      </c>
      <c r="G33" s="40" t="e">
        <f>Table20[[#This Row],[Removed for Serious Bodily Injury Count]]/Table20[[#This Row],[Total Removal Reasons]]</f>
        <v>#DIV/0!</v>
      </c>
      <c r="H33" s="40" t="e">
        <f>Table20[[#This Row],[Removed for Weapon Count]]/Table20[[#This Row],[Total Removal Reasons]]</f>
        <v>#DIV/0!</v>
      </c>
      <c r="I33" s="27"/>
      <c r="J33" s="30" t="s">
        <v>71</v>
      </c>
      <c r="K33" s="27"/>
      <c r="L33" s="27"/>
      <c r="M33" s="27"/>
      <c r="N33" s="27"/>
      <c r="O33" s="27"/>
      <c r="P33" s="27"/>
      <c r="Q33" s="27"/>
      <c r="R33" s="27"/>
      <c r="S33" s="27"/>
    </row>
    <row r="34" spans="1:19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ht="49.5" x14ac:dyDescent="0.3">
      <c r="A35" s="13" t="s">
        <v>98</v>
      </c>
      <c r="B35" s="13" t="s">
        <v>30</v>
      </c>
      <c r="C35" s="13" t="s">
        <v>31</v>
      </c>
      <c r="D35" s="13" t="s">
        <v>32</v>
      </c>
      <c r="E35" s="13" t="s">
        <v>29</v>
      </c>
      <c r="F35" s="13" t="s">
        <v>33</v>
      </c>
      <c r="G35" s="13" t="s">
        <v>34</v>
      </c>
      <c r="H35" s="14" t="s">
        <v>35</v>
      </c>
      <c r="I35" s="27"/>
      <c r="J35" s="30" t="s">
        <v>71</v>
      </c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43.15" customHeight="1" x14ac:dyDescent="0.3">
      <c r="A36" s="19" t="s">
        <v>27</v>
      </c>
      <c r="B36">
        <v>0</v>
      </c>
      <c r="C36">
        <v>0</v>
      </c>
      <c r="D36">
        <v>0</v>
      </c>
      <c r="E36" s="38">
        <v>0</v>
      </c>
      <c r="F36" s="34" t="e">
        <f>Table21[[#This Row],[Removed for Drugs Count]]/Table21[[#This Row],[Total Removal Reasons]]</f>
        <v>#DIV/0!</v>
      </c>
      <c r="G36" s="34" t="e">
        <f>Table21[[#This Row],[Removed for Serious Bodily Injury Count]]/Table21[[#This Row],[Total Removal Reasons]]</f>
        <v>#DIV/0!</v>
      </c>
      <c r="H36" s="34" t="e">
        <f>Table21[[#This Row],[Removed for Weapon Count]]/Table21[[#This Row],[Total Removal Reasons]]</f>
        <v>#DIV/0!</v>
      </c>
      <c r="I36" s="27"/>
      <c r="J36" s="30" t="s">
        <v>71</v>
      </c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43.15" customHeight="1" x14ac:dyDescent="0.3">
      <c r="A37" s="19" t="s">
        <v>28</v>
      </c>
      <c r="B37">
        <v>0</v>
      </c>
      <c r="C37">
        <v>0</v>
      </c>
      <c r="D37">
        <v>0</v>
      </c>
      <c r="E37" s="38">
        <v>0</v>
      </c>
      <c r="F37" s="35" t="e">
        <f>Table21[[#This Row],[Removed for Drugs Count]]/Table21[[#This Row],[Total Removal Reasons]]</f>
        <v>#DIV/0!</v>
      </c>
      <c r="G37" s="35" t="e">
        <f>Table21[[#This Row],[Removed for Serious Bodily Injury Count]]/Table21[[#This Row],[Total Removal Reasons]]</f>
        <v>#DIV/0!</v>
      </c>
      <c r="H37" s="35" t="e">
        <f>Table21[[#This Row],[Removed for Weapon Count]]/Table21[[#This Row],[Total Removal Reasons]]</f>
        <v>#DIV/0!</v>
      </c>
      <c r="I37" s="27"/>
      <c r="J37" s="30" t="s">
        <v>71</v>
      </c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43.15" customHeight="1" x14ac:dyDescent="0.3">
      <c r="A38" s="18" t="s">
        <v>0</v>
      </c>
      <c r="B38" s="2">
        <v>0</v>
      </c>
      <c r="C38" s="2">
        <v>0</v>
      </c>
      <c r="D38" s="2">
        <v>0</v>
      </c>
      <c r="E38" s="2">
        <v>0</v>
      </c>
      <c r="F38" s="40" t="e">
        <f>Table21[[#This Row],[Removed for Drugs Count]]/Table21[[#This Row],[Total Removal Reasons]]</f>
        <v>#DIV/0!</v>
      </c>
      <c r="G38" s="40" t="e">
        <f>Table21[[#This Row],[Removed for Serious Bodily Injury Count]]/Table21[[#This Row],[Total Removal Reasons]]</f>
        <v>#DIV/0!</v>
      </c>
      <c r="H38" s="40" t="e">
        <f>Table21[[#This Row],[Removed for Weapon Count]]/Table21[[#This Row],[Total Removal Reasons]]</f>
        <v>#DIV/0!</v>
      </c>
      <c r="I38" s="27"/>
      <c r="J38" s="30" t="s">
        <v>71</v>
      </c>
      <c r="K38" s="27"/>
      <c r="L38" s="27"/>
      <c r="M38" s="27"/>
      <c r="N38" s="27"/>
      <c r="O38" s="27"/>
      <c r="P38" s="27"/>
      <c r="Q38" s="27"/>
      <c r="R38" s="27"/>
      <c r="S38" s="27"/>
    </row>
    <row r="39" spans="1:19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3">
      <c r="A40" s="26" t="s">
        <v>73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</sheetData>
  <mergeCells count="1">
    <mergeCell ref="A1:R1"/>
  </mergeCells>
  <pageMargins left="0.7" right="0.7" top="0.75" bottom="0.75" header="0.3" footer="0.3"/>
  <ignoredErrors>
    <ignoredError sqref="F31:H32 F36:H37 F21:H27 F5:H17" evalError="1"/>
  </ignoredErrors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Suspensions.Expulsions</vt:lpstr>
      <vt:lpstr>Student Removal Length</vt:lpstr>
      <vt:lpstr>Number of removals</vt:lpstr>
      <vt:lpstr>Ed Services During Expulsion</vt:lpstr>
      <vt:lpstr>Removal to IAES</vt:lpstr>
      <vt:lpstr>Reasons for Unilateral Removals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Ohleyer, Alyssa</cp:lastModifiedBy>
  <dcterms:created xsi:type="dcterms:W3CDTF">2018-06-27T13:50:14Z</dcterms:created>
  <dcterms:modified xsi:type="dcterms:W3CDTF">2022-06-06T17:52:51Z</dcterms:modified>
</cp:coreProperties>
</file>