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Davis_E\Desktop\Working Files\"/>
    </mc:Choice>
  </mc:AlternateContent>
  <bookViews>
    <workbookView xWindow="0" yWindow="0" windowWidth="28800" windowHeight="12120"/>
  </bookViews>
  <sheets>
    <sheet name="IDEA PART B FY17-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9" i="1" l="1"/>
  <c r="F69" i="1" l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C69" i="1"/>
  <c r="AD69" i="1"/>
  <c r="AE69" i="1"/>
  <c r="AF69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2" i="1"/>
  <c r="I6" i="1" l="1"/>
  <c r="W48" i="1" l="1"/>
  <c r="V63" i="1" l="1"/>
  <c r="V20" i="1" l="1"/>
  <c r="T42" i="1" l="1"/>
  <c r="P9" i="1"/>
  <c r="U59" i="1" l="1"/>
  <c r="U54" i="1"/>
  <c r="U41" i="1"/>
  <c r="U32" i="1"/>
  <c r="U13" i="1"/>
  <c r="U56" i="1"/>
  <c r="T10" i="1" l="1"/>
  <c r="T54" i="1"/>
  <c r="T13" i="1"/>
  <c r="T4" i="1" l="1"/>
  <c r="S6" i="1" l="1"/>
  <c r="S59" i="1" l="1"/>
  <c r="S7" i="1"/>
  <c r="S57" i="1"/>
  <c r="S4" i="1"/>
  <c r="C69" i="1" l="1"/>
  <c r="R67" i="1" l="1"/>
  <c r="R51" i="1" l="1"/>
  <c r="R62" i="1" l="1"/>
  <c r="R39" i="1"/>
  <c r="Q67" i="1" l="1"/>
  <c r="Q43" i="1"/>
  <c r="Q42" i="1"/>
  <c r="Q15" i="1"/>
  <c r="E67" i="1" l="1"/>
  <c r="E66" i="1"/>
  <c r="E64" i="1"/>
  <c r="E63" i="1"/>
  <c r="P62" i="1"/>
  <c r="E62" i="1" s="1"/>
  <c r="E61" i="1"/>
  <c r="E60" i="1"/>
  <c r="E59" i="1"/>
  <c r="N58" i="1"/>
  <c r="O57" i="1"/>
  <c r="E57" i="1"/>
  <c r="E56" i="1"/>
  <c r="P55" i="1"/>
  <c r="E55" i="1" s="1"/>
  <c r="E54" i="1"/>
  <c r="E53" i="1"/>
  <c r="E52" i="1"/>
  <c r="E51" i="1"/>
  <c r="E50" i="1"/>
  <c r="E49" i="1"/>
  <c r="M48" i="1"/>
  <c r="E48" i="1" s="1"/>
  <c r="E47" i="1"/>
  <c r="E46" i="1"/>
  <c r="E45" i="1"/>
  <c r="E44" i="1"/>
  <c r="E43" i="1"/>
  <c r="J42" i="1"/>
  <c r="E41" i="1"/>
  <c r="E40" i="1"/>
  <c r="E39" i="1"/>
  <c r="E38" i="1"/>
  <c r="E37" i="1"/>
  <c r="E36" i="1"/>
  <c r="O35" i="1"/>
  <c r="E34" i="1"/>
  <c r="E33" i="1"/>
  <c r="E32" i="1"/>
  <c r="N31" i="1"/>
  <c r="J30" i="1"/>
  <c r="E30" i="1" s="1"/>
  <c r="E29" i="1"/>
  <c r="E28" i="1"/>
  <c r="M27" i="1"/>
  <c r="J27" i="1"/>
  <c r="E26" i="1"/>
  <c r="E25" i="1"/>
  <c r="E24" i="1"/>
  <c r="E23" i="1"/>
  <c r="E22" i="1"/>
  <c r="N21" i="1"/>
  <c r="E20" i="1"/>
  <c r="E19" i="1"/>
  <c r="E18" i="1"/>
  <c r="E17" i="1"/>
  <c r="P16" i="1"/>
  <c r="L15" i="1"/>
  <c r="E14" i="1"/>
  <c r="E13" i="1"/>
  <c r="E12" i="1"/>
  <c r="E11" i="1"/>
  <c r="E10" i="1"/>
  <c r="E9" i="1"/>
  <c r="E8" i="1"/>
  <c r="E7" i="1"/>
  <c r="M6" i="1"/>
  <c r="P5" i="1"/>
  <c r="E4" i="1"/>
  <c r="P3" i="1"/>
  <c r="M3" i="1"/>
  <c r="E3" i="1" l="1"/>
  <c r="E35" i="1"/>
  <c r="E15" i="1"/>
  <c r="E16" i="1"/>
  <c r="E6" i="1"/>
  <c r="E21" i="1"/>
  <c r="E31" i="1"/>
  <c r="E58" i="1"/>
  <c r="E5" i="1"/>
  <c r="E42" i="1"/>
  <c r="E27" i="1"/>
  <c r="E65" i="1"/>
  <c r="E2" i="1"/>
  <c r="D69" i="1" l="1"/>
  <c r="E69" i="1"/>
</calcChain>
</file>

<file path=xl/sharedStrings.xml><?xml version="1.0" encoding="utf-8"?>
<sst xmlns="http://schemas.openxmlformats.org/spreadsheetml/2006/main" count="164" uniqueCount="164">
  <si>
    <t>AU #</t>
  </si>
  <si>
    <t>AU Name</t>
  </si>
  <si>
    <t>Allocation</t>
  </si>
  <si>
    <t>Payments to Date</t>
  </si>
  <si>
    <t>Balance of Allocation</t>
  </si>
  <si>
    <t>July
2017</t>
  </si>
  <si>
    <t>August
2017</t>
  </si>
  <si>
    <t>September
2017</t>
  </si>
  <si>
    <t>October
2017</t>
  </si>
  <si>
    <t>November
2017</t>
  </si>
  <si>
    <t>December
2017</t>
  </si>
  <si>
    <t>January
2018</t>
  </si>
  <si>
    <t>February
2018</t>
  </si>
  <si>
    <t>March
2018</t>
  </si>
  <si>
    <t>April
2018</t>
  </si>
  <si>
    <t>May
2018</t>
  </si>
  <si>
    <t>June
2018</t>
  </si>
  <si>
    <t>July
2018</t>
  </si>
  <si>
    <t>August
2018</t>
  </si>
  <si>
    <t>September
2018</t>
  </si>
  <si>
    <t>October
2018</t>
  </si>
  <si>
    <t>November
2018</t>
  </si>
  <si>
    <t>December
2018</t>
  </si>
  <si>
    <t>January
2019</t>
  </si>
  <si>
    <t>February
2019</t>
  </si>
  <si>
    <t>March
2019</t>
  </si>
  <si>
    <t>April
2019</t>
  </si>
  <si>
    <t>May
2019</t>
  </si>
  <si>
    <t>June
2019</t>
  </si>
  <si>
    <t>July
2019</t>
  </si>
  <si>
    <t>August
2019</t>
  </si>
  <si>
    <t>September
2019</t>
  </si>
  <si>
    <t>01010</t>
  </si>
  <si>
    <t>Adams 1, Mapleton</t>
  </si>
  <si>
    <t>01020</t>
  </si>
  <si>
    <t>Adams 12, Northglenn</t>
  </si>
  <si>
    <t>01030</t>
  </si>
  <si>
    <t>Adams 14, Commerce City</t>
  </si>
  <si>
    <t>01040</t>
  </si>
  <si>
    <t>Adams 27J, Brighton</t>
  </si>
  <si>
    <t>01070</t>
  </si>
  <si>
    <t>Adams 50, Westminster</t>
  </si>
  <si>
    <t>03010</t>
  </si>
  <si>
    <t>Arapahoe 1, Englewood</t>
  </si>
  <si>
    <t>03020</t>
  </si>
  <si>
    <t>Arapahoe 2, Sheridan</t>
  </si>
  <si>
    <t>03030</t>
  </si>
  <si>
    <t>Arapahoe 5, Cherry Creek</t>
  </si>
  <si>
    <t>03040</t>
  </si>
  <si>
    <t>Arapahoe 6, Littleton</t>
  </si>
  <si>
    <t>03060</t>
  </si>
  <si>
    <t>Adams-Arapahoe 28J, Aurora</t>
  </si>
  <si>
    <t>07010</t>
  </si>
  <si>
    <t>Boulder RE1J, Longmont</t>
  </si>
  <si>
    <t>07020</t>
  </si>
  <si>
    <t>Boulder RE2, Boulder</t>
  </si>
  <si>
    <t>15010</t>
  </si>
  <si>
    <t>Delta 50J, Delta</t>
  </si>
  <si>
    <t>16010</t>
  </si>
  <si>
    <t>Denver 1, Denver</t>
  </si>
  <si>
    <t>18010</t>
  </si>
  <si>
    <t>Douglas RE 1, Castle Rock</t>
  </si>
  <si>
    <t>19010</t>
  </si>
  <si>
    <t>EAGLE COUNTY RE 50J</t>
  </si>
  <si>
    <t>19205</t>
  </si>
  <si>
    <t>Elbert, Elizabeth C-1</t>
  </si>
  <si>
    <t>21020</t>
  </si>
  <si>
    <t>El Paso 2, Harrison</t>
  </si>
  <si>
    <t>21030</t>
  </si>
  <si>
    <t>El Paso 3, Widefield</t>
  </si>
  <si>
    <t>21040</t>
  </si>
  <si>
    <t>El Paso 8, Fountain</t>
  </si>
  <si>
    <t>21050</t>
  </si>
  <si>
    <t>El Paso 11, Colorado Springs</t>
  </si>
  <si>
    <t>21060</t>
  </si>
  <si>
    <t>El Paso 12, Cheyenne Mountain</t>
  </si>
  <si>
    <t>21080</t>
  </si>
  <si>
    <t>El Paso 20, Academy</t>
  </si>
  <si>
    <t>21085</t>
  </si>
  <si>
    <t>El Paso 38, Lewis-Palmer</t>
  </si>
  <si>
    <t>21090</t>
  </si>
  <si>
    <t>El Paso 49, Falcon</t>
  </si>
  <si>
    <t>21490</t>
  </si>
  <si>
    <t>Fort Lupton/Keenesburg</t>
  </si>
  <si>
    <t>22010</t>
  </si>
  <si>
    <t>Fremont RE-1, Canon City</t>
  </si>
  <si>
    <t>26011</t>
  </si>
  <si>
    <t>Gunnison RE1J, Gunnison</t>
  </si>
  <si>
    <t>30011</t>
  </si>
  <si>
    <t>Jefferson R-1, Lakewood</t>
  </si>
  <si>
    <t>34010</t>
  </si>
  <si>
    <t>La Plata 9-R, Durango</t>
  </si>
  <si>
    <t>35010</t>
  </si>
  <si>
    <t>Larimer R-1, Fort Collins</t>
  </si>
  <si>
    <t>35020</t>
  </si>
  <si>
    <t>Larimer R-2J, Loveland</t>
  </si>
  <si>
    <t>35030</t>
  </si>
  <si>
    <t>Larimer R-3, Estes Park</t>
  </si>
  <si>
    <t>38010</t>
  </si>
  <si>
    <t>Logan RE-1, Sterling</t>
  </si>
  <si>
    <t>39031</t>
  </si>
  <si>
    <t>Mesa 51, Grand Junction</t>
  </si>
  <si>
    <t>41010</t>
  </si>
  <si>
    <t>Moffat RE 1, Craig</t>
  </si>
  <si>
    <t>43010</t>
  </si>
  <si>
    <t>Montrose RE-1J, Montrose</t>
  </si>
  <si>
    <t>44020</t>
  </si>
  <si>
    <t>Morgan Re-3, Fort Morgan</t>
  </si>
  <si>
    <t>49010</t>
  </si>
  <si>
    <t>Pitkin, Aspen 1</t>
  </si>
  <si>
    <t>51010</t>
  </si>
  <si>
    <t>Pueblo 60, Pueblo (urban)</t>
  </si>
  <si>
    <t>51020</t>
  </si>
  <si>
    <t>Pueblo 70, Pueblo (rural)</t>
  </si>
  <si>
    <t>59010</t>
  </si>
  <si>
    <t>Summit RE-1</t>
  </si>
  <si>
    <t>62040</t>
  </si>
  <si>
    <t>Weld RE-4, Windsor</t>
  </si>
  <si>
    <t>62050</t>
  </si>
  <si>
    <t xml:space="preserve">Weld RE-5J Johnstown-Milliken </t>
  </si>
  <si>
    <t>62060</t>
  </si>
  <si>
    <t>Weld 6, Greeley</t>
  </si>
  <si>
    <t>64043</t>
  </si>
  <si>
    <t>East Central BOCES, Limon</t>
  </si>
  <si>
    <t>64053</t>
  </si>
  <si>
    <t>Mount Evans BOCS, Idaho Springs</t>
  </si>
  <si>
    <t>64093</t>
  </si>
  <si>
    <t>Mountain BOCES, Leadville</t>
  </si>
  <si>
    <t>64103</t>
  </si>
  <si>
    <t>Northeast Colorado BOCES, Haxtun</t>
  </si>
  <si>
    <t>64123</t>
  </si>
  <si>
    <t>Northwest Colorado BOCES, Steamboat Springs</t>
  </si>
  <si>
    <t>64133</t>
  </si>
  <si>
    <t>Pikes Peak BOCS, Colorado Springs</t>
  </si>
  <si>
    <t>64143</t>
  </si>
  <si>
    <t>San Juan BOCS, Durango</t>
  </si>
  <si>
    <t>64153</t>
  </si>
  <si>
    <t>San Luis Valley BOCS, Alamosa</t>
  </si>
  <si>
    <t>64160</t>
  </si>
  <si>
    <t>Santa Fe Trail BOCES, La Junta</t>
  </si>
  <si>
    <t>64163</t>
  </si>
  <si>
    <t>South Central BOCS, Pueblo</t>
  </si>
  <si>
    <t>64193</t>
  </si>
  <si>
    <t>Southeastern BOCES, Lamar</t>
  </si>
  <si>
    <t>64200</t>
  </si>
  <si>
    <t>Uncompahgre BOCS, Telluride</t>
  </si>
  <si>
    <t>64203</t>
  </si>
  <si>
    <t>Centennial BOCES, La Salle</t>
  </si>
  <si>
    <t>64205</t>
  </si>
  <si>
    <t>Ute Pass BOCES, Woodland Park</t>
  </si>
  <si>
    <t>64213</t>
  </si>
  <si>
    <t>Rio Blanco BOCS, Rangely</t>
  </si>
  <si>
    <t>64233</t>
  </si>
  <si>
    <t>Colorado River BOCES</t>
  </si>
  <si>
    <t>66050</t>
  </si>
  <si>
    <t>Colorado School for the Deaf and the Blind</t>
  </si>
  <si>
    <t>66060</t>
  </si>
  <si>
    <t>Colorado Mental Health Institute, Pueblo</t>
  </si>
  <si>
    <t>66070</t>
  </si>
  <si>
    <t>Department of Corrections</t>
  </si>
  <si>
    <t>Division of Youth Services</t>
  </si>
  <si>
    <t>80010</t>
  </si>
  <si>
    <t>Charter School Institute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</si>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</sst>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\$#,##0.00;\(\$#,##0.00\)"/>
    <numFmt numFmtId="166" formatCode="#,##0.000000000_);\(#,##0.000000000\)"/>
    <numFmt numFmtId="169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A0DD69"/>
        <bgColor indexed="64"/>
      </patternFill>
    </fill>
    <fill>
      <patternFill patternType="solid">
        <fgColor rgb="FFC7ECA6"/>
        <bgColor indexed="64"/>
      </patternFill>
    </fill>
    <fill>
      <patternFill patternType="solid">
        <fgColor rgb="FFC7ECA6"/>
        <b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3" xfId="3" applyFont="1" applyFill="1" applyBorder="1" applyAlignment="1">
      <alignment horizontal="center" wrapText="1"/>
    </xf>
    <xf numFmtId="0" fontId="6" fillId="0" borderId="4" xfId="0" applyFont="1" applyFill="1" applyBorder="1" applyAlignment="1" applyProtection="1">
      <alignment vertical="center" wrapText="1"/>
    </xf>
    <xf numFmtId="165" fontId="6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39" fontId="0" fillId="0" borderId="0" xfId="0" applyNumberFormat="1"/>
    <xf numFmtId="165" fontId="0" fillId="0" borderId="0" xfId="0" applyNumberFormat="1"/>
    <xf numFmtId="0" fontId="5" fillId="0" borderId="0" xfId="3" applyFont="1" applyFill="1" applyBorder="1" applyAlignment="1">
      <alignment horizontal="center" wrapText="1"/>
    </xf>
    <xf numFmtId="0" fontId="6" fillId="0" borderId="0" xfId="0" applyFont="1" applyFill="1" applyBorder="1" applyAlignment="1" applyProtection="1">
      <alignment vertical="center" wrapText="1"/>
    </xf>
    <xf numFmtId="165" fontId="6" fillId="0" borderId="0" xfId="0" applyNumberFormat="1" applyFont="1" applyFill="1" applyBorder="1" applyAlignment="1" applyProtection="1">
      <alignment horizontal="right" vertical="center" wrapText="1"/>
    </xf>
    <xf numFmtId="49" fontId="2" fillId="2" borderId="2" xfId="1" quotePrefix="1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/>
    <xf numFmtId="165" fontId="2" fillId="2" borderId="5" xfId="0" applyNumberFormat="1" applyFont="1" applyFill="1" applyBorder="1"/>
    <xf numFmtId="0" fontId="7" fillId="3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49" fontId="2" fillId="3" borderId="2" xfId="1" quotePrefix="1" applyNumberFormat="1" applyFont="1" applyFill="1" applyBorder="1" applyAlignment="1">
      <alignment horizontal="center" vertical="center" wrapText="1"/>
    </xf>
    <xf numFmtId="164" fontId="2" fillId="3" borderId="2" xfId="2" quotePrefix="1" applyNumberFormat="1" applyFont="1" applyFill="1" applyBorder="1" applyAlignment="1">
      <alignment horizontal="center" vertical="center" wrapText="1"/>
    </xf>
    <xf numFmtId="43" fontId="0" fillId="0" borderId="0" xfId="4" applyFont="1"/>
    <xf numFmtId="49" fontId="5" fillId="0" borderId="3" xfId="3" applyNumberFormat="1" applyFont="1" applyFill="1" applyBorder="1" applyAlignment="1">
      <alignment horizontal="center" wrapText="1"/>
    </xf>
    <xf numFmtId="166" fontId="0" fillId="0" borderId="0" xfId="0" applyNumberFormat="1"/>
    <xf numFmtId="169" fontId="5" fillId="0" borderId="3" xfId="3" applyNumberFormat="1" applyFont="1" applyFill="1" applyBorder="1" applyAlignment="1">
      <alignment horizontal="right" wrapText="1"/>
    </xf>
    <xf numFmtId="169" fontId="6" fillId="0" borderId="4" xfId="0" applyNumberFormat="1" applyFont="1" applyFill="1" applyBorder="1" applyAlignment="1" applyProtection="1">
      <alignment horizontal="right" vertical="center" wrapText="1"/>
    </xf>
    <xf numFmtId="169" fontId="8" fillId="0" borderId="4" xfId="0" applyNumberFormat="1" applyFont="1" applyFill="1" applyBorder="1" applyAlignment="1" applyProtection="1">
      <alignment horizontal="right" vertical="center" wrapText="1"/>
    </xf>
    <xf numFmtId="169" fontId="9" fillId="0" borderId="4" xfId="0" applyNumberFormat="1" applyFont="1" applyFill="1" applyBorder="1" applyAlignment="1" applyProtection="1">
      <alignment horizontal="right" vertical="center" wrapText="1"/>
    </xf>
    <xf numFmtId="169" fontId="8" fillId="5" borderId="4" xfId="0" applyNumberFormat="1" applyFont="1" applyFill="1" applyBorder="1" applyAlignment="1" applyProtection="1">
      <alignment horizontal="right" vertical="center" wrapText="1"/>
    </xf>
    <xf numFmtId="169" fontId="0" fillId="0" borderId="0" xfId="0" applyNumberFormat="1"/>
    <xf numFmtId="169" fontId="6" fillId="5" borderId="4" xfId="0" applyNumberFormat="1" applyFont="1" applyFill="1" applyBorder="1" applyAlignment="1" applyProtection="1">
      <alignment horizontal="right" vertical="center" wrapText="1"/>
    </xf>
    <xf numFmtId="169" fontId="0" fillId="0" borderId="0" xfId="0" applyNumberFormat="1" applyBorder="1"/>
    <xf numFmtId="169" fontId="6" fillId="0" borderId="6" xfId="0" applyNumberFormat="1" applyFont="1" applyFill="1" applyBorder="1" applyAlignment="1" applyProtection="1">
      <alignment horizontal="right" vertical="center" wrapText="1"/>
    </xf>
    <xf numFmtId="169" fontId="0" fillId="5" borderId="0" xfId="0" applyNumberFormat="1" applyFill="1"/>
  </cellXfs>
  <cellStyles count="5">
    <cellStyle name="Comma" xfId="4" builtinId="3"/>
    <cellStyle name="Comma 6" xfId="2"/>
    <cellStyle name="Normal" xfId="0" builtinId="0"/>
    <cellStyle name="Normal 15" xfId="1"/>
    <cellStyle name="Normal_Sheet1" xfId="3"/>
  </cellStyles>
  <dxfs count="0"/>
  <tableStyles count="0" defaultTableStyle="TableStyleMedium2" defaultPivotStyle="PivotStyleLight16"/>
  <colors>
    <mruColors>
      <color rgb="FFC7ECA6"/>
      <color rgb="FFCBEDAD"/>
      <color rgb="FFA0DD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"/>
  <sheetViews>
    <sheetView tabSelected="1" workbookViewId="0">
      <pane xSplit="5" ySplit="1" topLeftCell="U47" activePane="bottomRight" state="frozen"/>
      <selection pane="topRight" activeCell="F1" sqref="F1"/>
      <selection pane="bottomLeft" activeCell="A2" sqref="A2"/>
      <selection pane="bottomRight" activeCell="AB70" sqref="AB70"/>
    </sheetView>
  </sheetViews>
  <sheetFormatPr defaultRowHeight="15" x14ac:dyDescent="0.25"/>
  <cols>
    <col min="1" max="1" width="14.140625" style="6" customWidth="1"/>
    <col min="2" max="2" width="24.28515625" customWidth="1"/>
    <col min="3" max="3" width="23.28515625" customWidth="1"/>
    <col min="4" max="4" width="19.42578125" customWidth="1"/>
    <col min="5" max="5" width="18.85546875" customWidth="1"/>
    <col min="6" max="20" width="14.140625" customWidth="1"/>
    <col min="21" max="21" width="14.7109375" bestFit="1" customWidth="1"/>
    <col min="22" max="22" width="13" customWidth="1"/>
    <col min="23" max="23" width="15.140625" customWidth="1"/>
    <col min="24" max="25" width="12.7109375" bestFit="1" customWidth="1"/>
    <col min="26" max="26" width="13.140625" customWidth="1"/>
    <col min="27" max="27" width="11.140625" bestFit="1" customWidth="1"/>
    <col min="28" max="29" width="11" bestFit="1" customWidth="1"/>
    <col min="30" max="30" width="10.140625" bestFit="1" customWidth="1"/>
    <col min="32" max="32" width="11.5703125" customWidth="1"/>
  </cols>
  <sheetData>
    <row r="1" spans="1:32" ht="30.75" thickBot="1" x14ac:dyDescent="0.3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9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18" t="s">
        <v>27</v>
      </c>
      <c r="AC1" s="18" t="s">
        <v>28</v>
      </c>
      <c r="AD1" s="12" t="s">
        <v>29</v>
      </c>
      <c r="AE1" s="12" t="s">
        <v>30</v>
      </c>
      <c r="AF1" s="12" t="s">
        <v>31</v>
      </c>
    </row>
    <row r="2" spans="1:32" x14ac:dyDescent="0.25">
      <c r="A2" s="1" t="s">
        <v>32</v>
      </c>
      <c r="B2" s="2" t="s">
        <v>33</v>
      </c>
      <c r="C2" s="23">
        <v>1370539</v>
      </c>
      <c r="D2" s="24">
        <f>SUM(F2:AF2)</f>
        <v>1370539</v>
      </c>
      <c r="E2" s="24">
        <f t="shared" ref="E2:E65" si="0">C2-D2</f>
        <v>0</v>
      </c>
      <c r="F2" s="24"/>
      <c r="G2" s="24"/>
      <c r="H2" s="24"/>
      <c r="I2" s="24">
        <v>63710</v>
      </c>
      <c r="J2" s="24">
        <v>150969</v>
      </c>
      <c r="K2" s="24"/>
      <c r="L2" s="24">
        <v>18167</v>
      </c>
      <c r="M2" s="24">
        <v>297309</v>
      </c>
      <c r="N2" s="24"/>
      <c r="O2" s="24"/>
      <c r="P2" s="24"/>
      <c r="Q2" s="24"/>
      <c r="R2" s="24"/>
      <c r="S2" s="24"/>
      <c r="T2" s="24">
        <v>837631</v>
      </c>
      <c r="U2" s="24"/>
      <c r="V2" s="24">
        <v>2753</v>
      </c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x14ac:dyDescent="0.25">
      <c r="A3" s="1" t="s">
        <v>34</v>
      </c>
      <c r="B3" s="2" t="s">
        <v>35</v>
      </c>
      <c r="C3" s="23">
        <v>6111859</v>
      </c>
      <c r="D3" s="24">
        <f t="shared" ref="D3:D66" si="1">SUM(F3:AF3)</f>
        <v>6111859</v>
      </c>
      <c r="E3" s="24">
        <f t="shared" si="0"/>
        <v>0</v>
      </c>
      <c r="F3" s="24"/>
      <c r="G3" s="24"/>
      <c r="H3" s="24"/>
      <c r="I3" s="24">
        <v>212044</v>
      </c>
      <c r="J3" s="24">
        <v>480104</v>
      </c>
      <c r="K3" s="24"/>
      <c r="L3" s="24">
        <v>470581</v>
      </c>
      <c r="M3" s="24">
        <f>470108+534228</f>
        <v>1004336</v>
      </c>
      <c r="N3" s="24">
        <v>472303</v>
      </c>
      <c r="O3" s="24"/>
      <c r="P3" s="24">
        <f>475792+474075</f>
        <v>949867</v>
      </c>
      <c r="Q3" s="24">
        <v>510315</v>
      </c>
      <c r="R3" s="24">
        <v>482044</v>
      </c>
      <c r="S3" s="24"/>
      <c r="T3" s="24">
        <v>993880</v>
      </c>
      <c r="U3" s="24">
        <v>515489</v>
      </c>
      <c r="V3" s="24">
        <v>20896</v>
      </c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x14ac:dyDescent="0.25">
      <c r="A4" s="1" t="s">
        <v>36</v>
      </c>
      <c r="B4" s="2" t="s">
        <v>37</v>
      </c>
      <c r="C4" s="23">
        <v>1356054</v>
      </c>
      <c r="D4" s="24">
        <f t="shared" si="1"/>
        <v>1356054</v>
      </c>
      <c r="E4" s="24">
        <f t="shared" si="0"/>
        <v>0</v>
      </c>
      <c r="F4" s="24"/>
      <c r="G4" s="24"/>
      <c r="H4" s="24"/>
      <c r="I4" s="24"/>
      <c r="J4" s="24">
        <v>37364</v>
      </c>
      <c r="K4" s="24">
        <v>132498</v>
      </c>
      <c r="L4" s="24">
        <v>162109</v>
      </c>
      <c r="M4" s="24">
        <v>140360</v>
      </c>
      <c r="N4" s="24">
        <v>123935</v>
      </c>
      <c r="O4" s="24">
        <v>135008</v>
      </c>
      <c r="P4" s="24">
        <v>140809</v>
      </c>
      <c r="Q4" s="24">
        <v>123711</v>
      </c>
      <c r="R4" s="24">
        <v>93765</v>
      </c>
      <c r="S4" s="24">
        <f>93765+40857</f>
        <v>134622</v>
      </c>
      <c r="T4" s="24">
        <f>2747+3145</f>
        <v>5892</v>
      </c>
      <c r="U4" s="24">
        <v>125981</v>
      </c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x14ac:dyDescent="0.25">
      <c r="A5" s="1" t="s">
        <v>38</v>
      </c>
      <c r="B5" s="2" t="s">
        <v>39</v>
      </c>
      <c r="C5" s="23">
        <v>2198950</v>
      </c>
      <c r="D5" s="24">
        <f t="shared" si="1"/>
        <v>2198950</v>
      </c>
      <c r="E5" s="24">
        <f t="shared" si="0"/>
        <v>0</v>
      </c>
      <c r="F5" s="24"/>
      <c r="G5" s="24"/>
      <c r="H5" s="24"/>
      <c r="I5" s="24"/>
      <c r="J5" s="24"/>
      <c r="K5" s="24">
        <v>0</v>
      </c>
      <c r="L5" s="24"/>
      <c r="M5" s="24">
        <v>180355</v>
      </c>
      <c r="N5" s="24">
        <v>349308</v>
      </c>
      <c r="O5" s="24">
        <v>198293</v>
      </c>
      <c r="P5" s="24">
        <f>236366+7814</f>
        <v>244180</v>
      </c>
      <c r="Q5" s="24"/>
      <c r="R5" s="24"/>
      <c r="S5" s="24">
        <v>461100</v>
      </c>
      <c r="T5" s="25">
        <v>479818</v>
      </c>
      <c r="U5" s="25">
        <v>64473</v>
      </c>
      <c r="V5" s="24">
        <v>221423</v>
      </c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 x14ac:dyDescent="0.25">
      <c r="A6" s="1" t="s">
        <v>40</v>
      </c>
      <c r="B6" s="2" t="s">
        <v>41</v>
      </c>
      <c r="C6" s="23">
        <v>1932587</v>
      </c>
      <c r="D6" s="24">
        <f t="shared" si="1"/>
        <v>1932587</v>
      </c>
      <c r="E6" s="24">
        <f t="shared" si="0"/>
        <v>0</v>
      </c>
      <c r="F6" s="24"/>
      <c r="G6" s="24"/>
      <c r="H6" s="24"/>
      <c r="I6" s="24">
        <f>162363+148474</f>
        <v>310837</v>
      </c>
      <c r="J6" s="24">
        <v>177676</v>
      </c>
      <c r="K6" s="24">
        <v>149905</v>
      </c>
      <c r="L6" s="24"/>
      <c r="M6" s="24">
        <f>371822+190610</f>
        <v>562432</v>
      </c>
      <c r="N6" s="24"/>
      <c r="O6" s="24">
        <v>199552</v>
      </c>
      <c r="P6" s="24">
        <v>186479</v>
      </c>
      <c r="Q6" s="24">
        <v>104770</v>
      </c>
      <c r="R6" s="24"/>
      <c r="S6" s="24">
        <f>153173+87763</f>
        <v>240936</v>
      </c>
      <c r="T6" s="25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x14ac:dyDescent="0.25">
      <c r="A7" s="21" t="s">
        <v>42</v>
      </c>
      <c r="B7" s="2" t="s">
        <v>43</v>
      </c>
      <c r="C7" s="23">
        <v>682474</v>
      </c>
      <c r="D7" s="24">
        <f t="shared" si="1"/>
        <v>682474</v>
      </c>
      <c r="E7" s="24">
        <f t="shared" si="0"/>
        <v>0</v>
      </c>
      <c r="F7" s="24"/>
      <c r="G7" s="24"/>
      <c r="H7" s="24"/>
      <c r="I7" s="24">
        <v>2897</v>
      </c>
      <c r="J7" s="24">
        <v>48158</v>
      </c>
      <c r="K7" s="24">
        <v>46839</v>
      </c>
      <c r="L7" s="24">
        <v>58952</v>
      </c>
      <c r="M7" s="24">
        <v>47725</v>
      </c>
      <c r="N7" s="24">
        <v>49314</v>
      </c>
      <c r="O7" s="24">
        <v>45796</v>
      </c>
      <c r="P7" s="24">
        <v>72477</v>
      </c>
      <c r="Q7" s="24">
        <v>54749</v>
      </c>
      <c r="R7" s="24">
        <v>54362</v>
      </c>
      <c r="S7" s="24">
        <f>81699+323</f>
        <v>82022</v>
      </c>
      <c r="T7" s="25">
        <v>51516</v>
      </c>
      <c r="U7" s="26">
        <v>42346</v>
      </c>
      <c r="V7" s="24">
        <v>25321</v>
      </c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1:32" x14ac:dyDescent="0.25">
      <c r="A8" s="21" t="s">
        <v>44</v>
      </c>
      <c r="B8" s="2" t="s">
        <v>45</v>
      </c>
      <c r="C8" s="23">
        <v>334391</v>
      </c>
      <c r="D8" s="24">
        <f t="shared" si="1"/>
        <v>334391</v>
      </c>
      <c r="E8" s="24">
        <f t="shared" si="0"/>
        <v>0</v>
      </c>
      <c r="F8" s="24"/>
      <c r="G8" s="24"/>
      <c r="H8" s="24"/>
      <c r="I8" s="24"/>
      <c r="J8" s="24">
        <v>39412</v>
      </c>
      <c r="K8" s="24"/>
      <c r="L8" s="24">
        <v>48512</v>
      </c>
      <c r="M8" s="24"/>
      <c r="N8" s="24">
        <v>28525</v>
      </c>
      <c r="O8" s="24"/>
      <c r="P8" s="24">
        <v>55780</v>
      </c>
      <c r="Q8" s="24">
        <v>13673</v>
      </c>
      <c r="R8" s="24"/>
      <c r="S8" s="24">
        <v>30048</v>
      </c>
      <c r="T8" s="25"/>
      <c r="U8" s="24">
        <v>23444</v>
      </c>
      <c r="V8" s="24"/>
      <c r="W8" s="24">
        <v>94997</v>
      </c>
      <c r="X8" s="24"/>
      <c r="Y8" s="24"/>
      <c r="Z8" s="24"/>
      <c r="AA8" s="24"/>
      <c r="AB8" s="24"/>
      <c r="AC8" s="24"/>
      <c r="AD8" s="24"/>
      <c r="AE8" s="24"/>
      <c r="AF8" s="24"/>
    </row>
    <row r="9" spans="1:32" x14ac:dyDescent="0.25">
      <c r="A9" s="1" t="s">
        <v>46</v>
      </c>
      <c r="B9" s="2" t="s">
        <v>47</v>
      </c>
      <c r="C9" s="23">
        <v>8752311</v>
      </c>
      <c r="D9" s="24">
        <f t="shared" si="1"/>
        <v>8752311</v>
      </c>
      <c r="E9" s="24">
        <f t="shared" si="0"/>
        <v>0</v>
      </c>
      <c r="F9" s="24"/>
      <c r="G9" s="24"/>
      <c r="H9" s="24"/>
      <c r="I9" s="24">
        <v>1168203</v>
      </c>
      <c r="J9" s="24">
        <v>709527</v>
      </c>
      <c r="K9" s="24">
        <v>643829</v>
      </c>
      <c r="L9" s="24">
        <v>682532</v>
      </c>
      <c r="M9" s="24"/>
      <c r="N9" s="24"/>
      <c r="O9" s="24">
        <v>2684464</v>
      </c>
      <c r="P9" s="24">
        <f>683541+30599</f>
        <v>714140</v>
      </c>
      <c r="Q9" s="24">
        <v>690397</v>
      </c>
      <c r="R9" s="24">
        <v>671690</v>
      </c>
      <c r="S9" s="24"/>
      <c r="T9" s="25">
        <v>617482</v>
      </c>
      <c r="U9" s="24">
        <v>170047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</row>
    <row r="10" spans="1:32" x14ac:dyDescent="0.25">
      <c r="A10" s="1" t="s">
        <v>48</v>
      </c>
      <c r="B10" s="2" t="s">
        <v>49</v>
      </c>
      <c r="C10" s="23">
        <v>2549056</v>
      </c>
      <c r="D10" s="24">
        <f t="shared" si="1"/>
        <v>2549056</v>
      </c>
      <c r="E10" s="24">
        <f t="shared" si="0"/>
        <v>0</v>
      </c>
      <c r="F10" s="24"/>
      <c r="G10" s="24"/>
      <c r="H10" s="24"/>
      <c r="I10" s="24">
        <v>584364</v>
      </c>
      <c r="J10" s="24">
        <v>225708</v>
      </c>
      <c r="K10" s="24">
        <v>225220</v>
      </c>
      <c r="L10" s="24">
        <v>247741</v>
      </c>
      <c r="M10" s="24">
        <v>214035</v>
      </c>
      <c r="N10" s="24">
        <v>216544</v>
      </c>
      <c r="O10" s="24">
        <v>222281</v>
      </c>
      <c r="P10" s="24">
        <v>249269</v>
      </c>
      <c r="Q10" s="24">
        <v>254451</v>
      </c>
      <c r="R10" s="24"/>
      <c r="S10" s="24"/>
      <c r="T10" s="27">
        <f>106492+2951</f>
        <v>109443</v>
      </c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2" ht="30" x14ac:dyDescent="0.25">
      <c r="A11" s="1" t="s">
        <v>50</v>
      </c>
      <c r="B11" s="2" t="s">
        <v>51</v>
      </c>
      <c r="C11" s="23">
        <v>7096326</v>
      </c>
      <c r="D11" s="24">
        <f t="shared" si="1"/>
        <v>7096326</v>
      </c>
      <c r="E11" s="24">
        <f t="shared" si="0"/>
        <v>0</v>
      </c>
      <c r="F11" s="24"/>
      <c r="G11" s="24"/>
      <c r="H11" s="24">
        <v>563264</v>
      </c>
      <c r="I11" s="24"/>
      <c r="J11" s="24">
        <v>311214</v>
      </c>
      <c r="K11" s="24"/>
      <c r="L11" s="24"/>
      <c r="M11" s="24">
        <v>1514710</v>
      </c>
      <c r="N11" s="24"/>
      <c r="O11" s="24">
        <v>1559255</v>
      </c>
      <c r="P11" s="24">
        <v>563313</v>
      </c>
      <c r="Q11" s="24"/>
      <c r="R11" s="24"/>
      <c r="S11" s="24">
        <v>1126903</v>
      </c>
      <c r="T11" s="25"/>
      <c r="U11" s="24">
        <v>412422</v>
      </c>
      <c r="V11" s="24"/>
      <c r="W11" s="24">
        <v>1045245</v>
      </c>
      <c r="X11" s="24"/>
      <c r="Y11" s="24"/>
      <c r="Z11" s="24"/>
      <c r="AA11" s="24"/>
      <c r="AB11" s="24"/>
      <c r="AC11" s="24"/>
      <c r="AD11" s="24"/>
      <c r="AE11" s="24"/>
      <c r="AF11" s="24"/>
    </row>
    <row r="12" spans="1:32" x14ac:dyDescent="0.25">
      <c r="A12" s="1" t="s">
        <v>52</v>
      </c>
      <c r="B12" s="2" t="s">
        <v>53</v>
      </c>
      <c r="C12" s="23">
        <v>4361308</v>
      </c>
      <c r="D12" s="24">
        <f t="shared" si="1"/>
        <v>4361308</v>
      </c>
      <c r="E12" s="24">
        <f t="shared" si="0"/>
        <v>0</v>
      </c>
      <c r="F12" s="24"/>
      <c r="G12" s="24"/>
      <c r="H12" s="24"/>
      <c r="I12" s="24"/>
      <c r="J12" s="24"/>
      <c r="K12" s="24"/>
      <c r="L12" s="24"/>
      <c r="M12" s="24">
        <v>375245</v>
      </c>
      <c r="N12" s="24"/>
      <c r="O12" s="24"/>
      <c r="P12" s="24">
        <v>980096</v>
      </c>
      <c r="Q12" s="24">
        <v>355977</v>
      </c>
      <c r="R12" s="24"/>
      <c r="S12" s="24"/>
      <c r="T12" s="25"/>
      <c r="U12" s="24">
        <v>1243721</v>
      </c>
      <c r="V12" s="24"/>
      <c r="W12" s="24">
        <v>1219407</v>
      </c>
      <c r="X12" s="24"/>
      <c r="Y12" s="24"/>
      <c r="Z12" s="28"/>
      <c r="AA12" s="24">
        <v>186862</v>
      </c>
      <c r="AB12" s="24"/>
      <c r="AC12" s="24"/>
      <c r="AD12" s="24"/>
      <c r="AE12" s="24"/>
      <c r="AF12" s="24"/>
    </row>
    <row r="13" spans="1:32" x14ac:dyDescent="0.25">
      <c r="A13" s="1" t="s">
        <v>54</v>
      </c>
      <c r="B13" s="2" t="s">
        <v>55</v>
      </c>
      <c r="C13" s="23">
        <v>5193315</v>
      </c>
      <c r="D13" s="24">
        <f t="shared" si="1"/>
        <v>5193315</v>
      </c>
      <c r="E13" s="24">
        <f t="shared" si="0"/>
        <v>0</v>
      </c>
      <c r="F13" s="24"/>
      <c r="G13" s="24"/>
      <c r="H13" s="24"/>
      <c r="I13" s="24">
        <v>319357</v>
      </c>
      <c r="J13" s="24">
        <v>564759</v>
      </c>
      <c r="K13" s="24">
        <v>506703</v>
      </c>
      <c r="L13" s="24">
        <v>370209</v>
      </c>
      <c r="M13" s="24">
        <v>500016</v>
      </c>
      <c r="N13" s="24">
        <v>527092</v>
      </c>
      <c r="O13" s="24">
        <v>302121</v>
      </c>
      <c r="P13" s="24">
        <v>546047</v>
      </c>
      <c r="Q13" s="24">
        <v>586526</v>
      </c>
      <c r="R13" s="24">
        <v>108988</v>
      </c>
      <c r="S13" s="24"/>
      <c r="T13" s="25">
        <f>102936+403880</f>
        <v>506816</v>
      </c>
      <c r="U13" s="25">
        <f>102936+251745</f>
        <v>354681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</row>
    <row r="14" spans="1:32" x14ac:dyDescent="0.25">
      <c r="A14" s="1" t="s">
        <v>56</v>
      </c>
      <c r="B14" s="2" t="s">
        <v>57</v>
      </c>
      <c r="C14" s="23">
        <v>892903</v>
      </c>
      <c r="D14" s="24">
        <f t="shared" si="1"/>
        <v>892903</v>
      </c>
      <c r="E14" s="24">
        <f t="shared" si="0"/>
        <v>0</v>
      </c>
      <c r="F14" s="24"/>
      <c r="G14" s="24"/>
      <c r="H14" s="24"/>
      <c r="I14" s="24"/>
      <c r="J14" s="24"/>
      <c r="K14" s="24"/>
      <c r="L14" s="24"/>
      <c r="M14" s="24"/>
      <c r="N14" s="24">
        <v>300128</v>
      </c>
      <c r="O14" s="24">
        <v>98467</v>
      </c>
      <c r="P14" s="24"/>
      <c r="Q14" s="24"/>
      <c r="R14" s="24"/>
      <c r="S14" s="24"/>
      <c r="T14" s="24">
        <v>363357</v>
      </c>
      <c r="U14" s="24"/>
      <c r="V14" s="24">
        <v>130951</v>
      </c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5" spans="1:32" x14ac:dyDescent="0.25">
      <c r="A15" s="1" t="s">
        <v>58</v>
      </c>
      <c r="B15" s="2" t="s">
        <v>59</v>
      </c>
      <c r="C15" s="23">
        <v>16309699</v>
      </c>
      <c r="D15" s="24">
        <f t="shared" si="1"/>
        <v>16309699</v>
      </c>
      <c r="E15" s="24">
        <f t="shared" si="0"/>
        <v>0</v>
      </c>
      <c r="F15" s="24"/>
      <c r="G15" s="24"/>
      <c r="H15" s="24"/>
      <c r="I15" s="24"/>
      <c r="J15" s="24"/>
      <c r="K15" s="24">
        <v>1864141</v>
      </c>
      <c r="L15" s="24">
        <f>450000+1397731</f>
        <v>1847731</v>
      </c>
      <c r="M15" s="24"/>
      <c r="N15" s="24">
        <v>2922827</v>
      </c>
      <c r="O15" s="24"/>
      <c r="P15" s="24"/>
      <c r="Q15" s="24">
        <f>2963713+1650740</f>
        <v>4614453</v>
      </c>
      <c r="R15" s="24"/>
      <c r="S15" s="24">
        <v>1703942</v>
      </c>
      <c r="T15" s="24">
        <v>592917</v>
      </c>
      <c r="U15" s="24">
        <v>1377032</v>
      </c>
      <c r="V15" s="24"/>
      <c r="W15" s="24"/>
      <c r="X15" s="24"/>
      <c r="Y15" s="24">
        <v>1386656</v>
      </c>
      <c r="Z15" s="24"/>
      <c r="AA15" s="24"/>
      <c r="AB15" s="24"/>
      <c r="AC15" s="24"/>
      <c r="AD15" s="24"/>
      <c r="AE15" s="24"/>
      <c r="AF15" s="24"/>
    </row>
    <row r="16" spans="1:32" x14ac:dyDescent="0.25">
      <c r="A16" s="1" t="s">
        <v>60</v>
      </c>
      <c r="B16" s="2" t="s">
        <v>61</v>
      </c>
      <c r="C16" s="23">
        <v>8556833</v>
      </c>
      <c r="D16" s="24">
        <f t="shared" si="1"/>
        <v>8556833</v>
      </c>
      <c r="E16" s="24">
        <f t="shared" si="0"/>
        <v>0</v>
      </c>
      <c r="F16" s="24"/>
      <c r="G16" s="24"/>
      <c r="H16" s="24"/>
      <c r="I16" s="24"/>
      <c r="J16" s="24">
        <v>2321777</v>
      </c>
      <c r="K16" s="24">
        <v>730489</v>
      </c>
      <c r="L16" s="24">
        <v>707858</v>
      </c>
      <c r="M16" s="24">
        <v>707736</v>
      </c>
      <c r="N16" s="24"/>
      <c r="O16" s="24">
        <v>708964</v>
      </c>
      <c r="P16" s="24">
        <f>704989+669419</f>
        <v>1374408</v>
      </c>
      <c r="Q16" s="24">
        <v>736090</v>
      </c>
      <c r="R16" s="24">
        <v>692549</v>
      </c>
      <c r="S16" s="24">
        <v>486280</v>
      </c>
      <c r="T16" s="24"/>
      <c r="U16" s="24">
        <v>90682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</row>
    <row r="17" spans="1:32" x14ac:dyDescent="0.25">
      <c r="A17" s="1" t="s">
        <v>62</v>
      </c>
      <c r="B17" s="2" t="s">
        <v>63</v>
      </c>
      <c r="C17" s="23">
        <v>1112661</v>
      </c>
      <c r="D17" s="24">
        <f t="shared" si="1"/>
        <v>1112661</v>
      </c>
      <c r="E17" s="24">
        <f t="shared" si="0"/>
        <v>0</v>
      </c>
      <c r="F17" s="24"/>
      <c r="G17" s="24"/>
      <c r="H17" s="24"/>
      <c r="I17" s="24"/>
      <c r="J17" s="24"/>
      <c r="K17" s="24"/>
      <c r="L17" s="24"/>
      <c r="M17" s="24">
        <v>380632</v>
      </c>
      <c r="N17" s="24"/>
      <c r="O17" s="24"/>
      <c r="P17" s="24"/>
      <c r="Q17" s="24"/>
      <c r="R17" s="24"/>
      <c r="S17" s="24">
        <v>732029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x14ac:dyDescent="0.25">
      <c r="A18" s="1" t="s">
        <v>64</v>
      </c>
      <c r="B18" s="2" t="s">
        <v>65</v>
      </c>
      <c r="C18" s="23">
        <v>407357</v>
      </c>
      <c r="D18" s="24">
        <f t="shared" si="1"/>
        <v>407357</v>
      </c>
      <c r="E18" s="24">
        <f t="shared" si="0"/>
        <v>0</v>
      </c>
      <c r="F18" s="24"/>
      <c r="G18" s="24"/>
      <c r="H18" s="24"/>
      <c r="I18" s="24"/>
      <c r="J18" s="24"/>
      <c r="K18" s="24"/>
      <c r="L18" s="24">
        <v>163495</v>
      </c>
      <c r="M18" s="24"/>
      <c r="N18" s="24">
        <v>78036</v>
      </c>
      <c r="O18" s="24"/>
      <c r="P18" s="24">
        <v>67203</v>
      </c>
      <c r="Q18" s="24">
        <v>98622</v>
      </c>
      <c r="R18" s="24"/>
      <c r="S18" s="24"/>
      <c r="T18" s="24"/>
      <c r="U18" s="24"/>
      <c r="V18" s="24"/>
      <c r="W18" s="24"/>
      <c r="X18" s="24">
        <v>1</v>
      </c>
      <c r="Y18" s="24"/>
      <c r="Z18" s="24"/>
      <c r="AA18" s="24"/>
      <c r="AB18" s="24"/>
      <c r="AC18" s="24"/>
      <c r="AD18" s="24"/>
      <c r="AE18" s="24"/>
      <c r="AF18" s="24"/>
    </row>
    <row r="19" spans="1:32" x14ac:dyDescent="0.25">
      <c r="A19" s="1" t="s">
        <v>66</v>
      </c>
      <c r="B19" s="2" t="s">
        <v>67</v>
      </c>
      <c r="C19" s="23">
        <v>2219157</v>
      </c>
      <c r="D19" s="24">
        <f t="shared" si="1"/>
        <v>2219157</v>
      </c>
      <c r="E19" s="24">
        <f t="shared" si="0"/>
        <v>0</v>
      </c>
      <c r="F19" s="24"/>
      <c r="G19" s="24"/>
      <c r="H19" s="24"/>
      <c r="I19" s="24"/>
      <c r="J19" s="24"/>
      <c r="K19" s="24"/>
      <c r="L19" s="24"/>
      <c r="M19" s="24"/>
      <c r="N19" s="24"/>
      <c r="O19" s="24">
        <v>529892</v>
      </c>
      <c r="P19" s="24">
        <v>168605</v>
      </c>
      <c r="Q19" s="24">
        <v>131732</v>
      </c>
      <c r="R19" s="24"/>
      <c r="S19" s="24"/>
      <c r="T19" s="24">
        <v>554975</v>
      </c>
      <c r="U19" s="24"/>
      <c r="V19" s="24">
        <v>331666</v>
      </c>
      <c r="W19" s="24"/>
      <c r="X19" s="24"/>
      <c r="Y19" s="24"/>
      <c r="Z19" s="24"/>
      <c r="AA19" s="24"/>
      <c r="AB19" s="24">
        <v>0</v>
      </c>
      <c r="AC19" s="24">
        <v>502287</v>
      </c>
      <c r="AD19" s="24"/>
      <c r="AE19" s="24"/>
      <c r="AF19" s="24"/>
    </row>
    <row r="20" spans="1:32" x14ac:dyDescent="0.25">
      <c r="A20" s="1" t="s">
        <v>68</v>
      </c>
      <c r="B20" s="2" t="s">
        <v>69</v>
      </c>
      <c r="C20" s="23">
        <v>1657838</v>
      </c>
      <c r="D20" s="24">
        <f t="shared" si="1"/>
        <v>1657838</v>
      </c>
      <c r="E20" s="24">
        <f t="shared" si="0"/>
        <v>0</v>
      </c>
      <c r="F20" s="24"/>
      <c r="G20" s="24"/>
      <c r="H20" s="24"/>
      <c r="I20" s="24"/>
      <c r="J20" s="24"/>
      <c r="K20" s="24">
        <v>46197</v>
      </c>
      <c r="L20" s="24">
        <v>140439</v>
      </c>
      <c r="M20" s="24">
        <v>147200</v>
      </c>
      <c r="N20" s="24">
        <v>151453</v>
      </c>
      <c r="O20" s="24">
        <v>137401</v>
      </c>
      <c r="P20" s="24">
        <v>137448</v>
      </c>
      <c r="Q20" s="24">
        <v>137556</v>
      </c>
      <c r="R20" s="24">
        <v>138477</v>
      </c>
      <c r="S20" s="24"/>
      <c r="T20" s="24">
        <v>350670</v>
      </c>
      <c r="U20" s="24"/>
      <c r="V20" s="24">
        <f>133280+135735</f>
        <v>269015</v>
      </c>
      <c r="W20" s="24">
        <v>1982</v>
      </c>
      <c r="X20" s="24"/>
      <c r="Y20" s="24"/>
      <c r="Z20" s="24"/>
      <c r="AA20" s="24"/>
      <c r="AB20" s="24"/>
      <c r="AC20" s="24"/>
      <c r="AD20" s="24"/>
      <c r="AE20" s="24"/>
      <c r="AF20" s="24"/>
    </row>
    <row r="21" spans="1:32" x14ac:dyDescent="0.25">
      <c r="A21" s="1" t="s">
        <v>70</v>
      </c>
      <c r="B21" s="2" t="s">
        <v>71</v>
      </c>
      <c r="C21" s="23">
        <v>1221295</v>
      </c>
      <c r="D21" s="24">
        <f t="shared" si="1"/>
        <v>1221295</v>
      </c>
      <c r="E21" s="24">
        <f t="shared" si="0"/>
        <v>0</v>
      </c>
      <c r="F21" s="24"/>
      <c r="G21" s="24"/>
      <c r="H21" s="24"/>
      <c r="I21" s="24">
        <v>296697</v>
      </c>
      <c r="J21" s="24">
        <v>93260</v>
      </c>
      <c r="K21" s="24">
        <v>125027</v>
      </c>
      <c r="L21" s="24">
        <v>103787</v>
      </c>
      <c r="M21" s="24"/>
      <c r="N21" s="24">
        <f>104176+104327</f>
        <v>208503</v>
      </c>
      <c r="O21" s="24">
        <v>103880</v>
      </c>
      <c r="P21" s="24">
        <v>104177</v>
      </c>
      <c r="Q21" s="24">
        <v>185964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</row>
    <row r="22" spans="1:32" ht="30" x14ac:dyDescent="0.25">
      <c r="A22" s="1" t="s">
        <v>72</v>
      </c>
      <c r="B22" s="2" t="s">
        <v>73</v>
      </c>
      <c r="C22" s="23">
        <v>5287089</v>
      </c>
      <c r="D22" s="24">
        <f t="shared" si="1"/>
        <v>5287089</v>
      </c>
      <c r="E22" s="24">
        <f t="shared" si="0"/>
        <v>0</v>
      </c>
      <c r="F22" s="24"/>
      <c r="G22" s="24"/>
      <c r="H22" s="24">
        <v>320720</v>
      </c>
      <c r="I22" s="24">
        <v>377426</v>
      </c>
      <c r="J22" s="24">
        <v>435649</v>
      </c>
      <c r="K22" s="24">
        <v>465047</v>
      </c>
      <c r="L22" s="24">
        <v>522730</v>
      </c>
      <c r="M22" s="24">
        <v>496779</v>
      </c>
      <c r="N22" s="24">
        <v>503182</v>
      </c>
      <c r="O22" s="24">
        <v>413424</v>
      </c>
      <c r="P22" s="24">
        <v>564543</v>
      </c>
      <c r="Q22" s="24">
        <v>703416</v>
      </c>
      <c r="R22" s="24"/>
      <c r="S22" s="24">
        <v>257030</v>
      </c>
      <c r="T22" s="24">
        <v>227143</v>
      </c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spans="1:32" ht="30" x14ac:dyDescent="0.25">
      <c r="A23" s="1" t="s">
        <v>74</v>
      </c>
      <c r="B23" s="2" t="s">
        <v>75</v>
      </c>
      <c r="C23" s="23">
        <v>684942</v>
      </c>
      <c r="D23" s="24">
        <f t="shared" si="1"/>
        <v>684942</v>
      </c>
      <c r="E23" s="24">
        <f t="shared" si="0"/>
        <v>0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>
        <v>293062</v>
      </c>
      <c r="R23" s="24">
        <v>290505</v>
      </c>
      <c r="S23" s="24"/>
      <c r="T23" s="24">
        <v>101375</v>
      </c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</row>
    <row r="24" spans="1:32" x14ac:dyDescent="0.25">
      <c r="A24" s="1" t="s">
        <v>76</v>
      </c>
      <c r="B24" s="2" t="s">
        <v>77</v>
      </c>
      <c r="C24" s="23">
        <v>3245259</v>
      </c>
      <c r="D24" s="24">
        <f t="shared" si="1"/>
        <v>3245259</v>
      </c>
      <c r="E24" s="24">
        <f t="shared" si="0"/>
        <v>0</v>
      </c>
      <c r="F24" s="24"/>
      <c r="G24" s="24"/>
      <c r="H24" s="24"/>
      <c r="I24" s="24"/>
      <c r="J24" s="24"/>
      <c r="K24" s="24">
        <v>209407</v>
      </c>
      <c r="L24" s="24">
        <v>293695</v>
      </c>
      <c r="M24" s="24">
        <v>234030</v>
      </c>
      <c r="N24" s="24">
        <v>236199</v>
      </c>
      <c r="O24" s="24">
        <v>264325</v>
      </c>
      <c r="P24" s="24">
        <v>244127</v>
      </c>
      <c r="Q24" s="24">
        <v>272530</v>
      </c>
      <c r="R24" s="24">
        <v>282154</v>
      </c>
      <c r="S24" s="24">
        <v>197094</v>
      </c>
      <c r="T24" s="24">
        <v>195525</v>
      </c>
      <c r="U24" s="24">
        <v>407608</v>
      </c>
      <c r="V24" s="24">
        <v>264818</v>
      </c>
      <c r="W24" s="24"/>
      <c r="X24" s="24">
        <v>143747</v>
      </c>
      <c r="Y24" s="24"/>
      <c r="Z24" s="24"/>
      <c r="AA24" s="24"/>
      <c r="AB24" s="24"/>
      <c r="AC24" s="24"/>
      <c r="AD24" s="24"/>
      <c r="AE24" s="24"/>
      <c r="AF24" s="24"/>
    </row>
    <row r="25" spans="1:32" x14ac:dyDescent="0.25">
      <c r="A25" s="1" t="s">
        <v>78</v>
      </c>
      <c r="B25" s="2" t="s">
        <v>79</v>
      </c>
      <c r="C25" s="23">
        <v>880156</v>
      </c>
      <c r="D25" s="24">
        <f t="shared" si="1"/>
        <v>880156</v>
      </c>
      <c r="E25" s="24">
        <f t="shared" si="0"/>
        <v>0</v>
      </c>
      <c r="F25" s="24"/>
      <c r="G25" s="24"/>
      <c r="H25" s="24"/>
      <c r="I25" s="24"/>
      <c r="J25" s="24"/>
      <c r="K25" s="24"/>
      <c r="L25" s="24"/>
      <c r="M25" s="24">
        <v>51147</v>
      </c>
      <c r="N25" s="24">
        <v>70786</v>
      </c>
      <c r="O25" s="24">
        <v>226422</v>
      </c>
      <c r="P25" s="24">
        <v>68833</v>
      </c>
      <c r="Q25" s="24">
        <v>68862</v>
      </c>
      <c r="R25" s="24">
        <v>142655</v>
      </c>
      <c r="S25" s="24"/>
      <c r="T25" s="24"/>
      <c r="U25" s="24"/>
      <c r="V25" s="24"/>
      <c r="W25" s="24"/>
      <c r="X25" s="24">
        <v>251451</v>
      </c>
      <c r="Y25" s="24"/>
      <c r="Z25" s="24"/>
      <c r="AA25" s="24"/>
      <c r="AB25" s="24"/>
      <c r="AC25" s="24"/>
      <c r="AD25" s="24"/>
      <c r="AE25" s="24"/>
      <c r="AF25" s="24"/>
    </row>
    <row r="26" spans="1:32" x14ac:dyDescent="0.25">
      <c r="A26" s="1" t="s">
        <v>80</v>
      </c>
      <c r="B26" s="2" t="s">
        <v>81</v>
      </c>
      <c r="C26" s="23">
        <v>2830771</v>
      </c>
      <c r="D26" s="24">
        <f t="shared" si="1"/>
        <v>2830771</v>
      </c>
      <c r="E26" s="24">
        <f t="shared" si="0"/>
        <v>0</v>
      </c>
      <c r="F26" s="24"/>
      <c r="G26" s="24"/>
      <c r="H26" s="24"/>
      <c r="I26" s="24"/>
      <c r="J26" s="24"/>
      <c r="K26" s="24">
        <v>555522</v>
      </c>
      <c r="L26" s="24"/>
      <c r="M26" s="24">
        <v>409993</v>
      </c>
      <c r="N26" s="24">
        <v>276440</v>
      </c>
      <c r="O26" s="24">
        <v>309130</v>
      </c>
      <c r="P26" s="24"/>
      <c r="Q26" s="24"/>
      <c r="R26" s="24">
        <v>769996</v>
      </c>
      <c r="S26" s="24"/>
      <c r="T26" s="24"/>
      <c r="U26" s="24"/>
      <c r="V26" s="24"/>
      <c r="W26" s="24">
        <v>509690</v>
      </c>
      <c r="X26" s="24"/>
      <c r="Y26" s="24"/>
      <c r="Z26" s="24"/>
      <c r="AA26" s="24"/>
      <c r="AB26" s="24"/>
      <c r="AC26" s="24"/>
      <c r="AD26" s="24"/>
      <c r="AE26" s="24"/>
      <c r="AF26" s="24"/>
    </row>
    <row r="27" spans="1:32" x14ac:dyDescent="0.25">
      <c r="A27" s="1" t="s">
        <v>82</v>
      </c>
      <c r="B27" s="2" t="s">
        <v>83</v>
      </c>
      <c r="C27" s="23">
        <v>799711</v>
      </c>
      <c r="D27" s="24">
        <f t="shared" si="1"/>
        <v>799711</v>
      </c>
      <c r="E27" s="24">
        <f t="shared" si="0"/>
        <v>0</v>
      </c>
      <c r="F27" s="24"/>
      <c r="G27" s="24"/>
      <c r="H27" s="24"/>
      <c r="I27" s="24"/>
      <c r="J27" s="24">
        <f>30278+35952</f>
        <v>66230</v>
      </c>
      <c r="K27" s="24">
        <v>30278</v>
      </c>
      <c r="L27" s="24"/>
      <c r="M27" s="24">
        <f>100114+130502</f>
        <v>230616</v>
      </c>
      <c r="N27" s="24"/>
      <c r="O27" s="24"/>
      <c r="P27" s="24"/>
      <c r="Q27" s="24">
        <v>322591</v>
      </c>
      <c r="R27" s="24"/>
      <c r="S27" s="24"/>
      <c r="T27" s="24"/>
      <c r="U27" s="24">
        <v>149996</v>
      </c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x14ac:dyDescent="0.25">
      <c r="A28" s="1" t="s">
        <v>84</v>
      </c>
      <c r="B28" s="2" t="s">
        <v>85</v>
      </c>
      <c r="C28" s="23">
        <v>717192</v>
      </c>
      <c r="D28" s="24">
        <f t="shared" si="1"/>
        <v>717192</v>
      </c>
      <c r="E28" s="24">
        <f t="shared" si="0"/>
        <v>0</v>
      </c>
      <c r="F28" s="24"/>
      <c r="G28" s="24"/>
      <c r="H28" s="24"/>
      <c r="I28" s="24"/>
      <c r="J28" s="24"/>
      <c r="K28" s="24"/>
      <c r="L28" s="24">
        <v>365916</v>
      </c>
      <c r="M28" s="24"/>
      <c r="N28" s="24"/>
      <c r="O28" s="24">
        <v>155920</v>
      </c>
      <c r="P28" s="24"/>
      <c r="Q28" s="24">
        <v>101807</v>
      </c>
      <c r="R28" s="24"/>
      <c r="S28" s="24">
        <v>86935</v>
      </c>
      <c r="T28" s="24"/>
      <c r="U28" s="24"/>
      <c r="V28" s="24"/>
      <c r="W28" s="24"/>
      <c r="X28" s="24">
        <v>6614</v>
      </c>
      <c r="Y28" s="24"/>
      <c r="Z28" s="24"/>
      <c r="AA28" s="24"/>
      <c r="AB28" s="24"/>
      <c r="AC28" s="24"/>
      <c r="AD28" s="24"/>
      <c r="AE28" s="24"/>
      <c r="AF28" s="24"/>
    </row>
    <row r="29" spans="1:32" x14ac:dyDescent="0.25">
      <c r="A29" s="1" t="s">
        <v>86</v>
      </c>
      <c r="B29" s="2" t="s">
        <v>87</v>
      </c>
      <c r="C29" s="23">
        <v>308561</v>
      </c>
      <c r="D29" s="24">
        <f t="shared" si="1"/>
        <v>308561</v>
      </c>
      <c r="E29" s="24">
        <f t="shared" si="0"/>
        <v>0</v>
      </c>
      <c r="F29" s="24"/>
      <c r="G29" s="24"/>
      <c r="H29" s="24"/>
      <c r="I29" s="24">
        <v>24519</v>
      </c>
      <c r="J29" s="24"/>
      <c r="K29" s="24"/>
      <c r="L29" s="24">
        <v>73546</v>
      </c>
      <c r="M29" s="24"/>
      <c r="N29" s="24"/>
      <c r="O29" s="24"/>
      <c r="P29" s="24">
        <v>73818</v>
      </c>
      <c r="Q29" s="24">
        <v>49220</v>
      </c>
      <c r="R29" s="24"/>
      <c r="S29" s="24">
        <v>87458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x14ac:dyDescent="0.25">
      <c r="A30" s="1" t="s">
        <v>88</v>
      </c>
      <c r="B30" s="2" t="s">
        <v>89</v>
      </c>
      <c r="C30" s="23">
        <v>14201013</v>
      </c>
      <c r="D30" s="24">
        <f t="shared" si="1"/>
        <v>14201013</v>
      </c>
      <c r="E30" s="24">
        <f t="shared" si="0"/>
        <v>0</v>
      </c>
      <c r="F30" s="24"/>
      <c r="G30" s="24"/>
      <c r="H30" s="24"/>
      <c r="I30" s="24"/>
      <c r="J30" s="24">
        <f>1262065+1202438</f>
        <v>2464503</v>
      </c>
      <c r="K30" s="24">
        <v>1234044</v>
      </c>
      <c r="L30" s="24">
        <v>1204695</v>
      </c>
      <c r="M30" s="24">
        <v>1222628</v>
      </c>
      <c r="N30" s="24">
        <v>1237794</v>
      </c>
      <c r="O30" s="24">
        <v>782152</v>
      </c>
      <c r="P30" s="24">
        <v>1111926</v>
      </c>
      <c r="Q30" s="24">
        <v>1152458</v>
      </c>
      <c r="R30" s="24">
        <v>1195409</v>
      </c>
      <c r="S30" s="24"/>
      <c r="T30" s="24">
        <v>2251936</v>
      </c>
      <c r="U30" s="24">
        <v>343468</v>
      </c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x14ac:dyDescent="0.25">
      <c r="A31" s="1" t="s">
        <v>90</v>
      </c>
      <c r="B31" s="2" t="s">
        <v>91</v>
      </c>
      <c r="C31" s="23">
        <v>832377</v>
      </c>
      <c r="D31" s="24">
        <f t="shared" si="1"/>
        <v>832377</v>
      </c>
      <c r="E31" s="24">
        <f t="shared" si="0"/>
        <v>0</v>
      </c>
      <c r="F31" s="24"/>
      <c r="G31" s="24"/>
      <c r="H31" s="24"/>
      <c r="I31" s="24">
        <v>49756</v>
      </c>
      <c r="J31" s="24">
        <v>136641</v>
      </c>
      <c r="K31" s="24">
        <v>63352</v>
      </c>
      <c r="L31" s="24">
        <v>62593</v>
      </c>
      <c r="M31" s="24"/>
      <c r="N31" s="24">
        <f>63569+63206</f>
        <v>126775</v>
      </c>
      <c r="O31" s="24">
        <v>60589</v>
      </c>
      <c r="P31" s="24">
        <v>59039</v>
      </c>
      <c r="Q31" s="24">
        <v>59028</v>
      </c>
      <c r="R31" s="24"/>
      <c r="S31" s="24"/>
      <c r="T31" s="24">
        <v>167049</v>
      </c>
      <c r="U31" s="24"/>
      <c r="V31" s="24"/>
      <c r="W31" s="24"/>
      <c r="X31" s="24">
        <v>47555</v>
      </c>
      <c r="Y31" s="24"/>
      <c r="Z31" s="24"/>
      <c r="AA31" s="24"/>
      <c r="AB31" s="24"/>
      <c r="AC31" s="24"/>
      <c r="AD31" s="24"/>
      <c r="AE31" s="24"/>
      <c r="AF31" s="24"/>
    </row>
    <row r="32" spans="1:32" x14ac:dyDescent="0.25">
      <c r="A32" s="1" t="s">
        <v>92</v>
      </c>
      <c r="B32" s="2" t="s">
        <v>93</v>
      </c>
      <c r="C32" s="23">
        <v>4500973</v>
      </c>
      <c r="D32" s="24">
        <f t="shared" si="1"/>
        <v>4500973</v>
      </c>
      <c r="E32" s="24">
        <f t="shared" si="0"/>
        <v>0</v>
      </c>
      <c r="F32" s="24"/>
      <c r="G32" s="24"/>
      <c r="H32" s="24"/>
      <c r="I32" s="24">
        <v>427657</v>
      </c>
      <c r="J32" s="24"/>
      <c r="K32" s="24"/>
      <c r="L32" s="24">
        <v>1074731</v>
      </c>
      <c r="M32" s="24"/>
      <c r="N32" s="24"/>
      <c r="O32" s="24">
        <v>1098545</v>
      </c>
      <c r="P32" s="24"/>
      <c r="Q32" s="24"/>
      <c r="R32" s="24"/>
      <c r="S32" s="24"/>
      <c r="T32" s="24"/>
      <c r="U32" s="24">
        <f>1065705+536370+297965</f>
        <v>1900040</v>
      </c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x14ac:dyDescent="0.25">
      <c r="A33" s="1" t="s">
        <v>94</v>
      </c>
      <c r="B33" s="2" t="s">
        <v>95</v>
      </c>
      <c r="C33" s="23">
        <v>2858936</v>
      </c>
      <c r="D33" s="24">
        <f t="shared" si="1"/>
        <v>2858936</v>
      </c>
      <c r="E33" s="24">
        <f t="shared" si="0"/>
        <v>0</v>
      </c>
      <c r="F33" s="24"/>
      <c r="G33" s="24"/>
      <c r="H33" s="24"/>
      <c r="I33" s="24"/>
      <c r="J33" s="24"/>
      <c r="K33" s="24"/>
      <c r="L33" s="24">
        <v>351247</v>
      </c>
      <c r="M33" s="24">
        <v>198361</v>
      </c>
      <c r="N33" s="24">
        <v>226148</v>
      </c>
      <c r="O33" s="24">
        <v>204312</v>
      </c>
      <c r="P33" s="24">
        <v>280153</v>
      </c>
      <c r="Q33" s="24">
        <v>214368</v>
      </c>
      <c r="R33" s="24">
        <v>617422</v>
      </c>
      <c r="S33" s="24"/>
      <c r="T33" s="24">
        <v>9760</v>
      </c>
      <c r="U33" s="24"/>
      <c r="V33" s="24">
        <v>495946</v>
      </c>
      <c r="W33" s="24">
        <v>211944</v>
      </c>
      <c r="X33" s="24">
        <v>49275</v>
      </c>
      <c r="Y33" s="24"/>
      <c r="Z33" s="24"/>
      <c r="AA33" s="24"/>
      <c r="AB33" s="24"/>
      <c r="AC33" s="24"/>
      <c r="AD33" s="24"/>
      <c r="AE33" s="24"/>
      <c r="AF33" s="24"/>
    </row>
    <row r="34" spans="1:32" x14ac:dyDescent="0.25">
      <c r="A34" s="1" t="s">
        <v>96</v>
      </c>
      <c r="B34" s="2" t="s">
        <v>97</v>
      </c>
      <c r="C34" s="23">
        <v>229775</v>
      </c>
      <c r="D34" s="24">
        <f t="shared" si="1"/>
        <v>229775</v>
      </c>
      <c r="E34" s="24">
        <f t="shared" si="0"/>
        <v>0</v>
      </c>
      <c r="F34" s="24"/>
      <c r="G34" s="24"/>
      <c r="H34" s="24"/>
      <c r="I34" s="24"/>
      <c r="J34" s="24"/>
      <c r="K34" s="24"/>
      <c r="L34" s="24"/>
      <c r="M34" s="24"/>
      <c r="N34" s="24"/>
      <c r="O34" s="24">
        <v>11918</v>
      </c>
      <c r="P34" s="24">
        <v>14456</v>
      </c>
      <c r="Q34" s="24"/>
      <c r="R34" s="24"/>
      <c r="S34" s="24">
        <v>48813</v>
      </c>
      <c r="T34" s="24"/>
      <c r="U34" s="24"/>
      <c r="V34" s="24">
        <v>74826</v>
      </c>
      <c r="W34" s="24">
        <v>24997</v>
      </c>
      <c r="X34" s="24">
        <v>25123</v>
      </c>
      <c r="Y34" s="24">
        <v>24918</v>
      </c>
      <c r="Z34" s="24"/>
      <c r="AA34" s="24">
        <v>4724</v>
      </c>
      <c r="AB34" s="24"/>
      <c r="AC34" s="24"/>
      <c r="AD34" s="24"/>
      <c r="AE34" s="24"/>
      <c r="AF34" s="24"/>
    </row>
    <row r="35" spans="1:32" x14ac:dyDescent="0.25">
      <c r="A35" s="1" t="s">
        <v>98</v>
      </c>
      <c r="B35" s="2" t="s">
        <v>99</v>
      </c>
      <c r="C35" s="23">
        <v>497283</v>
      </c>
      <c r="D35" s="24">
        <f t="shared" si="1"/>
        <v>497283</v>
      </c>
      <c r="E35" s="24">
        <f t="shared" si="0"/>
        <v>0</v>
      </c>
      <c r="F35" s="24"/>
      <c r="G35" s="24"/>
      <c r="H35" s="24"/>
      <c r="I35" s="24">
        <v>8224</v>
      </c>
      <c r="J35" s="24">
        <v>40263</v>
      </c>
      <c r="K35" s="24">
        <v>38731</v>
      </c>
      <c r="L35" s="24">
        <v>43187</v>
      </c>
      <c r="M35" s="24"/>
      <c r="N35" s="24"/>
      <c r="O35" s="24">
        <f>42934+69899+49790</f>
        <v>162623</v>
      </c>
      <c r="P35" s="24">
        <v>54152</v>
      </c>
      <c r="Q35" s="24">
        <v>49772</v>
      </c>
      <c r="R35" s="24">
        <v>53245</v>
      </c>
      <c r="S35" s="24"/>
      <c r="T35" s="24"/>
      <c r="U35" s="24"/>
      <c r="V35" s="24">
        <v>47086</v>
      </c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x14ac:dyDescent="0.25">
      <c r="A36" s="1" t="s">
        <v>100</v>
      </c>
      <c r="B36" s="2" t="s">
        <v>101</v>
      </c>
      <c r="C36" s="23">
        <v>4066176</v>
      </c>
      <c r="D36" s="24">
        <f t="shared" si="1"/>
        <v>4066176</v>
      </c>
      <c r="E36" s="24">
        <f t="shared" si="0"/>
        <v>0</v>
      </c>
      <c r="F36" s="24"/>
      <c r="G36" s="24"/>
      <c r="H36" s="24"/>
      <c r="I36" s="24"/>
      <c r="J36" s="24"/>
      <c r="K36" s="24">
        <v>169430</v>
      </c>
      <c r="L36" s="24">
        <v>274911</v>
      </c>
      <c r="M36" s="24">
        <v>282497</v>
      </c>
      <c r="N36" s="24">
        <v>283616</v>
      </c>
      <c r="O36" s="24">
        <v>280432</v>
      </c>
      <c r="P36" s="24">
        <v>281824</v>
      </c>
      <c r="Q36" s="24">
        <v>288523</v>
      </c>
      <c r="R36" s="24">
        <v>283065</v>
      </c>
      <c r="S36" s="24"/>
      <c r="T36" s="24">
        <v>630478</v>
      </c>
      <c r="U36" s="24">
        <v>653841</v>
      </c>
      <c r="V36" s="24">
        <v>401612</v>
      </c>
      <c r="W36" s="24">
        <v>235947</v>
      </c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x14ac:dyDescent="0.25">
      <c r="A37" s="1" t="s">
        <v>102</v>
      </c>
      <c r="B37" s="2" t="s">
        <v>103</v>
      </c>
      <c r="C37" s="23">
        <v>452627</v>
      </c>
      <c r="D37" s="24">
        <f t="shared" si="1"/>
        <v>452627</v>
      </c>
      <c r="E37" s="24">
        <f t="shared" si="0"/>
        <v>0</v>
      </c>
      <c r="F37" s="24"/>
      <c r="G37" s="24"/>
      <c r="H37" s="24"/>
      <c r="I37" s="24"/>
      <c r="J37" s="24"/>
      <c r="K37" s="24"/>
      <c r="L37" s="24"/>
      <c r="M37" s="24">
        <v>192288</v>
      </c>
      <c r="N37" s="24"/>
      <c r="O37" s="24"/>
      <c r="P37" s="24"/>
      <c r="Q37" s="24">
        <v>247530</v>
      </c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>
        <v>12809</v>
      </c>
      <c r="AD37" s="24"/>
      <c r="AE37" s="24"/>
      <c r="AF37" s="24"/>
    </row>
    <row r="38" spans="1:32" ht="30" x14ac:dyDescent="0.25">
      <c r="A38" s="1" t="s">
        <v>104</v>
      </c>
      <c r="B38" s="2" t="s">
        <v>105</v>
      </c>
      <c r="C38" s="23">
        <v>1070592</v>
      </c>
      <c r="D38" s="24">
        <f t="shared" si="1"/>
        <v>1070592</v>
      </c>
      <c r="E38" s="24">
        <f t="shared" si="0"/>
        <v>0</v>
      </c>
      <c r="F38" s="24"/>
      <c r="G38" s="24"/>
      <c r="H38" s="24"/>
      <c r="I38" s="24"/>
      <c r="J38" s="24"/>
      <c r="K38" s="24"/>
      <c r="L38" s="24"/>
      <c r="M38" s="24">
        <v>1592</v>
      </c>
      <c r="N38" s="24"/>
      <c r="O38" s="24"/>
      <c r="P38" s="24"/>
      <c r="Q38" s="24"/>
      <c r="R38" s="24"/>
      <c r="S38" s="24"/>
      <c r="T38" s="24"/>
      <c r="U38" s="24"/>
      <c r="V38" s="24">
        <v>224898</v>
      </c>
      <c r="W38" s="24"/>
      <c r="X38" s="24"/>
      <c r="Y38" s="28"/>
      <c r="Z38" s="29">
        <v>717684</v>
      </c>
      <c r="AA38" s="24"/>
      <c r="AB38" s="24"/>
      <c r="AC38" s="24">
        <v>126418</v>
      </c>
      <c r="AD38" s="24"/>
      <c r="AE38" s="24"/>
      <c r="AF38" s="24"/>
    </row>
    <row r="39" spans="1:32" x14ac:dyDescent="0.25">
      <c r="A39" s="1" t="s">
        <v>106</v>
      </c>
      <c r="B39" s="2" t="s">
        <v>107</v>
      </c>
      <c r="C39" s="23">
        <v>608264</v>
      </c>
      <c r="D39" s="24">
        <f t="shared" si="1"/>
        <v>608264</v>
      </c>
      <c r="E39" s="24">
        <f t="shared" si="0"/>
        <v>0</v>
      </c>
      <c r="F39" s="24"/>
      <c r="G39" s="24"/>
      <c r="H39" s="24"/>
      <c r="I39" s="24"/>
      <c r="J39" s="24">
        <v>100594</v>
      </c>
      <c r="K39" s="24"/>
      <c r="L39" s="24"/>
      <c r="M39" s="24"/>
      <c r="N39" s="24">
        <v>141271</v>
      </c>
      <c r="O39" s="24"/>
      <c r="P39" s="24"/>
      <c r="Q39" s="24"/>
      <c r="R39" s="24">
        <f>44249+143777</f>
        <v>188026</v>
      </c>
      <c r="S39" s="24"/>
      <c r="T39" s="24">
        <v>86940</v>
      </c>
      <c r="U39" s="24"/>
      <c r="V39" s="24">
        <v>91433</v>
      </c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x14ac:dyDescent="0.25">
      <c r="A40" s="1" t="s">
        <v>108</v>
      </c>
      <c r="B40" s="2" t="s">
        <v>109</v>
      </c>
      <c r="C40" s="23">
        <v>245489</v>
      </c>
      <c r="D40" s="24">
        <f t="shared" si="1"/>
        <v>245489</v>
      </c>
      <c r="E40" s="24">
        <f t="shared" si="0"/>
        <v>0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>
        <v>245489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ht="30" x14ac:dyDescent="0.25">
      <c r="A41" s="1" t="s">
        <v>110</v>
      </c>
      <c r="B41" s="2" t="s">
        <v>111</v>
      </c>
      <c r="C41" s="23">
        <v>3211499</v>
      </c>
      <c r="D41" s="24">
        <f t="shared" si="1"/>
        <v>3211499</v>
      </c>
      <c r="E41" s="24">
        <f t="shared" si="0"/>
        <v>0</v>
      </c>
      <c r="F41" s="24"/>
      <c r="G41" s="24"/>
      <c r="H41" s="24"/>
      <c r="I41" s="24">
        <v>159983</v>
      </c>
      <c r="J41" s="24">
        <v>294162</v>
      </c>
      <c r="K41" s="24">
        <v>234260</v>
      </c>
      <c r="L41" s="24">
        <v>236643</v>
      </c>
      <c r="M41" s="24"/>
      <c r="N41" s="24">
        <v>539893</v>
      </c>
      <c r="O41" s="24">
        <v>364448</v>
      </c>
      <c r="P41" s="24">
        <v>243294</v>
      </c>
      <c r="Q41" s="24">
        <v>296514</v>
      </c>
      <c r="R41" s="24">
        <v>586967</v>
      </c>
      <c r="S41" s="24"/>
      <c r="T41" s="24"/>
      <c r="U41" s="24">
        <f>150000+105335</f>
        <v>255335</v>
      </c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x14ac:dyDescent="0.25">
      <c r="A42" s="1" t="s">
        <v>112</v>
      </c>
      <c r="B42" s="2" t="s">
        <v>113</v>
      </c>
      <c r="C42" s="23">
        <v>1419932</v>
      </c>
      <c r="D42" s="24">
        <f t="shared" si="1"/>
        <v>1419932</v>
      </c>
      <c r="E42" s="24">
        <f t="shared" si="0"/>
        <v>0</v>
      </c>
      <c r="F42" s="24"/>
      <c r="G42" s="24"/>
      <c r="H42" s="24"/>
      <c r="I42" s="24"/>
      <c r="J42" s="24">
        <f>115975+339534</f>
        <v>455509</v>
      </c>
      <c r="K42" s="24">
        <v>116000</v>
      </c>
      <c r="L42" s="24">
        <v>115419</v>
      </c>
      <c r="M42" s="24">
        <v>117732</v>
      </c>
      <c r="N42" s="24">
        <v>117432</v>
      </c>
      <c r="O42" s="24">
        <v>118119</v>
      </c>
      <c r="P42" s="24"/>
      <c r="Q42" s="24">
        <f>117445+118970</f>
        <v>236415</v>
      </c>
      <c r="R42" s="24">
        <v>117252</v>
      </c>
      <c r="S42" s="24">
        <v>396</v>
      </c>
      <c r="T42" s="24">
        <f>2127+23521</f>
        <v>25648</v>
      </c>
      <c r="U42" s="24"/>
      <c r="V42" s="24">
        <v>10</v>
      </c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x14ac:dyDescent="0.25">
      <c r="A43" s="1" t="s">
        <v>114</v>
      </c>
      <c r="B43" s="2" t="s">
        <v>115</v>
      </c>
      <c r="C43" s="23">
        <v>521151</v>
      </c>
      <c r="D43" s="24">
        <f t="shared" si="1"/>
        <v>521151</v>
      </c>
      <c r="E43" s="24">
        <f t="shared" si="0"/>
        <v>0</v>
      </c>
      <c r="F43" s="24"/>
      <c r="G43" s="24"/>
      <c r="H43" s="24"/>
      <c r="I43" s="24"/>
      <c r="J43" s="24">
        <v>89237</v>
      </c>
      <c r="K43" s="24">
        <v>44617</v>
      </c>
      <c r="L43" s="24">
        <v>44616</v>
      </c>
      <c r="M43" s="24">
        <v>89562</v>
      </c>
      <c r="N43" s="24">
        <v>44781</v>
      </c>
      <c r="O43" s="24"/>
      <c r="P43" s="24">
        <v>44774</v>
      </c>
      <c r="Q43" s="24">
        <f>44774+44975</f>
        <v>89749</v>
      </c>
      <c r="R43" s="24"/>
      <c r="S43" s="24">
        <v>73815</v>
      </c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x14ac:dyDescent="0.25">
      <c r="A44" s="1" t="s">
        <v>116</v>
      </c>
      <c r="B44" s="2" t="s">
        <v>117</v>
      </c>
      <c r="C44" s="23">
        <v>732509</v>
      </c>
      <c r="D44" s="24">
        <f t="shared" si="1"/>
        <v>732509</v>
      </c>
      <c r="E44" s="24">
        <f t="shared" si="0"/>
        <v>0</v>
      </c>
      <c r="F44" s="24"/>
      <c r="G44" s="24"/>
      <c r="H44" s="24"/>
      <c r="I44" s="24">
        <v>51187</v>
      </c>
      <c r="J44" s="24">
        <v>70288</v>
      </c>
      <c r="K44" s="24">
        <v>60091</v>
      </c>
      <c r="L44" s="24">
        <v>59134</v>
      </c>
      <c r="M44" s="24">
        <v>57337</v>
      </c>
      <c r="N44" s="24"/>
      <c r="O44" s="24">
        <v>119911</v>
      </c>
      <c r="P44" s="24">
        <v>59403</v>
      </c>
      <c r="Q44" s="24">
        <v>59729</v>
      </c>
      <c r="R44" s="24">
        <v>110654</v>
      </c>
      <c r="S44" s="24">
        <v>55270</v>
      </c>
      <c r="T44" s="24"/>
      <c r="U44" s="24">
        <v>29505</v>
      </c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32" ht="30" x14ac:dyDescent="0.25">
      <c r="A45" s="1" t="s">
        <v>118</v>
      </c>
      <c r="B45" s="2" t="s">
        <v>119</v>
      </c>
      <c r="C45" s="23">
        <v>559989</v>
      </c>
      <c r="D45" s="24">
        <f t="shared" si="1"/>
        <v>559989</v>
      </c>
      <c r="E45" s="24">
        <f t="shared" si="0"/>
        <v>0</v>
      </c>
      <c r="F45" s="24"/>
      <c r="G45" s="24"/>
      <c r="H45" s="24"/>
      <c r="I45" s="24"/>
      <c r="J45" s="24"/>
      <c r="K45" s="24">
        <v>235637</v>
      </c>
      <c r="L45" s="24"/>
      <c r="M45" s="24"/>
      <c r="N45" s="24"/>
      <c r="O45" s="24">
        <v>182481</v>
      </c>
      <c r="P45" s="24">
        <v>45631</v>
      </c>
      <c r="Q45" s="24"/>
      <c r="R45" s="24">
        <v>91336</v>
      </c>
      <c r="S45" s="24">
        <v>4904</v>
      </c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 x14ac:dyDescent="0.25">
      <c r="A46" s="1" t="s">
        <v>120</v>
      </c>
      <c r="B46" s="2" t="s">
        <v>121</v>
      </c>
      <c r="C46" s="23">
        <v>3732294</v>
      </c>
      <c r="D46" s="24">
        <f t="shared" si="1"/>
        <v>3732294</v>
      </c>
      <c r="E46" s="24">
        <f t="shared" si="0"/>
        <v>0</v>
      </c>
      <c r="F46" s="24"/>
      <c r="G46" s="24"/>
      <c r="H46" s="24"/>
      <c r="I46" s="24">
        <v>347350</v>
      </c>
      <c r="J46" s="24">
        <v>317301</v>
      </c>
      <c r="K46" s="24">
        <v>309596</v>
      </c>
      <c r="L46" s="24">
        <v>309050</v>
      </c>
      <c r="M46" s="24">
        <v>302305</v>
      </c>
      <c r="N46" s="24">
        <v>306269</v>
      </c>
      <c r="O46" s="24">
        <v>305961</v>
      </c>
      <c r="P46" s="24">
        <v>306065</v>
      </c>
      <c r="Q46" s="24">
        <v>297630</v>
      </c>
      <c r="R46" s="24"/>
      <c r="S46" s="24"/>
      <c r="T46" s="24"/>
      <c r="U46" s="24">
        <v>930767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2" ht="30" x14ac:dyDescent="0.25">
      <c r="A47" s="1" t="s">
        <v>122</v>
      </c>
      <c r="B47" s="2" t="s">
        <v>123</v>
      </c>
      <c r="C47" s="24">
        <v>1339395</v>
      </c>
      <c r="D47" s="24">
        <f t="shared" si="1"/>
        <v>1339395</v>
      </c>
      <c r="E47" s="24">
        <f t="shared" si="0"/>
        <v>0</v>
      </c>
      <c r="F47" s="24"/>
      <c r="G47" s="24"/>
      <c r="H47" s="24"/>
      <c r="I47" s="24">
        <v>99292</v>
      </c>
      <c r="J47" s="24">
        <v>91540</v>
      </c>
      <c r="K47" s="24">
        <v>160856</v>
      </c>
      <c r="L47" s="24">
        <v>124045</v>
      </c>
      <c r="M47" s="24">
        <v>125605</v>
      </c>
      <c r="N47" s="24">
        <v>120321</v>
      </c>
      <c r="O47" s="24">
        <v>122667</v>
      </c>
      <c r="P47" s="24">
        <v>124964</v>
      </c>
      <c r="Q47" s="24">
        <v>142312</v>
      </c>
      <c r="R47" s="24">
        <v>76571</v>
      </c>
      <c r="S47" s="24">
        <v>140379</v>
      </c>
      <c r="T47" s="24">
        <v>10332</v>
      </c>
      <c r="U47" s="26">
        <v>511</v>
      </c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</row>
    <row r="48" spans="1:32" ht="30" x14ac:dyDescent="0.25">
      <c r="A48" s="1" t="s">
        <v>124</v>
      </c>
      <c r="B48" s="2" t="s">
        <v>125</v>
      </c>
      <c r="C48" s="24">
        <v>441199</v>
      </c>
      <c r="D48" s="24">
        <f t="shared" si="1"/>
        <v>441199</v>
      </c>
      <c r="E48" s="24">
        <f t="shared" si="0"/>
        <v>0</v>
      </c>
      <c r="F48" s="24"/>
      <c r="G48" s="24"/>
      <c r="H48" s="24"/>
      <c r="I48" s="24"/>
      <c r="J48" s="24"/>
      <c r="K48" s="24"/>
      <c r="L48" s="24"/>
      <c r="M48" s="24">
        <f>63408+2590</f>
        <v>65998</v>
      </c>
      <c r="N48" s="24"/>
      <c r="O48" s="24"/>
      <c r="P48" s="24">
        <v>132854</v>
      </c>
      <c r="Q48" s="24"/>
      <c r="R48" s="24"/>
      <c r="S48" s="24">
        <v>115727</v>
      </c>
      <c r="T48" s="24"/>
      <c r="U48" s="24"/>
      <c r="V48" s="24"/>
      <c r="W48" s="24">
        <f>112601+7367</f>
        <v>119968</v>
      </c>
      <c r="X48" s="24"/>
      <c r="Y48" s="24">
        <v>6652</v>
      </c>
      <c r="Z48" s="24"/>
      <c r="AA48" s="24"/>
      <c r="AB48" s="24"/>
      <c r="AC48" s="24"/>
      <c r="AD48" s="24"/>
      <c r="AE48" s="24"/>
      <c r="AF48" s="24"/>
    </row>
    <row r="49" spans="1:32" ht="30" x14ac:dyDescent="0.25">
      <c r="A49" s="1" t="s">
        <v>126</v>
      </c>
      <c r="B49" s="2" t="s">
        <v>127</v>
      </c>
      <c r="C49" s="24">
        <v>612732</v>
      </c>
      <c r="D49" s="24">
        <f t="shared" si="1"/>
        <v>612732</v>
      </c>
      <c r="E49" s="24">
        <f>C49-D49</f>
        <v>0</v>
      </c>
      <c r="F49" s="24"/>
      <c r="G49" s="24"/>
      <c r="H49" s="24"/>
      <c r="I49" s="24"/>
      <c r="J49" s="24"/>
      <c r="K49" s="24">
        <v>13906</v>
      </c>
      <c r="L49" s="24">
        <v>13471</v>
      </c>
      <c r="M49" s="24">
        <v>24415</v>
      </c>
      <c r="N49" s="24">
        <v>41191</v>
      </c>
      <c r="O49" s="24">
        <v>9120</v>
      </c>
      <c r="P49" s="24">
        <v>203463</v>
      </c>
      <c r="Q49" s="24">
        <v>101241</v>
      </c>
      <c r="R49" s="24">
        <v>4482</v>
      </c>
      <c r="S49" s="24">
        <v>15500</v>
      </c>
      <c r="T49" s="29">
        <v>18242</v>
      </c>
      <c r="U49" s="24"/>
      <c r="V49" s="24">
        <v>39178</v>
      </c>
      <c r="W49" s="24">
        <v>76166</v>
      </c>
      <c r="X49" s="24">
        <v>52357</v>
      </c>
      <c r="Y49" s="24"/>
      <c r="Z49" s="24"/>
      <c r="AA49" s="24"/>
      <c r="AB49" s="24"/>
      <c r="AC49" s="24"/>
      <c r="AD49" s="24"/>
      <c r="AE49" s="24"/>
      <c r="AF49" s="24"/>
    </row>
    <row r="50" spans="1:32" ht="30" x14ac:dyDescent="0.25">
      <c r="A50" s="1" t="s">
        <v>128</v>
      </c>
      <c r="B50" s="2" t="s">
        <v>129</v>
      </c>
      <c r="C50" s="24">
        <v>869355</v>
      </c>
      <c r="D50" s="24">
        <f t="shared" si="1"/>
        <v>869355</v>
      </c>
      <c r="E50" s="24">
        <f t="shared" si="0"/>
        <v>0</v>
      </c>
      <c r="F50" s="24"/>
      <c r="G50" s="24"/>
      <c r="H50" s="24"/>
      <c r="I50" s="24">
        <v>87485</v>
      </c>
      <c r="J50" s="24">
        <v>67582</v>
      </c>
      <c r="K50" s="24">
        <v>67572</v>
      </c>
      <c r="L50" s="24">
        <v>65397</v>
      </c>
      <c r="M50" s="24">
        <v>65628</v>
      </c>
      <c r="N50" s="24">
        <v>65611</v>
      </c>
      <c r="O50" s="24">
        <v>65610</v>
      </c>
      <c r="P50" s="24">
        <v>138951</v>
      </c>
      <c r="Q50" s="24">
        <v>56342</v>
      </c>
      <c r="R50" s="24">
        <v>56599</v>
      </c>
      <c r="S50" s="24">
        <v>50765</v>
      </c>
      <c r="T50" s="24">
        <v>81813</v>
      </c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32" ht="45" x14ac:dyDescent="0.25">
      <c r="A51" s="1" t="s">
        <v>130</v>
      </c>
      <c r="B51" s="2" t="s">
        <v>131</v>
      </c>
      <c r="C51" s="24">
        <v>904533</v>
      </c>
      <c r="D51" s="24">
        <f t="shared" si="1"/>
        <v>904533</v>
      </c>
      <c r="E51" s="24">
        <f t="shared" si="0"/>
        <v>0</v>
      </c>
      <c r="F51" s="24"/>
      <c r="G51" s="24"/>
      <c r="H51" s="24"/>
      <c r="I51" s="24"/>
      <c r="J51" s="24"/>
      <c r="K51" s="24"/>
      <c r="L51" s="24"/>
      <c r="M51" s="24">
        <v>330179</v>
      </c>
      <c r="N51" s="24">
        <v>160122</v>
      </c>
      <c r="O51" s="24"/>
      <c r="P51" s="24">
        <v>175263</v>
      </c>
      <c r="Q51" s="24"/>
      <c r="R51" s="24">
        <f>126748+112221</f>
        <v>238969</v>
      </c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</row>
    <row r="52" spans="1:32" ht="30" x14ac:dyDescent="0.25">
      <c r="A52" s="1" t="s">
        <v>132</v>
      </c>
      <c r="B52" s="2" t="s">
        <v>133</v>
      </c>
      <c r="C52" s="24">
        <v>884218</v>
      </c>
      <c r="D52" s="24">
        <f t="shared" si="1"/>
        <v>884218</v>
      </c>
      <c r="E52" s="24">
        <f t="shared" si="0"/>
        <v>0</v>
      </c>
      <c r="F52" s="24"/>
      <c r="G52" s="24"/>
      <c r="H52" s="24"/>
      <c r="I52" s="24"/>
      <c r="J52" s="24">
        <v>294651</v>
      </c>
      <c r="K52" s="24"/>
      <c r="L52" s="24"/>
      <c r="M52" s="24"/>
      <c r="N52" s="24">
        <v>294731</v>
      </c>
      <c r="O52" s="24"/>
      <c r="P52" s="24"/>
      <c r="Q52" s="24"/>
      <c r="R52" s="24"/>
      <c r="S52" s="24"/>
      <c r="T52" s="24">
        <v>294732</v>
      </c>
      <c r="U52" s="24">
        <v>104</v>
      </c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</row>
    <row r="53" spans="1:32" x14ac:dyDescent="0.25">
      <c r="A53" s="1" t="s">
        <v>134</v>
      </c>
      <c r="B53" s="2" t="s">
        <v>135</v>
      </c>
      <c r="C53" s="24">
        <v>1469728</v>
      </c>
      <c r="D53" s="24">
        <f t="shared" si="1"/>
        <v>1469728</v>
      </c>
      <c r="E53" s="24">
        <f t="shared" si="0"/>
        <v>0</v>
      </c>
      <c r="F53" s="24"/>
      <c r="G53" s="24"/>
      <c r="H53" s="24"/>
      <c r="I53" s="24"/>
      <c r="J53" s="24">
        <v>104511</v>
      </c>
      <c r="K53" s="24">
        <v>131043</v>
      </c>
      <c r="L53" s="24">
        <v>154148</v>
      </c>
      <c r="M53" s="24">
        <v>139086</v>
      </c>
      <c r="N53" s="24">
        <v>131355</v>
      </c>
      <c r="O53" s="24">
        <v>140314</v>
      </c>
      <c r="P53" s="24">
        <v>132215</v>
      </c>
      <c r="Q53" s="24">
        <v>132295</v>
      </c>
      <c r="R53" s="24">
        <v>314210</v>
      </c>
      <c r="S53" s="24">
        <v>43681</v>
      </c>
      <c r="T53" s="24">
        <v>46870</v>
      </c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</row>
    <row r="54" spans="1:32" ht="30" x14ac:dyDescent="0.25">
      <c r="A54" s="1" t="s">
        <v>136</v>
      </c>
      <c r="B54" s="2" t="s">
        <v>137</v>
      </c>
      <c r="C54" s="24">
        <v>1428780</v>
      </c>
      <c r="D54" s="24">
        <f t="shared" si="1"/>
        <v>1428780</v>
      </c>
      <c r="E54" s="24">
        <f t="shared" si="0"/>
        <v>0</v>
      </c>
      <c r="F54" s="24"/>
      <c r="G54" s="24"/>
      <c r="H54" s="24"/>
      <c r="I54" s="24"/>
      <c r="J54" s="24"/>
      <c r="K54" s="24">
        <v>91755</v>
      </c>
      <c r="L54" s="24">
        <v>166932</v>
      </c>
      <c r="M54" s="24">
        <v>131137</v>
      </c>
      <c r="N54" s="24">
        <v>126354</v>
      </c>
      <c r="O54" s="24">
        <v>168703</v>
      </c>
      <c r="P54" s="24">
        <v>127372</v>
      </c>
      <c r="Q54" s="24">
        <v>129681</v>
      </c>
      <c r="R54" s="24">
        <v>140266</v>
      </c>
      <c r="S54" s="24">
        <v>83893</v>
      </c>
      <c r="T54" s="24">
        <f>25774+16808</f>
        <v>42582</v>
      </c>
      <c r="U54" s="24">
        <f>99504+116402</f>
        <v>215906</v>
      </c>
      <c r="V54" s="24">
        <v>4199</v>
      </c>
      <c r="W54" s="24"/>
      <c r="X54" s="24"/>
      <c r="Y54" s="24"/>
      <c r="Z54" s="24"/>
      <c r="AA54" s="24"/>
      <c r="AB54" s="24"/>
      <c r="AC54" s="24"/>
      <c r="AD54" s="24"/>
      <c r="AE54" s="24"/>
      <c r="AF54" s="24"/>
    </row>
    <row r="55" spans="1:32" ht="30" x14ac:dyDescent="0.25">
      <c r="A55" s="1" t="s">
        <v>138</v>
      </c>
      <c r="B55" s="2" t="s">
        <v>139</v>
      </c>
      <c r="C55" s="24">
        <v>811952</v>
      </c>
      <c r="D55" s="24">
        <f t="shared" si="1"/>
        <v>811952</v>
      </c>
      <c r="E55" s="24">
        <f t="shared" si="0"/>
        <v>0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>
        <f>654884+130977</f>
        <v>785861</v>
      </c>
      <c r="Q55" s="24"/>
      <c r="R55" s="24"/>
      <c r="S55" s="24"/>
      <c r="T55" s="24"/>
      <c r="U55" s="24"/>
      <c r="V55" s="24">
        <v>26091</v>
      </c>
      <c r="W55" s="24"/>
      <c r="X55" s="24"/>
      <c r="Y55" s="24"/>
      <c r="Z55" s="24"/>
      <c r="AA55" s="24"/>
      <c r="AB55" s="24"/>
      <c r="AC55" s="24"/>
      <c r="AD55" s="24"/>
      <c r="AE55" s="24"/>
      <c r="AF55" s="24"/>
    </row>
    <row r="56" spans="1:32" ht="30" x14ac:dyDescent="0.25">
      <c r="A56" s="1" t="s">
        <v>140</v>
      </c>
      <c r="B56" s="2" t="s">
        <v>141</v>
      </c>
      <c r="C56" s="24">
        <v>889654</v>
      </c>
      <c r="D56" s="24">
        <f t="shared" si="1"/>
        <v>889654</v>
      </c>
      <c r="E56" s="24">
        <f t="shared" si="0"/>
        <v>0</v>
      </c>
      <c r="F56" s="24"/>
      <c r="G56" s="24"/>
      <c r="H56" s="24"/>
      <c r="I56" s="24"/>
      <c r="J56" s="24">
        <v>111103</v>
      </c>
      <c r="K56" s="24"/>
      <c r="L56" s="24">
        <v>119395</v>
      </c>
      <c r="M56" s="24">
        <v>60731</v>
      </c>
      <c r="N56" s="24"/>
      <c r="O56" s="24">
        <v>165694</v>
      </c>
      <c r="P56" s="24"/>
      <c r="Q56" s="24">
        <v>120859</v>
      </c>
      <c r="R56" s="24"/>
      <c r="S56" s="24">
        <v>61937</v>
      </c>
      <c r="T56" s="24"/>
      <c r="U56" s="24">
        <f>92714+131049</f>
        <v>223763</v>
      </c>
      <c r="V56" s="24"/>
      <c r="W56" s="24">
        <v>26172</v>
      </c>
      <c r="X56" s="24"/>
      <c r="Y56" s="24"/>
      <c r="Z56" s="24"/>
      <c r="AA56" s="24"/>
      <c r="AB56" s="24"/>
      <c r="AC56" s="24"/>
      <c r="AD56" s="24"/>
      <c r="AE56" s="24"/>
      <c r="AF56" s="24"/>
    </row>
    <row r="57" spans="1:32" ht="30" x14ac:dyDescent="0.25">
      <c r="A57" s="1" t="s">
        <v>142</v>
      </c>
      <c r="B57" s="2" t="s">
        <v>143</v>
      </c>
      <c r="C57" s="24">
        <v>695328</v>
      </c>
      <c r="D57" s="24">
        <f t="shared" si="1"/>
        <v>695328</v>
      </c>
      <c r="E57" s="24">
        <f t="shared" si="0"/>
        <v>0</v>
      </c>
      <c r="F57" s="24"/>
      <c r="G57" s="24"/>
      <c r="H57" s="24"/>
      <c r="I57" s="24"/>
      <c r="J57" s="24"/>
      <c r="K57" s="24">
        <v>42291</v>
      </c>
      <c r="L57" s="24">
        <v>22681</v>
      </c>
      <c r="M57" s="24">
        <v>59805</v>
      </c>
      <c r="N57" s="24">
        <v>97438</v>
      </c>
      <c r="O57" s="24">
        <f>97438+63716</f>
        <v>161154</v>
      </c>
      <c r="P57" s="24"/>
      <c r="Q57" s="24">
        <v>42981</v>
      </c>
      <c r="R57" s="24"/>
      <c r="S57" s="24">
        <f>33936+33940</f>
        <v>67876</v>
      </c>
      <c r="T57" s="24"/>
      <c r="U57" s="24"/>
      <c r="V57" s="24">
        <v>201102</v>
      </c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1:32" ht="30" x14ac:dyDescent="0.25">
      <c r="A58" s="1" t="s">
        <v>144</v>
      </c>
      <c r="B58" s="2" t="s">
        <v>145</v>
      </c>
      <c r="C58" s="24">
        <v>315753</v>
      </c>
      <c r="D58" s="24">
        <f t="shared" si="1"/>
        <v>315753</v>
      </c>
      <c r="E58" s="24">
        <f t="shared" si="0"/>
        <v>0</v>
      </c>
      <c r="F58" s="24"/>
      <c r="G58" s="24"/>
      <c r="H58" s="24"/>
      <c r="I58" s="24">
        <v>40536</v>
      </c>
      <c r="J58" s="24"/>
      <c r="K58" s="24"/>
      <c r="L58" s="24"/>
      <c r="M58" s="24"/>
      <c r="N58" s="24">
        <f>55447+81446</f>
        <v>136893</v>
      </c>
      <c r="O58" s="24"/>
      <c r="P58" s="24"/>
      <c r="Q58" s="24">
        <v>103621</v>
      </c>
      <c r="R58" s="24"/>
      <c r="S58" s="24"/>
      <c r="T58" s="24"/>
      <c r="U58" s="24"/>
      <c r="V58" s="24"/>
      <c r="W58" s="24"/>
      <c r="X58" s="24"/>
      <c r="Y58" s="24">
        <v>34703</v>
      </c>
      <c r="Z58" s="24"/>
      <c r="AA58" s="24"/>
      <c r="AB58" s="24"/>
      <c r="AC58" s="24"/>
      <c r="AD58" s="24"/>
      <c r="AE58" s="24"/>
      <c r="AF58" s="24"/>
    </row>
    <row r="59" spans="1:32" ht="30" x14ac:dyDescent="0.25">
      <c r="A59" s="1" t="s">
        <v>146</v>
      </c>
      <c r="B59" s="2" t="s">
        <v>147</v>
      </c>
      <c r="C59" s="23">
        <v>1413211</v>
      </c>
      <c r="D59" s="24">
        <f t="shared" si="1"/>
        <v>1413211</v>
      </c>
      <c r="E59" s="24">
        <f>C59-D59</f>
        <v>0</v>
      </c>
      <c r="F59" s="24"/>
      <c r="G59" s="24"/>
      <c r="H59" s="24"/>
      <c r="I59" s="24">
        <v>29483</v>
      </c>
      <c r="J59" s="24">
        <v>98250</v>
      </c>
      <c r="K59" s="24">
        <v>117877</v>
      </c>
      <c r="L59" s="24">
        <v>137572</v>
      </c>
      <c r="M59" s="24">
        <v>122668</v>
      </c>
      <c r="N59" s="24">
        <v>117805</v>
      </c>
      <c r="O59" s="24">
        <v>118189</v>
      </c>
      <c r="P59" s="24">
        <v>117099</v>
      </c>
      <c r="Q59" s="24">
        <v>142196</v>
      </c>
      <c r="R59" s="24">
        <v>116957</v>
      </c>
      <c r="S59" s="24">
        <f>94350+20858</f>
        <v>115208</v>
      </c>
      <c r="T59" s="24"/>
      <c r="U59" s="24">
        <f>117989+61918</f>
        <v>179907</v>
      </c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</row>
    <row r="60" spans="1:32" ht="30" x14ac:dyDescent="0.25">
      <c r="A60" s="1" t="s">
        <v>148</v>
      </c>
      <c r="B60" s="2" t="s">
        <v>149</v>
      </c>
      <c r="C60" s="24">
        <v>758649</v>
      </c>
      <c r="D60" s="24">
        <f t="shared" si="1"/>
        <v>758649</v>
      </c>
      <c r="E60" s="24">
        <f t="shared" si="0"/>
        <v>0</v>
      </c>
      <c r="F60" s="24"/>
      <c r="G60" s="24"/>
      <c r="H60" s="24"/>
      <c r="I60" s="24"/>
      <c r="J60" s="24"/>
      <c r="K60" s="24"/>
      <c r="L60" s="24">
        <v>370399</v>
      </c>
      <c r="M60" s="24"/>
      <c r="N60" s="24"/>
      <c r="O60" s="24">
        <v>258833</v>
      </c>
      <c r="P60" s="24">
        <v>98178</v>
      </c>
      <c r="Q60" s="24">
        <v>31239</v>
      </c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</row>
    <row r="61" spans="1:32" x14ac:dyDescent="0.25">
      <c r="A61" s="1" t="s">
        <v>150</v>
      </c>
      <c r="B61" s="2" t="s">
        <v>151</v>
      </c>
      <c r="C61" s="24">
        <v>230234</v>
      </c>
      <c r="D61" s="24">
        <f t="shared" si="1"/>
        <v>230234</v>
      </c>
      <c r="E61" s="24">
        <f>C61-D61</f>
        <v>0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>
        <v>67682</v>
      </c>
      <c r="Q61" s="24"/>
      <c r="R61" s="24"/>
      <c r="S61" s="24"/>
      <c r="T61" s="24"/>
      <c r="U61" s="24"/>
      <c r="V61" s="24">
        <v>58912</v>
      </c>
      <c r="W61" s="24"/>
      <c r="X61" s="24"/>
      <c r="Y61" s="24"/>
      <c r="Z61" s="24">
        <v>103640</v>
      </c>
      <c r="AA61" s="24"/>
      <c r="AB61" s="24"/>
      <c r="AC61" s="24"/>
      <c r="AD61" s="24"/>
      <c r="AE61" s="24"/>
      <c r="AF61" s="24"/>
    </row>
    <row r="62" spans="1:32" x14ac:dyDescent="0.25">
      <c r="A62" s="1" t="s">
        <v>152</v>
      </c>
      <c r="B62" s="2" t="s">
        <v>153</v>
      </c>
      <c r="C62" s="24">
        <v>1816440</v>
      </c>
      <c r="D62" s="24">
        <f t="shared" si="1"/>
        <v>1816440</v>
      </c>
      <c r="E62" s="24">
        <f t="shared" si="0"/>
        <v>0</v>
      </c>
      <c r="F62" s="24"/>
      <c r="G62" s="24"/>
      <c r="H62" s="24"/>
      <c r="I62" s="24"/>
      <c r="J62" s="24"/>
      <c r="K62" s="24"/>
      <c r="L62" s="24"/>
      <c r="M62" s="24">
        <v>393368</v>
      </c>
      <c r="N62" s="24"/>
      <c r="O62" s="24"/>
      <c r="P62" s="24">
        <f>310231+336082</f>
        <v>646313</v>
      </c>
      <c r="Q62" s="24"/>
      <c r="R62" s="24">
        <f>84285+228709</f>
        <v>312994</v>
      </c>
      <c r="S62" s="24"/>
      <c r="T62" s="24"/>
      <c r="U62" s="24"/>
      <c r="V62" s="24">
        <v>450957</v>
      </c>
      <c r="W62" s="24"/>
      <c r="X62" s="24"/>
      <c r="Y62" s="24">
        <v>12808</v>
      </c>
      <c r="Z62" s="24"/>
      <c r="AA62" s="24"/>
      <c r="AB62" s="24"/>
      <c r="AC62" s="24"/>
      <c r="AD62" s="24"/>
      <c r="AE62" s="24"/>
      <c r="AF62" s="24"/>
    </row>
    <row r="63" spans="1:32" ht="30" x14ac:dyDescent="0.25">
      <c r="A63" s="1" t="s">
        <v>154</v>
      </c>
      <c r="B63" s="2" t="s">
        <v>155</v>
      </c>
      <c r="C63" s="24">
        <v>141027</v>
      </c>
      <c r="D63" s="24">
        <f t="shared" si="1"/>
        <v>128267.62</v>
      </c>
      <c r="E63" s="24">
        <f t="shared" si="0"/>
        <v>12759.380000000005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>
        <f>40169+20190</f>
        <v>60359</v>
      </c>
      <c r="W63" s="24"/>
      <c r="X63" s="24"/>
      <c r="Y63" s="24"/>
      <c r="Z63" s="24"/>
      <c r="AA63" s="24"/>
      <c r="AB63" s="24"/>
      <c r="AC63" s="24"/>
      <c r="AD63" s="24">
        <v>67908.62</v>
      </c>
      <c r="AE63" s="24"/>
      <c r="AF63" s="24"/>
    </row>
    <row r="64" spans="1:32" ht="30" x14ac:dyDescent="0.25">
      <c r="A64" s="1" t="s">
        <v>156</v>
      </c>
      <c r="B64" s="2" t="s">
        <v>157</v>
      </c>
      <c r="C64" s="24">
        <v>14539</v>
      </c>
      <c r="D64" s="24">
        <f t="shared" si="1"/>
        <v>14539</v>
      </c>
      <c r="E64" s="24">
        <f t="shared" si="0"/>
        <v>0</v>
      </c>
      <c r="F64" s="24"/>
      <c r="G64" s="24"/>
      <c r="H64" s="24"/>
      <c r="I64" s="24"/>
      <c r="J64" s="24"/>
      <c r="K64" s="24"/>
      <c r="L64" s="24"/>
      <c r="M64" s="24"/>
      <c r="N64" s="24"/>
      <c r="O64" s="24">
        <v>14539</v>
      </c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</row>
    <row r="65" spans="1:32" x14ac:dyDescent="0.25">
      <c r="A65" s="4" t="s">
        <v>158</v>
      </c>
      <c r="B65" s="5" t="s">
        <v>159</v>
      </c>
      <c r="C65" s="24">
        <v>37722</v>
      </c>
      <c r="D65" s="24">
        <f t="shared" si="1"/>
        <v>37722</v>
      </c>
      <c r="E65" s="24">
        <f t="shared" si="0"/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24"/>
      <c r="S65" s="30"/>
      <c r="T65" s="30"/>
      <c r="U65" s="30"/>
      <c r="V65" s="30"/>
      <c r="W65" s="30"/>
      <c r="X65" s="30"/>
      <c r="Y65" s="30">
        <v>8166.14</v>
      </c>
      <c r="Z65" s="30"/>
      <c r="AA65" s="30"/>
      <c r="AB65" s="30">
        <v>27311</v>
      </c>
      <c r="AC65" s="30"/>
      <c r="AD65" s="30">
        <v>2244.86</v>
      </c>
      <c r="AE65" s="30"/>
      <c r="AF65" s="30"/>
    </row>
    <row r="66" spans="1:32" x14ac:dyDescent="0.25">
      <c r="A66" s="6">
        <v>66080</v>
      </c>
      <c r="B66" t="s">
        <v>160</v>
      </c>
      <c r="C66" s="24">
        <v>136357</v>
      </c>
      <c r="D66" s="24">
        <f t="shared" si="1"/>
        <v>136357</v>
      </c>
      <c r="E66" s="24">
        <f t="shared" ref="E66" si="2">C66-D66</f>
        <v>0</v>
      </c>
      <c r="F66" s="28"/>
      <c r="G66" s="28"/>
      <c r="H66" s="28"/>
      <c r="I66" s="28"/>
      <c r="J66" s="28"/>
      <c r="K66" s="28"/>
      <c r="L66" s="28"/>
      <c r="M66" s="28"/>
      <c r="N66" s="24">
        <v>2202</v>
      </c>
      <c r="O66" s="24"/>
      <c r="P66" s="28"/>
      <c r="Q66" s="24">
        <v>22067</v>
      </c>
      <c r="R66" s="24"/>
      <c r="S66" s="31">
        <v>13530</v>
      </c>
      <c r="T66" s="28"/>
      <c r="U66" s="28"/>
      <c r="V66" s="28"/>
      <c r="W66" s="28">
        <v>46940.78</v>
      </c>
      <c r="X66" s="28">
        <v>11591</v>
      </c>
      <c r="Y66" s="28"/>
      <c r="Z66" s="28">
        <v>24311</v>
      </c>
      <c r="AA66" s="32">
        <v>11947</v>
      </c>
      <c r="AB66" s="28"/>
      <c r="AC66" s="28"/>
      <c r="AD66" s="28">
        <v>3768.22</v>
      </c>
      <c r="AE66" s="28"/>
      <c r="AF66" s="28"/>
    </row>
    <row r="67" spans="1:32" x14ac:dyDescent="0.25">
      <c r="A67" s="1" t="s">
        <v>161</v>
      </c>
      <c r="B67" s="2" t="s">
        <v>162</v>
      </c>
      <c r="C67" s="24">
        <v>1963249</v>
      </c>
      <c r="D67" s="24">
        <f t="shared" ref="D67" si="3">SUM(F67:AF67)</f>
        <v>1963249</v>
      </c>
      <c r="E67" s="24">
        <f>C67-D67</f>
        <v>0</v>
      </c>
      <c r="F67" s="24"/>
      <c r="G67" s="24"/>
      <c r="H67" s="24"/>
      <c r="I67" s="24">
        <v>62926</v>
      </c>
      <c r="J67" s="24">
        <v>175698</v>
      </c>
      <c r="K67" s="24">
        <v>208298</v>
      </c>
      <c r="L67" s="24">
        <v>135934</v>
      </c>
      <c r="M67" s="24">
        <v>163846</v>
      </c>
      <c r="N67" s="24">
        <v>141713</v>
      </c>
      <c r="O67" s="24">
        <v>137292</v>
      </c>
      <c r="P67" s="24">
        <v>302272</v>
      </c>
      <c r="Q67" s="24">
        <f>311782+124098</f>
        <v>435880</v>
      </c>
      <c r="R67" s="24">
        <f>58648+37273</f>
        <v>95921</v>
      </c>
      <c r="S67" s="24"/>
      <c r="T67" s="24"/>
      <c r="U67" s="24">
        <v>62139</v>
      </c>
      <c r="V67" s="24">
        <v>41330</v>
      </c>
      <c r="W67" s="24"/>
      <c r="X67" s="24"/>
      <c r="Y67" s="24"/>
      <c r="Z67" s="24"/>
      <c r="AA67" s="24"/>
      <c r="AB67" s="24"/>
      <c r="AC67" s="24"/>
      <c r="AD67" s="24"/>
      <c r="AE67" s="24"/>
      <c r="AF67" s="24"/>
    </row>
    <row r="68" spans="1:32" x14ac:dyDescent="0.25">
      <c r="A68" s="9"/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 ht="15.75" thickBot="1" x14ac:dyDescent="0.3">
      <c r="A69" s="13" t="s">
        <v>163</v>
      </c>
      <c r="B69" s="14"/>
      <c r="C69" s="15">
        <f>SUM(C2:C67)</f>
        <v>145985528</v>
      </c>
      <c r="D69" s="15">
        <f t="shared" ref="D69:AE69" si="4">SUM(D2:D67)</f>
        <v>145972768.62</v>
      </c>
      <c r="E69" s="15">
        <f t="shared" si="4"/>
        <v>12759.380000000005</v>
      </c>
      <c r="F69" s="15">
        <f t="shared" si="4"/>
        <v>0</v>
      </c>
      <c r="G69" s="15">
        <f t="shared" si="4"/>
        <v>0</v>
      </c>
      <c r="H69" s="15">
        <f t="shared" si="4"/>
        <v>883984</v>
      </c>
      <c r="I69" s="15">
        <f t="shared" si="4"/>
        <v>4723933</v>
      </c>
      <c r="J69" s="15">
        <f t="shared" si="4"/>
        <v>10573640</v>
      </c>
      <c r="K69" s="15">
        <f t="shared" si="4"/>
        <v>9070458</v>
      </c>
      <c r="L69" s="15">
        <f t="shared" si="4"/>
        <v>11364200</v>
      </c>
      <c r="M69" s="15">
        <f t="shared" si="4"/>
        <v>11641424</v>
      </c>
      <c r="N69" s="15">
        <f t="shared" si="4"/>
        <v>10974290</v>
      </c>
      <c r="O69" s="15">
        <f t="shared" si="4"/>
        <v>13348201</v>
      </c>
      <c r="P69" s="15">
        <f t="shared" si="4"/>
        <v>13304312</v>
      </c>
      <c r="Q69" s="15">
        <f t="shared" si="4"/>
        <v>14862904</v>
      </c>
      <c r="R69" s="15">
        <f t="shared" si="4"/>
        <v>8327530</v>
      </c>
      <c r="S69" s="15">
        <f t="shared" si="4"/>
        <v>6518093</v>
      </c>
      <c r="T69" s="15">
        <f t="shared" si="4"/>
        <v>9654822</v>
      </c>
      <c r="U69" s="15">
        <f t="shared" si="4"/>
        <v>9773208</v>
      </c>
      <c r="V69" s="15">
        <f t="shared" si="4"/>
        <v>3484782</v>
      </c>
      <c r="W69" s="15">
        <f t="shared" si="4"/>
        <v>3613455.78</v>
      </c>
      <c r="X69" s="15">
        <f t="shared" si="4"/>
        <v>587714</v>
      </c>
      <c r="Y69" s="15">
        <f t="shared" si="4"/>
        <v>1473903.14</v>
      </c>
      <c r="Z69" s="15">
        <f t="shared" si="4"/>
        <v>845635</v>
      </c>
      <c r="AA69" s="15">
        <f t="shared" si="4"/>
        <v>203533</v>
      </c>
      <c r="AB69" s="15">
        <f>SUM(AB2:AB67)</f>
        <v>27311</v>
      </c>
      <c r="AC69" s="15">
        <f t="shared" si="4"/>
        <v>641514</v>
      </c>
      <c r="AD69" s="15">
        <f t="shared" si="4"/>
        <v>73921.7</v>
      </c>
      <c r="AE69" s="15">
        <f t="shared" si="4"/>
        <v>0</v>
      </c>
      <c r="AF69" s="15">
        <f>SUM(AF2:AF67)</f>
        <v>0</v>
      </c>
    </row>
    <row r="70" spans="1:32" x14ac:dyDescent="0.25">
      <c r="I70" s="7"/>
      <c r="J70" s="8"/>
    </row>
    <row r="71" spans="1:32" x14ac:dyDescent="0.25">
      <c r="D71" s="20"/>
      <c r="I71" s="7"/>
      <c r="L71" s="8"/>
      <c r="Y71" s="7"/>
    </row>
    <row r="72" spans="1:32" x14ac:dyDescent="0.25">
      <c r="D72" s="7"/>
    </row>
    <row r="74" spans="1:32" x14ac:dyDescent="0.25">
      <c r="C74" s="22"/>
    </row>
    <row r="75" spans="1:32" x14ac:dyDescent="0.25">
      <c r="M75" s="3"/>
    </row>
    <row r="76" spans="1:32" x14ac:dyDescent="0.25">
      <c r="AA76" s="7"/>
    </row>
    <row r="78" spans="1:32" x14ac:dyDescent="0.25">
      <c r="D78" s="7"/>
    </row>
    <row r="81" spans="4:4" x14ac:dyDescent="0.25">
      <c r="D81" s="7"/>
    </row>
  </sheetData>
  <sheetProtection password="DC61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IDEA PART B FY17-18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Hambleton, Jennifer</dc:creator>
  <cp:lastModifiedBy>Davis, Evan</cp:lastModifiedBy>
  <dcterms:created xsi:type="dcterms:W3CDTF">2018-06-04T19:04:57Z</dcterms:created>
  <dcterms:modified xsi:type="dcterms:W3CDTF">2019-09-16T17:51:52Z</dcterms:modified>
</cp:coreProperties>
</file>