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ED\IDEA\IDEA Allocations\FY 2016-17\"/>
    </mc:Choice>
  </mc:AlternateContent>
  <workbookProtection workbookAlgorithmName="SHA-512" workbookHashValue="jj5ODsnTYfqsYLvJHSHK+tgVcA1Ne5K8WH0AR5rsvzTWuKhDwk71ALcF8UrXWrQO1dWNr1QpreQbQ2mZ4iIWBw==" workbookSaltValue="poM4z2pT/jzX/MUg6KCoPQ==" workbookSpinCount="100000" lockStructure="1"/>
  <bookViews>
    <workbookView xWindow="0" yWindow="0" windowWidth="28800" windowHeight="12435"/>
  </bookViews>
  <sheets>
    <sheet name="2017 Allocations POST TO WEB" sheetId="1" r:id="rId1"/>
  </sheets>
  <externalReferences>
    <externalReference r:id="rId2"/>
  </externalReferences>
  <definedNames>
    <definedName name="_xlnm._FilterDatabase" localSheetId="0" hidden="1">'2017 Allocations POST TO WEB'!$A$10:$P$82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2" i="1" l="1"/>
  <c r="I119" i="1"/>
  <c r="I118" i="1"/>
  <c r="H118" i="1" s="1"/>
  <c r="I117" i="1"/>
  <c r="I116" i="1"/>
  <c r="H116" i="1" s="1"/>
  <c r="H119" i="1" s="1"/>
  <c r="N115" i="1"/>
  <c r="I82" i="1"/>
  <c r="G82" i="1"/>
  <c r="P81" i="1"/>
  <c r="O81" i="1"/>
  <c r="N81" i="1"/>
  <c r="N66" i="1" s="1"/>
  <c r="M81" i="1"/>
  <c r="M82" i="1" s="1"/>
  <c r="L81" i="1"/>
  <c r="J81" i="1"/>
  <c r="J82" i="1" s="1"/>
  <c r="I81" i="1"/>
  <c r="H81" i="1"/>
  <c r="H82" i="1" s="1"/>
  <c r="G81" i="1"/>
  <c r="F81" i="1"/>
  <c r="E81" i="1"/>
  <c r="D81" i="1"/>
  <c r="C81" i="1"/>
  <c r="G80" i="1"/>
  <c r="G78" i="1"/>
  <c r="F78" i="1"/>
  <c r="E78" i="1"/>
  <c r="C78" i="1"/>
  <c r="N77" i="1"/>
  <c r="K77" i="1"/>
  <c r="N76" i="1"/>
  <c r="K76" i="1"/>
  <c r="N74" i="1"/>
  <c r="N78" i="1" s="1"/>
  <c r="K74" i="1"/>
  <c r="K78" i="1" s="1"/>
  <c r="G72" i="1"/>
  <c r="F72" i="1"/>
  <c r="F80" i="1" s="1"/>
  <c r="N71" i="1"/>
  <c r="K71" i="1"/>
  <c r="N70" i="1"/>
  <c r="K70" i="1"/>
  <c r="N69" i="1"/>
  <c r="K69" i="1"/>
  <c r="N68" i="1"/>
  <c r="K68" i="1"/>
  <c r="N67" i="1"/>
  <c r="K67" i="1"/>
  <c r="H93" i="1" s="1"/>
  <c r="C95" i="1" s="1"/>
  <c r="K66" i="1"/>
  <c r="N65" i="1"/>
  <c r="N64" i="1"/>
  <c r="N63" i="1"/>
  <c r="K63" i="1"/>
  <c r="N62" i="1"/>
  <c r="K62" i="1"/>
  <c r="N61" i="1"/>
  <c r="K61" i="1"/>
  <c r="K60" i="1"/>
  <c r="N59" i="1"/>
  <c r="K59" i="1"/>
  <c r="N57" i="1"/>
  <c r="K57" i="1"/>
  <c r="N56" i="1"/>
  <c r="K56" i="1"/>
  <c r="N55" i="1"/>
  <c r="N54" i="1"/>
  <c r="K54" i="1"/>
  <c r="K53" i="1"/>
  <c r="N52" i="1"/>
  <c r="K52" i="1"/>
  <c r="N51" i="1"/>
  <c r="N50" i="1"/>
  <c r="K50" i="1"/>
  <c r="N49" i="1"/>
  <c r="K49" i="1"/>
  <c r="N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N28" i="1"/>
  <c r="K28" i="1"/>
  <c r="N27" i="1"/>
  <c r="K27" i="1"/>
  <c r="N26" i="1"/>
  <c r="K26" i="1"/>
  <c r="N25" i="1"/>
  <c r="K25" i="1"/>
  <c r="N24" i="1"/>
  <c r="N23" i="1"/>
  <c r="K23" i="1"/>
  <c r="N22" i="1"/>
  <c r="K22" i="1"/>
  <c r="N21" i="1"/>
  <c r="K21" i="1"/>
  <c r="N20" i="1"/>
  <c r="N19" i="1"/>
  <c r="K19" i="1"/>
  <c r="N18" i="1"/>
  <c r="K18" i="1"/>
  <c r="N17" i="1"/>
  <c r="K17" i="1"/>
  <c r="N16" i="1"/>
  <c r="K16" i="1"/>
  <c r="N15" i="1"/>
  <c r="K15" i="1"/>
  <c r="N14" i="1"/>
  <c r="N13" i="1"/>
  <c r="K13" i="1"/>
  <c r="N12" i="1"/>
  <c r="K12" i="1"/>
  <c r="K72" i="1" s="1"/>
  <c r="K80" i="1" s="1"/>
  <c r="L40" i="1" s="1"/>
  <c r="O40" i="1" s="1"/>
  <c r="P40" i="1" s="1"/>
  <c r="L14" i="1" l="1"/>
  <c r="O14" i="1" s="1"/>
  <c r="P14" i="1" s="1"/>
  <c r="L22" i="1"/>
  <c r="O22" i="1" s="1"/>
  <c r="P22" i="1" s="1"/>
  <c r="G106" i="1"/>
  <c r="G107" i="1" s="1"/>
  <c r="H106" i="1"/>
  <c r="H109" i="1" s="1"/>
  <c r="L31" i="1"/>
  <c r="O31" i="1" s="1"/>
  <c r="P31" i="1" s="1"/>
  <c r="C98" i="1"/>
  <c r="C97" i="1"/>
  <c r="L15" i="1"/>
  <c r="O15" i="1" s="1"/>
  <c r="P15" i="1" s="1"/>
  <c r="L25" i="1"/>
  <c r="O25" i="1" s="1"/>
  <c r="P25" i="1" s="1"/>
  <c r="L35" i="1"/>
  <c r="O35" i="1" s="1"/>
  <c r="P35" i="1" s="1"/>
  <c r="L76" i="1"/>
  <c r="O76" i="1" s="1"/>
  <c r="P76" i="1" s="1"/>
  <c r="L70" i="1"/>
  <c r="O70" i="1" s="1"/>
  <c r="P70" i="1" s="1"/>
  <c r="L68" i="1"/>
  <c r="O68" i="1" s="1"/>
  <c r="P68" i="1" s="1"/>
  <c r="L62" i="1"/>
  <c r="O62" i="1" s="1"/>
  <c r="P62" i="1" s="1"/>
  <c r="L56" i="1"/>
  <c r="O56" i="1" s="1"/>
  <c r="P56" i="1" s="1"/>
  <c r="L50" i="1"/>
  <c r="O50" i="1" s="1"/>
  <c r="P50" i="1" s="1"/>
  <c r="L48" i="1"/>
  <c r="O48" i="1" s="1"/>
  <c r="P48" i="1" s="1"/>
  <c r="N113" i="1"/>
  <c r="N120" i="1" s="1"/>
  <c r="C102" i="1"/>
  <c r="L77" i="1"/>
  <c r="O77" i="1" s="1"/>
  <c r="P77" i="1" s="1"/>
  <c r="L74" i="1"/>
  <c r="L71" i="1"/>
  <c r="O71" i="1" s="1"/>
  <c r="P71" i="1" s="1"/>
  <c r="L69" i="1"/>
  <c r="O69" i="1" s="1"/>
  <c r="P69" i="1" s="1"/>
  <c r="L67" i="1"/>
  <c r="O67" i="1" s="1"/>
  <c r="P67" i="1" s="1"/>
  <c r="L64" i="1"/>
  <c r="O64" i="1" s="1"/>
  <c r="P64" i="1" s="1"/>
  <c r="L63" i="1"/>
  <c r="O63" i="1" s="1"/>
  <c r="P63" i="1" s="1"/>
  <c r="L57" i="1"/>
  <c r="O57" i="1" s="1"/>
  <c r="P57" i="1" s="1"/>
  <c r="L54" i="1"/>
  <c r="O54" i="1" s="1"/>
  <c r="P54" i="1" s="1"/>
  <c r="L49" i="1"/>
  <c r="O49" i="1" s="1"/>
  <c r="P49" i="1" s="1"/>
  <c r="L36" i="1"/>
  <c r="O36" i="1" s="1"/>
  <c r="P36" i="1" s="1"/>
  <c r="L34" i="1"/>
  <c r="O34" i="1" s="1"/>
  <c r="P34" i="1" s="1"/>
  <c r="L32" i="1"/>
  <c r="O32" i="1" s="1"/>
  <c r="P32" i="1" s="1"/>
  <c r="L30" i="1"/>
  <c r="O30" i="1" s="1"/>
  <c r="P30" i="1" s="1"/>
  <c r="L27" i="1"/>
  <c r="O27" i="1" s="1"/>
  <c r="P27" i="1" s="1"/>
  <c r="L26" i="1"/>
  <c r="O26" i="1" s="1"/>
  <c r="P26" i="1" s="1"/>
  <c r="L24" i="1"/>
  <c r="O24" i="1" s="1"/>
  <c r="P24" i="1" s="1"/>
  <c r="L19" i="1"/>
  <c r="O19" i="1" s="1"/>
  <c r="P19" i="1" s="1"/>
  <c r="L55" i="1"/>
  <c r="O55" i="1" s="1"/>
  <c r="P55" i="1" s="1"/>
  <c r="L46" i="1"/>
  <c r="O46" i="1" s="1"/>
  <c r="P46" i="1" s="1"/>
  <c r="L42" i="1"/>
  <c r="O42" i="1" s="1"/>
  <c r="P42" i="1" s="1"/>
  <c r="L39" i="1"/>
  <c r="O39" i="1" s="1"/>
  <c r="P39" i="1" s="1"/>
  <c r="L33" i="1"/>
  <c r="O33" i="1" s="1"/>
  <c r="P33" i="1" s="1"/>
  <c r="L12" i="1"/>
  <c r="L66" i="1"/>
  <c r="O66" i="1" s="1"/>
  <c r="P66" i="1" s="1"/>
  <c r="L61" i="1"/>
  <c r="O61" i="1" s="1"/>
  <c r="P61" i="1" s="1"/>
  <c r="L60" i="1"/>
  <c r="L53" i="1"/>
  <c r="L45" i="1"/>
  <c r="O45" i="1" s="1"/>
  <c r="P45" i="1" s="1"/>
  <c r="L41" i="1"/>
  <c r="O41" i="1" s="1"/>
  <c r="P41" i="1" s="1"/>
  <c r="L65" i="1"/>
  <c r="O65" i="1" s="1"/>
  <c r="P65" i="1" s="1"/>
  <c r="L59" i="1"/>
  <c r="O59" i="1" s="1"/>
  <c r="P59" i="1" s="1"/>
  <c r="L58" i="1"/>
  <c r="O58" i="1" s="1"/>
  <c r="P58" i="1" s="1"/>
  <c r="L52" i="1"/>
  <c r="O52" i="1" s="1"/>
  <c r="P52" i="1" s="1"/>
  <c r="L44" i="1"/>
  <c r="O44" i="1" s="1"/>
  <c r="P44" i="1" s="1"/>
  <c r="L38" i="1"/>
  <c r="O38" i="1" s="1"/>
  <c r="P38" i="1" s="1"/>
  <c r="L37" i="1"/>
  <c r="O37" i="1" s="1"/>
  <c r="P37" i="1" s="1"/>
  <c r="L29" i="1"/>
  <c r="O29" i="1" s="1"/>
  <c r="P29" i="1" s="1"/>
  <c r="L28" i="1"/>
  <c r="O28" i="1" s="1"/>
  <c r="P28" i="1" s="1"/>
  <c r="L23" i="1"/>
  <c r="O23" i="1" s="1"/>
  <c r="P23" i="1" s="1"/>
  <c r="L20" i="1"/>
  <c r="O20" i="1" s="1"/>
  <c r="P20" i="1" s="1"/>
  <c r="L18" i="1"/>
  <c r="O18" i="1" s="1"/>
  <c r="P18" i="1" s="1"/>
  <c r="L13" i="1"/>
  <c r="O13" i="1" s="1"/>
  <c r="P13" i="1" s="1"/>
  <c r="L75" i="1"/>
  <c r="O75" i="1" s="1"/>
  <c r="P75" i="1" s="1"/>
  <c r="L51" i="1"/>
  <c r="O51" i="1" s="1"/>
  <c r="P51" i="1" s="1"/>
  <c r="L47" i="1"/>
  <c r="O47" i="1" s="1"/>
  <c r="P47" i="1" s="1"/>
  <c r="L16" i="1"/>
  <c r="O16" i="1" s="1"/>
  <c r="P16" i="1" s="1"/>
  <c r="L43" i="1"/>
  <c r="O43" i="1" s="1"/>
  <c r="P43" i="1" s="1"/>
  <c r="N72" i="1"/>
  <c r="N80" i="1" s="1"/>
  <c r="N82" i="1" s="1"/>
  <c r="L17" i="1"/>
  <c r="O17" i="1" s="1"/>
  <c r="P17" i="1" s="1"/>
  <c r="L21" i="1"/>
  <c r="O21" i="1" s="1"/>
  <c r="P21" i="1" s="1"/>
  <c r="G109" i="1"/>
  <c r="C89" i="1"/>
  <c r="C90" i="1" s="1"/>
  <c r="C91" i="1" s="1"/>
  <c r="I89" i="1"/>
  <c r="F82" i="1"/>
  <c r="N118" i="1"/>
  <c r="N125" i="1" s="1"/>
  <c r="G108" i="1"/>
  <c r="D89" i="1"/>
  <c r="D90" i="1" s="1"/>
  <c r="D91" i="1" s="1"/>
  <c r="H108" i="1"/>
  <c r="H117" i="1"/>
  <c r="H120" i="1" s="1"/>
  <c r="H121" i="1" s="1"/>
  <c r="N53" i="1"/>
  <c r="N58" i="1"/>
  <c r="N60" i="1"/>
  <c r="G110" i="1" l="1"/>
  <c r="C58" i="1" s="1"/>
  <c r="C27" i="1"/>
  <c r="N129" i="1"/>
  <c r="O60" i="1"/>
  <c r="P60" i="1" s="1"/>
  <c r="N127" i="1"/>
  <c r="N128" i="1" s="1"/>
  <c r="L78" i="1"/>
  <c r="O74" i="1"/>
  <c r="O53" i="1"/>
  <c r="P53" i="1" s="1"/>
  <c r="L72" i="1"/>
  <c r="L80" i="1" s="1"/>
  <c r="L82" i="1" s="1"/>
  <c r="O12" i="1"/>
  <c r="H107" i="1"/>
  <c r="D77" i="1" l="1"/>
  <c r="D74" i="1"/>
  <c r="D71" i="1"/>
  <c r="D69" i="1"/>
  <c r="D63" i="1"/>
  <c r="D57" i="1"/>
  <c r="D51" i="1"/>
  <c r="D49" i="1"/>
  <c r="D94" i="1"/>
  <c r="D76" i="1"/>
  <c r="D75" i="1"/>
  <c r="D70" i="1"/>
  <c r="D68" i="1"/>
  <c r="D65" i="1"/>
  <c r="D55" i="1"/>
  <c r="D50" i="1"/>
  <c r="D37" i="1"/>
  <c r="D35" i="1"/>
  <c r="D33" i="1"/>
  <c r="D31" i="1"/>
  <c r="D25" i="1"/>
  <c r="D20" i="1"/>
  <c r="D18" i="1"/>
  <c r="D59" i="1"/>
  <c r="D52" i="1"/>
  <c r="D48" i="1"/>
  <c r="D44" i="1"/>
  <c r="D36" i="1"/>
  <c r="D23" i="1"/>
  <c r="D13" i="1"/>
  <c r="D101" i="1"/>
  <c r="D102" i="1" s="1"/>
  <c r="D47" i="1"/>
  <c r="D43" i="1"/>
  <c r="D40" i="1"/>
  <c r="D93" i="1"/>
  <c r="D46" i="1"/>
  <c r="D42" i="1"/>
  <c r="D39" i="1"/>
  <c r="D32" i="1"/>
  <c r="D26" i="1"/>
  <c r="D24" i="1"/>
  <c r="D14" i="1"/>
  <c r="D12" i="1"/>
  <c r="D66" i="1"/>
  <c r="D61" i="1"/>
  <c r="D60" i="1"/>
  <c r="D53" i="1"/>
  <c r="D45" i="1"/>
  <c r="D41" i="1"/>
  <c r="D38" i="1"/>
  <c r="D30" i="1"/>
  <c r="D15" i="1"/>
  <c r="D29" i="1"/>
  <c r="D21" i="1"/>
  <c r="D17" i="1"/>
  <c r="D34" i="1"/>
  <c r="D19" i="1"/>
  <c r="D16" i="1"/>
  <c r="D22" i="1"/>
  <c r="E27" i="1"/>
  <c r="E72" i="1" s="1"/>
  <c r="E80" i="1" s="1"/>
  <c r="E82" i="1" s="1"/>
  <c r="H110" i="1"/>
  <c r="E58" i="1" s="1"/>
  <c r="O78" i="1"/>
  <c r="P74" i="1"/>
  <c r="P78" i="1" s="1"/>
  <c r="C72" i="1"/>
  <c r="C80" i="1" s="1"/>
  <c r="C82" i="1" s="1"/>
  <c r="D27" i="1"/>
  <c r="O72" i="1"/>
  <c r="O80" i="1" s="1"/>
  <c r="O82" i="1" s="1"/>
  <c r="P12" i="1"/>
  <c r="P72" i="1" s="1"/>
  <c r="P80" i="1" s="1"/>
  <c r="P82" i="1" s="1"/>
  <c r="D58" i="1"/>
  <c r="D72" i="1" l="1"/>
  <c r="D80" i="1" s="1"/>
  <c r="D82" i="1" s="1"/>
  <c r="D97" i="1"/>
  <c r="I93" i="1"/>
  <c r="D95" i="1" s="1"/>
  <c r="D78" i="1"/>
  <c r="D98" i="1"/>
</calcChain>
</file>

<file path=xl/comments1.xml><?xml version="1.0" encoding="utf-8"?>
<comments xmlns="http://schemas.openxmlformats.org/spreadsheetml/2006/main">
  <authors>
    <author>Schneiderman, David</author>
    <author>moyle_r</author>
  </authors>
  <commentList>
    <comment ref="C27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4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6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Ealge Pulled out of Mtn BOCES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
</t>
        </r>
      </text>
    </comment>
    <comment ref="C62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4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4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7" authorId="1" shapeId="0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  <comment ref="B101" authorId="1" shapeId="0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No longer open
</t>
        </r>
      </text>
    </comment>
  </commentList>
</comments>
</file>

<file path=xl/sharedStrings.xml><?xml version="1.0" encoding="utf-8"?>
<sst xmlns="http://schemas.openxmlformats.org/spreadsheetml/2006/main" count="291" uniqueCount="228">
  <si>
    <t>IDEA Part B</t>
  </si>
  <si>
    <t>Allocation Period:  7/1/16 - 9/30/18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</si>
  <si>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</si>
  <si>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</si>
  <si>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</si>
  <si>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</si>
  <si>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</si>
  <si>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</si>
  <si>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</si>
  <si>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</si>
  <si>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</si>
  <si>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</si>
  <si>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</si>
  <si>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</si>
  <si>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FY09</t>
  </si>
  <si>
    <t>FY10</t>
  </si>
  <si>
    <t>FY14</t>
  </si>
  <si>
    <t>FY17</t>
  </si>
  <si>
    <t>Based on</t>
  </si>
  <si>
    <t>Through Funds Based on</t>
  </si>
  <si>
    <t>Total Formula</t>
  </si>
  <si>
    <t>Adjusted</t>
  </si>
  <si>
    <t xml:space="preserve">Adjusted </t>
  </si>
  <si>
    <t>K-12 Public and Private School Enrollment</t>
  </si>
  <si>
    <t>Children Living in Poverty</t>
  </si>
  <si>
    <t>Allocation of</t>
  </si>
  <si>
    <t>Base</t>
  </si>
  <si>
    <t xml:space="preserve">Base </t>
  </si>
  <si>
    <t>2015(Oct Ct)</t>
  </si>
  <si>
    <t>2015(Oct ct)</t>
  </si>
  <si>
    <t>Total Public and</t>
  </si>
  <si>
    <t>Allocation for</t>
  </si>
  <si>
    <t>Total</t>
  </si>
  <si>
    <t>Allocation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</si>
  <si>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</si>
  <si>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</si>
  <si>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</si>
  <si>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</si>
  <si>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</si>
  <si>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</si>
  <si>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</si>
  <si>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</si>
  <si>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(FY 99)</t>
  </si>
  <si>
    <t>CDELA--Statewide</t>
  </si>
  <si>
    <t>CMHI-Ft Logan</t>
  </si>
  <si>
    <t>EC BOCES - EAGLE</t>
  </si>
  <si>
    <t>School</t>
  </si>
  <si>
    <t>Students in</t>
  </si>
  <si>
    <t>Enrollment</t>
  </si>
  <si>
    <t>Count</t>
  </si>
  <si>
    <t>in Poverty</t>
  </si>
  <si>
    <t>Remaining Funds</t>
  </si>
  <si>
    <t>2016-2017</t>
  </si>
  <si>
    <t/>
  </si>
  <si>
    <t>(No Adjustments FY11, FY12 &amp; FY13, FY14)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</si>
  <si>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</si>
  <si>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</si>
  <si>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</si>
  <si>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</si>
  <si>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</si>
  <si>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</si>
  <si>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01010</t>
  </si>
  <si>
    <t>Adams 1, Mapleton</t>
  </si>
  <si>
    <t>01020</t>
  </si>
  <si>
    <t>Adams 12, Northglenn</t>
  </si>
  <si>
    <t>01030</t>
  </si>
  <si>
    <t>Adams 14, Commerce City</t>
  </si>
  <si>
    <t>*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</si>
  <si>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</si>
  <si>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</si>
  <si>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</si>
  <si>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</si>
  <si>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</si>
  <si>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</si>
  <si>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</si>
  <si>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</si>
  <si>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</si>
  <si>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</si>
  <si>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</si>
  <si>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</si>
  <si>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</si>
  <si>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</si>
  <si>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</si>
  <si>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</si>
  <si>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</si>
  <si>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</si>
  <si>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</si>
  <si>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</si>
  <si>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</si>
  <si>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</si>
  <si>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18010</t>
  </si>
  <si>
    <t>Douglas RE 1, Castle Rock</t>
  </si>
  <si>
    <t>19010</t>
  </si>
  <si>
    <t>EAGLE COUNTY RE 50J</t>
  </si>
  <si>
    <t>19205</t>
  </si>
  <si>
    <t>Elbert, 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</si>
  <si>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</si>
  <si>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</si>
  <si>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</si>
  <si>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</si>
  <si>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</si>
  <si>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</si>
  <si>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</si>
  <si>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</si>
  <si>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</si>
  <si>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</si>
  <si>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</si>
  <si>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</si>
  <si>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</si>
  <si>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</si>
  <si>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</si>
  <si>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</si>
  <si>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</si>
  <si>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</si>
  <si>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</si>
  <si>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</si>
  <si>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</si>
  <si>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</si>
  <si>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</si>
  <si>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</si>
  <si>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</si>
  <si>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</si>
  <si>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</si>
  <si>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</si>
  <si>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</si>
  <si>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</si>
  <si>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</si>
  <si>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</si>
  <si>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</si>
  <si>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</si>
  <si>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</si>
  <si>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</si>
  <si>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</si>
  <si>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</si>
  <si>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</si>
  <si>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</si>
  <si>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</si>
  <si>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Pitkin, Aspen 1</t>
  </si>
  <si>
    <t>51010</t>
  </si>
  <si>
    <t>Pueblo 60, Pueblo (urban)</t>
  </si>
  <si>
    <t>51020</t>
  </si>
  <si>
    <t>Pueblo 70, Pueblo (rural)</t>
  </si>
  <si>
    <t>59010</t>
  </si>
  <si>
    <t>Summit RE-1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</si>
  <si>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</si>
  <si>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</si>
  <si>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</si>
  <si>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</si>
  <si>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</si>
  <si>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</si>
  <si>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64203</t>
  </si>
  <si>
    <t>Centennial BOCES, La Salle</t>
  </si>
  <si>
    <t>64043</t>
  </si>
  <si>
    <t>East Central BOCES, Limon</t>
  </si>
  <si>
    <t>64093</t>
  </si>
  <si>
    <t>Mountain BOCES, Leadville</t>
  </si>
  <si>
    <t>64053</t>
  </si>
  <si>
    <t>Mount Evans BOCS, Idaho Springs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</si>
  <si>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</si>
  <si>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</si>
  <si>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</si>
  <si>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</si>
  <si>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</si>
  <si>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</si>
  <si>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64213</t>
  </si>
  <si>
    <t>Rio Blanco BOCS, Rangely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</si>
  <si>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</si>
  <si>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</si>
  <si>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</si>
  <si>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</si>
  <si>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</si>
  <si>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</si>
  <si>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</si>
  <si>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</si>
  <si>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</si>
  <si>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</si>
  <si>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</si>
  <si>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</si>
  <si>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64205</t>
  </si>
  <si>
    <t>Ute Pass BOCES, Woodland Park</t>
  </si>
  <si>
    <t>80010</t>
  </si>
  <si>
    <t>Charter School Institute</t>
  </si>
  <si>
    <t xml:space="preserve">     Total Administrative Units</t>
  </si>
  <si>
    <t>STATE OPERATED PROGRAMS</t>
  </si>
  <si>
    <t>66050</t>
  </si>
  <si>
    <t>Colorado School for the Deaf and the Blind</t>
  </si>
  <si>
    <t>66060</t>
  </si>
  <si>
    <t>Colorado Mental Health Institute, Pueblo</t>
  </si>
  <si>
    <t>66070</t>
  </si>
  <si>
    <t>Department of Corrections</t>
  </si>
  <si>
    <t>66080</t>
  </si>
  <si>
    <t>Division of Youth Services</t>
  </si>
  <si>
    <t xml:space="preserve">     Total State Operated Programs</t>
  </si>
  <si>
    <t xml:space="preserve">     GRAND TOTAL</t>
  </si>
  <si>
    <t>Per Pupil Centennial Base</t>
  </si>
  <si>
    <t>JOHNSTOWN-MILLIKEN RE-5J Base</t>
  </si>
  <si>
    <t>Centennial BOCES, La Salle Adj Base</t>
  </si>
  <si>
    <t>Adj CDELA Base</t>
  </si>
  <si>
    <t>Per Pupil Base</t>
  </si>
  <si>
    <t>Per Pupil Adj Base</t>
  </si>
  <si>
    <t>Florence/Fremont Pupil Count 1623</t>
  </si>
  <si>
    <t>New SC BOCS Base</t>
  </si>
  <si>
    <t>New Pikes Peak BOCS Base</t>
  </si>
  <si>
    <t>Colorado Mental Health Institute, Fort Logan</t>
  </si>
  <si>
    <t>Per Pupil Adjustment for Fort Logan</t>
  </si>
  <si>
    <t>Mountain BOCES</t>
  </si>
  <si>
    <t>EAGLE</t>
  </si>
  <si>
    <t>Aspen</t>
  </si>
  <si>
    <t>Summit</t>
  </si>
  <si>
    <t>Statewide Sped Count</t>
  </si>
  <si>
    <t>Statewide Student Count</t>
  </si>
  <si>
    <t>Statewide Base</t>
  </si>
  <si>
    <t>Statewide Count</t>
  </si>
  <si>
    <t>Statewide Per Student(Sped)</t>
  </si>
  <si>
    <t>Statewide Average %</t>
  </si>
  <si>
    <t>CDELA Sped Est %</t>
  </si>
  <si>
    <t>CDELA Oct Count</t>
  </si>
  <si>
    <t>CDELA Est Count</t>
  </si>
  <si>
    <t>Est Sped Count CDELA</t>
  </si>
  <si>
    <t>CDELA Base Calculation</t>
  </si>
  <si>
    <t>Adjusted Statewide Base</t>
  </si>
  <si>
    <t>Adjustment to put back in AUs</t>
  </si>
  <si>
    <t>Note:  Due to the nature of the statewide adjustment to CDELA, the</t>
  </si>
  <si>
    <t>adjustment to the base is to Actual October count and final--estimates were</t>
  </si>
  <si>
    <t>not used. The base will now only be adjusted when an existing charter</t>
  </si>
  <si>
    <t>school moves from an AU to CSI, otherwise the base will no longer be</t>
  </si>
  <si>
    <t>adjusted each year.  This is consistent with statewide treatment of opening</t>
  </si>
  <si>
    <t>schools in existing LEAs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</si>
</sst>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_);\(#,##0.000\)"/>
    <numFmt numFmtId="167" formatCode="0.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131">
    <xf numFmtId="0" fontId="0" fillId="0" borderId="0" xfId="0"/>
    <xf numFmtId="0" fontId="2" fillId="0" borderId="0" xfId="2"/>
    <xf numFmtId="0" fontId="3" fillId="0" borderId="0" xfId="2" applyFont="1" applyProtection="1"/>
    <xf numFmtId="0" fontId="4" fillId="0" borderId="0" xfId="2" applyFont="1" applyProtection="1"/>
    <xf numFmtId="0" fontId="2" fillId="0" borderId="0" xfId="2" applyFill="1"/>
    <xf numFmtId="0" fontId="0" fillId="0" borderId="0" xfId="0" applyFill="1"/>
    <xf numFmtId="0" fontId="2" fillId="0" borderId="0" xfId="2" applyAlignment="1">
      <alignment horizontal="center"/>
    </xf>
    <xf numFmtId="0" fontId="2" fillId="0" borderId="0" xfId="2" applyFill="1" applyAlignment="1">
      <alignment horizontal="center"/>
    </xf>
    <xf numFmtId="0" fontId="3" fillId="0" borderId="1" xfId="2" applyFont="1" applyBorder="1" applyProtection="1"/>
    <xf numFmtId="0" fontId="2" fillId="0" borderId="2" xfId="2" applyBorder="1" applyAlignment="1" applyProtection="1">
      <alignment horizontal="centerContinuous"/>
    </xf>
    <xf numFmtId="0" fontId="2" fillId="0" borderId="3" xfId="2" applyBorder="1" applyAlignment="1" applyProtection="1">
      <alignment horizontal="centerContinuous"/>
    </xf>
    <xf numFmtId="0" fontId="2" fillId="0" borderId="4" xfId="2" applyBorder="1" applyAlignment="1" applyProtection="1">
      <alignment horizontal="centerContinuous"/>
    </xf>
    <xf numFmtId="0" fontId="2" fillId="0" borderId="5" xfId="2" applyBorder="1" applyAlignment="1" applyProtection="1">
      <alignment horizontal="centerContinuous"/>
    </xf>
    <xf numFmtId="0" fontId="2" fillId="0" borderId="3" xfId="2" applyBorder="1" applyAlignment="1" applyProtection="1">
      <alignment horizontal="center"/>
    </xf>
    <xf numFmtId="0" fontId="2" fillId="0" borderId="2" xfId="2" applyBorder="1" applyAlignment="1" applyProtection="1">
      <alignment horizontal="center"/>
    </xf>
    <xf numFmtId="0" fontId="2" fillId="0" borderId="6" xfId="2" applyBorder="1" applyAlignment="1" applyProtection="1">
      <alignment horizontal="center"/>
    </xf>
    <xf numFmtId="0" fontId="2" fillId="0" borderId="2" xfId="2" applyBorder="1" applyAlignment="1" applyProtection="1">
      <alignment horizontal="center"/>
    </xf>
    <xf numFmtId="0" fontId="3" fillId="0" borderId="7" xfId="2" applyFont="1" applyBorder="1" applyProtection="1"/>
    <xf numFmtId="0" fontId="2" fillId="0" borderId="8" xfId="2" applyBorder="1" applyAlignment="1" applyProtection="1">
      <alignment horizontal="centerContinuous"/>
    </xf>
    <xf numFmtId="0" fontId="2" fillId="0" borderId="0" xfId="2" applyBorder="1" applyAlignment="1" applyProtection="1">
      <alignment horizontal="center"/>
    </xf>
    <xf numFmtId="0" fontId="2" fillId="0" borderId="9" xfId="2" applyBorder="1" applyAlignment="1" applyProtection="1">
      <alignment horizontal="center"/>
    </xf>
    <xf numFmtId="0" fontId="2" fillId="0" borderId="10" xfId="2" applyBorder="1" applyAlignment="1" applyProtection="1">
      <alignment horizontal="center"/>
    </xf>
    <xf numFmtId="0" fontId="2" fillId="0" borderId="0" xfId="2" applyBorder="1" applyAlignment="1" applyProtection="1">
      <alignment horizontal="center"/>
    </xf>
    <xf numFmtId="0" fontId="2" fillId="0" borderId="8" xfId="2" applyBorder="1" applyAlignment="1" applyProtection="1">
      <alignment horizontal="center"/>
    </xf>
    <xf numFmtId="0" fontId="2" fillId="0" borderId="11" xfId="2" applyBorder="1" applyAlignment="1" applyProtection="1">
      <alignment horizontal="center"/>
    </xf>
    <xf numFmtId="0" fontId="2" fillId="0" borderId="8" xfId="2" applyBorder="1" applyAlignment="1" applyProtection="1">
      <alignment horizontal="center"/>
    </xf>
    <xf numFmtId="0" fontId="2" fillId="0" borderId="7" xfId="2" applyBorder="1" applyAlignment="1" applyProtection="1">
      <alignment horizontal="centerContinuous"/>
    </xf>
    <xf numFmtId="0" fontId="2" fillId="0" borderId="11" xfId="2" applyBorder="1" applyAlignment="1" applyProtection="1">
      <alignment horizontal="center"/>
    </xf>
    <xf numFmtId="0" fontId="2" fillId="0" borderId="12" xfId="2" applyBorder="1" applyAlignment="1" applyProtection="1">
      <alignment horizontal="center"/>
    </xf>
    <xf numFmtId="0" fontId="2" fillId="0" borderId="13" xfId="2" applyBorder="1" applyAlignment="1" applyProtection="1">
      <alignment horizontal="center"/>
    </xf>
    <xf numFmtId="0" fontId="2" fillId="0" borderId="14" xfId="2" applyBorder="1" applyAlignment="1" applyProtection="1">
      <alignment horizontal="center"/>
    </xf>
    <xf numFmtId="0" fontId="2" fillId="0" borderId="8" xfId="2" applyFill="1" applyBorder="1" applyAlignment="1" applyProtection="1">
      <alignment horizontal="center"/>
    </xf>
    <xf numFmtId="0" fontId="2" fillId="0" borderId="8" xfId="2" applyFill="1" applyBorder="1" applyProtection="1"/>
    <xf numFmtId="0" fontId="2" fillId="0" borderId="9" xfId="2" applyFill="1" applyBorder="1" applyAlignment="1" applyProtection="1">
      <alignment horizontal="center"/>
    </xf>
    <xf numFmtId="0" fontId="2" fillId="0" borderId="0" xfId="2" quotePrefix="1"/>
    <xf numFmtId="0" fontId="3" fillId="0" borderId="15" xfId="2" applyFont="1" applyBorder="1" applyProtection="1"/>
    <xf numFmtId="0" fontId="2" fillId="0" borderId="13" xfId="2" applyBorder="1" applyProtection="1"/>
    <xf numFmtId="0" fontId="2" fillId="0" borderId="12" xfId="2" applyBorder="1" applyProtection="1"/>
    <xf numFmtId="0" fontId="5" fillId="0" borderId="16" xfId="2" applyFont="1" applyBorder="1" applyAlignment="1" applyProtection="1">
      <alignment horizontal="center" wrapText="1"/>
    </xf>
    <xf numFmtId="0" fontId="5" fillId="0" borderId="17" xfId="2" applyFont="1" applyBorder="1" applyAlignment="1" applyProtection="1">
      <alignment horizontal="center" wrapText="1"/>
    </xf>
    <xf numFmtId="0" fontId="5" fillId="0" borderId="18" xfId="2" applyFont="1" applyBorder="1" applyAlignment="1" applyProtection="1">
      <alignment horizontal="center" wrapText="1"/>
    </xf>
    <xf numFmtId="0" fontId="2" fillId="0" borderId="13" xfId="2" applyBorder="1" applyAlignment="1" applyProtection="1">
      <alignment horizontal="center"/>
    </xf>
    <xf numFmtId="0" fontId="2" fillId="0" borderId="13" xfId="2" applyFill="1" applyBorder="1" applyAlignment="1" applyProtection="1">
      <alignment horizontal="center"/>
    </xf>
    <xf numFmtId="0" fontId="2" fillId="0" borderId="13" xfId="2" applyFill="1" applyBorder="1" applyProtection="1"/>
    <xf numFmtId="0" fontId="2" fillId="0" borderId="8" xfId="2" applyBorder="1" applyProtection="1"/>
    <xf numFmtId="49" fontId="2" fillId="0" borderId="0" xfId="2" quotePrefix="1" applyNumberFormat="1"/>
    <xf numFmtId="0" fontId="2" fillId="0" borderId="7" xfId="2" applyBorder="1" applyProtection="1"/>
    <xf numFmtId="5" fontId="2" fillId="0" borderId="8" xfId="2" applyNumberFormat="1" applyBorder="1" applyProtection="1"/>
    <xf numFmtId="3" fontId="2" fillId="0" borderId="8" xfId="2" applyNumberFormat="1" applyBorder="1" applyProtection="1"/>
    <xf numFmtId="3" fontId="2" fillId="0" borderId="7" xfId="2" applyNumberFormat="1" applyBorder="1"/>
    <xf numFmtId="3" fontId="2" fillId="0" borderId="7" xfId="2" applyNumberFormat="1" applyFill="1" applyBorder="1"/>
    <xf numFmtId="37" fontId="2" fillId="0" borderId="8" xfId="2" applyNumberFormat="1" applyBorder="1" applyProtection="1"/>
    <xf numFmtId="164" fontId="2" fillId="0" borderId="8" xfId="3" applyNumberFormat="1" applyFont="1" applyBorder="1" applyProtection="1"/>
    <xf numFmtId="164" fontId="2" fillId="0" borderId="8" xfId="2" applyNumberFormat="1" applyBorder="1" applyProtection="1"/>
    <xf numFmtId="3" fontId="2" fillId="0" borderId="7" xfId="2" applyNumberFormat="1" applyFill="1" applyBorder="1" applyAlignment="1">
      <alignment horizontal="right"/>
    </xf>
    <xf numFmtId="37" fontId="2" fillId="0" borderId="8" xfId="2" applyNumberFormat="1" applyFill="1" applyBorder="1" applyProtection="1"/>
    <xf numFmtId="3" fontId="2" fillId="0" borderId="8" xfId="2" applyNumberFormat="1" applyFill="1" applyBorder="1" applyProtection="1"/>
    <xf numFmtId="5" fontId="2" fillId="0" borderId="8" xfId="2" applyNumberFormat="1" applyFill="1" applyBorder="1" applyProtection="1"/>
    <xf numFmtId="0" fontId="2" fillId="0" borderId="0" xfId="2" quotePrefix="1" applyFill="1"/>
    <xf numFmtId="0" fontId="2" fillId="0" borderId="7" xfId="2" applyFill="1" applyBorder="1" applyProtection="1"/>
    <xf numFmtId="164" fontId="2" fillId="0" borderId="8" xfId="3" applyNumberFormat="1" applyFont="1" applyFill="1" applyBorder="1" applyProtection="1"/>
    <xf numFmtId="164" fontId="2" fillId="0" borderId="8" xfId="2" applyNumberFormat="1" applyFill="1" applyBorder="1" applyProtection="1"/>
    <xf numFmtId="37" fontId="0" fillId="0" borderId="0" xfId="0" applyNumberFormat="1" applyFill="1"/>
    <xf numFmtId="0" fontId="2" fillId="0" borderId="15" xfId="2" applyBorder="1" applyProtection="1"/>
    <xf numFmtId="37" fontId="2" fillId="0" borderId="13" xfId="2" applyNumberFormat="1" applyBorder="1" applyProtection="1"/>
    <xf numFmtId="3" fontId="2" fillId="0" borderId="13" xfId="2" applyNumberFormat="1" applyBorder="1" applyProtection="1"/>
    <xf numFmtId="37" fontId="2" fillId="0" borderId="15" xfId="2" applyNumberFormat="1" applyBorder="1" applyProtection="1"/>
    <xf numFmtId="5" fontId="3" fillId="0" borderId="13" xfId="2" applyNumberFormat="1" applyFont="1" applyBorder="1" applyProtection="1"/>
    <xf numFmtId="5" fontId="3" fillId="0" borderId="19" xfId="2" applyNumberFormat="1" applyFont="1" applyBorder="1" applyProtection="1"/>
    <xf numFmtId="37" fontId="3" fillId="0" borderId="20" xfId="2" applyNumberFormat="1" applyFont="1" applyBorder="1" applyProtection="1"/>
    <xf numFmtId="37" fontId="3" fillId="0" borderId="21" xfId="2" applyNumberFormat="1" applyFont="1" applyFill="1" applyBorder="1" applyProtection="1"/>
    <xf numFmtId="37" fontId="3" fillId="0" borderId="13" xfId="2" applyNumberFormat="1" applyFont="1" applyBorder="1" applyProtection="1"/>
    <xf numFmtId="164" fontId="3" fillId="0" borderId="22" xfId="2" applyNumberFormat="1" applyFont="1" applyBorder="1" applyProtection="1"/>
    <xf numFmtId="5" fontId="3" fillId="0" borderId="22" xfId="2" applyNumberFormat="1" applyFont="1" applyBorder="1" applyProtection="1"/>
    <xf numFmtId="165" fontId="2" fillId="0" borderId="8" xfId="4" applyNumberFormat="1" applyFont="1" applyFill="1" applyBorder="1" applyProtection="1"/>
    <xf numFmtId="37" fontId="2" fillId="0" borderId="8" xfId="2" applyNumberFormat="1" applyFill="1" applyBorder="1" applyAlignment="1" applyProtection="1">
      <alignment horizontal="right"/>
    </xf>
    <xf numFmtId="0" fontId="2" fillId="0" borderId="15" xfId="2" applyFill="1" applyBorder="1" applyProtection="1"/>
    <xf numFmtId="37" fontId="2" fillId="0" borderId="13" xfId="2" applyNumberFormat="1" applyFill="1" applyBorder="1" applyProtection="1"/>
    <xf numFmtId="3" fontId="2" fillId="0" borderId="13" xfId="2" applyNumberFormat="1" applyFill="1" applyBorder="1" applyProtection="1"/>
    <xf numFmtId="37" fontId="3" fillId="0" borderId="23" xfId="2" applyNumberFormat="1" applyFont="1" applyBorder="1" applyProtection="1"/>
    <xf numFmtId="37" fontId="3" fillId="0" borderId="24" xfId="2" applyNumberFormat="1" applyFont="1" applyBorder="1" applyProtection="1"/>
    <xf numFmtId="37" fontId="3" fillId="0" borderId="25" xfId="2" applyNumberFormat="1" applyFont="1" applyFill="1" applyBorder="1" applyProtection="1"/>
    <xf numFmtId="165" fontId="3" fillId="0" borderId="22" xfId="2" applyNumberFormat="1" applyFont="1" applyBorder="1" applyProtection="1"/>
    <xf numFmtId="37" fontId="3" fillId="0" borderId="22" xfId="2" applyNumberFormat="1" applyFont="1" applyFill="1" applyBorder="1" applyProtection="1"/>
    <xf numFmtId="165" fontId="2" fillId="0" borderId="8" xfId="2" applyNumberFormat="1" applyBorder="1" applyProtection="1"/>
    <xf numFmtId="0" fontId="3" fillId="0" borderId="24" xfId="2" applyFont="1" applyBorder="1" applyProtection="1"/>
    <xf numFmtId="5" fontId="3" fillId="0" borderId="26" xfId="2" applyNumberFormat="1" applyFont="1" applyBorder="1" applyProtection="1"/>
    <xf numFmtId="37" fontId="3" fillId="0" borderId="26" xfId="2" applyNumberFormat="1" applyFont="1" applyBorder="1" applyProtection="1"/>
    <xf numFmtId="37" fontId="3" fillId="0" borderId="26" xfId="2" applyNumberFormat="1" applyFont="1" applyFill="1" applyBorder="1" applyProtection="1"/>
    <xf numFmtId="164" fontId="3" fillId="0" borderId="26" xfId="2" applyNumberFormat="1" applyFont="1" applyBorder="1" applyProtection="1"/>
    <xf numFmtId="5" fontId="3" fillId="0" borderId="27" xfId="2" applyNumberFormat="1" applyFont="1" applyBorder="1" applyProtection="1"/>
    <xf numFmtId="165" fontId="2" fillId="0" borderId="0" xfId="4" applyNumberFormat="1" applyFont="1" applyFill="1"/>
    <xf numFmtId="3" fontId="2" fillId="0" borderId="0" xfId="2" applyNumberFormat="1" applyFill="1"/>
    <xf numFmtId="2" fontId="2" fillId="0" borderId="0" xfId="2" applyNumberFormat="1" applyFill="1"/>
    <xf numFmtId="165" fontId="2" fillId="0" borderId="0" xfId="2" applyNumberFormat="1" applyFill="1"/>
    <xf numFmtId="7" fontId="2" fillId="0" borderId="0" xfId="2" applyNumberFormat="1" applyFill="1"/>
    <xf numFmtId="166" fontId="2" fillId="0" borderId="0" xfId="2" applyNumberFormat="1" applyFill="1" applyBorder="1" applyProtection="1"/>
    <xf numFmtId="3" fontId="2" fillId="0" borderId="0" xfId="2" applyNumberFormat="1" applyFill="1" applyBorder="1" applyProtection="1"/>
    <xf numFmtId="43" fontId="2" fillId="0" borderId="0" xfId="2" applyNumberFormat="1" applyFill="1"/>
    <xf numFmtId="1" fontId="2" fillId="0" borderId="0" xfId="2" applyNumberFormat="1" applyFill="1"/>
    <xf numFmtId="37" fontId="2" fillId="0" borderId="0" xfId="2" applyNumberFormat="1" applyFill="1"/>
    <xf numFmtId="5" fontId="2" fillId="0" borderId="0" xfId="2" applyNumberFormat="1" applyFill="1" applyBorder="1" applyProtection="1"/>
    <xf numFmtId="37" fontId="2" fillId="2" borderId="0" xfId="2" applyNumberFormat="1" applyFill="1" applyBorder="1" applyProtection="1"/>
    <xf numFmtId="3" fontId="2" fillId="2" borderId="0" xfId="2" applyNumberFormat="1" applyFill="1" applyBorder="1" applyProtection="1"/>
    <xf numFmtId="2" fontId="2" fillId="2" borderId="0" xfId="2" applyNumberFormat="1" applyFill="1" applyBorder="1"/>
    <xf numFmtId="2" fontId="2" fillId="0" borderId="0" xfId="2" applyNumberFormat="1" applyFill="1" applyBorder="1"/>
    <xf numFmtId="37" fontId="2" fillId="0" borderId="0" xfId="2" applyNumberFormat="1" applyFill="1" applyBorder="1" applyProtection="1"/>
    <xf numFmtId="165" fontId="2" fillId="2" borderId="0" xfId="1" applyNumberFormat="1" applyFont="1" applyFill="1" applyBorder="1"/>
    <xf numFmtId="37" fontId="2" fillId="0" borderId="0" xfId="2" applyNumberFormat="1" applyFill="1" applyBorder="1"/>
    <xf numFmtId="165" fontId="2" fillId="2" borderId="6" xfId="4" applyNumberFormat="1" applyFont="1" applyFill="1" applyBorder="1"/>
    <xf numFmtId="0" fontId="2" fillId="2" borderId="3" xfId="2" applyFill="1" applyBorder="1"/>
    <xf numFmtId="165" fontId="2" fillId="2" borderId="2" xfId="4" applyNumberFormat="1" applyFont="1" applyFill="1" applyBorder="1"/>
    <xf numFmtId="165" fontId="2" fillId="2" borderId="11" xfId="4" applyNumberFormat="1" applyFont="1" applyFill="1" applyBorder="1"/>
    <xf numFmtId="165" fontId="2" fillId="2" borderId="0" xfId="4" applyNumberFormat="1" applyFont="1" applyFill="1" applyBorder="1"/>
    <xf numFmtId="165" fontId="2" fillId="2" borderId="8" xfId="4" applyNumberFormat="1" applyFont="1" applyFill="1" applyBorder="1"/>
    <xf numFmtId="2" fontId="2" fillId="2" borderId="0" xfId="2" applyNumberFormat="1" applyFill="1"/>
    <xf numFmtId="37" fontId="6" fillId="0" borderId="23" xfId="5" applyNumberFormat="1" applyFont="1" applyFill="1" applyBorder="1" applyAlignment="1" applyProtection="1">
      <alignment horizontal="center"/>
    </xf>
    <xf numFmtId="37" fontId="2" fillId="2" borderId="8" xfId="2" applyNumberFormat="1" applyFill="1" applyBorder="1" applyProtection="1"/>
    <xf numFmtId="0" fontId="6" fillId="0" borderId="23" xfId="5" applyNumberFormat="1" applyFont="1" applyFill="1" applyBorder="1" applyAlignment="1" applyProtection="1">
      <alignment horizontal="center"/>
    </xf>
    <xf numFmtId="4" fontId="2" fillId="2" borderId="8" xfId="4" applyNumberFormat="1" applyFont="1" applyFill="1" applyBorder="1"/>
    <xf numFmtId="43" fontId="2" fillId="0" borderId="28" xfId="1" applyFont="1" applyFill="1" applyBorder="1"/>
    <xf numFmtId="0" fontId="2" fillId="2" borderId="11" xfId="2" applyFill="1" applyBorder="1"/>
    <xf numFmtId="167" fontId="2" fillId="2" borderId="8" xfId="4" applyNumberFormat="1" applyFont="1" applyFill="1" applyBorder="1"/>
    <xf numFmtId="165" fontId="2" fillId="2" borderId="3" xfId="4" applyNumberFormat="1" applyFont="1" applyFill="1" applyBorder="1"/>
    <xf numFmtId="165" fontId="2" fillId="2" borderId="14" xfId="4" applyNumberFormat="1" applyFont="1" applyFill="1" applyBorder="1"/>
    <xf numFmtId="165" fontId="2" fillId="2" borderId="12" xfId="4" applyNumberFormat="1" applyFont="1" applyFill="1" applyBorder="1"/>
    <xf numFmtId="165" fontId="2" fillId="2" borderId="13" xfId="4" applyNumberFormat="1" applyFont="1" applyFill="1" applyBorder="1"/>
    <xf numFmtId="0" fontId="2" fillId="2" borderId="0" xfId="2" applyFill="1"/>
    <xf numFmtId="165" fontId="2" fillId="2" borderId="0" xfId="4" applyNumberFormat="1" applyFont="1" applyFill="1"/>
    <xf numFmtId="167" fontId="2" fillId="2" borderId="0" xfId="4" applyNumberFormat="1" applyFont="1" applyFill="1"/>
    <xf numFmtId="0" fontId="3" fillId="2" borderId="0" xfId="2" applyFont="1" applyFill="1"/>
  </cellXfs>
  <cellStyles count="6">
    <cellStyle name="Comma" xfId="1" builtinId="3"/>
    <cellStyle name="Comma 2" xfId="4"/>
    <cellStyle name="Currency 2" xfId="3"/>
    <cellStyle name="Normal" xfId="0" builtinId="0"/>
    <cellStyle name="Normal 2" xfId="2"/>
    <cellStyle name="Normal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T%20B%20Allocation%20FY17%20Ini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Allocations"/>
      <sheetName val="2017 Allocations POST TO WEB"/>
      <sheetName val="Mountain Split"/>
      <sheetName val="2016 2015 Allocations Compare"/>
      <sheetName val="AU_District"/>
      <sheetName val="October Public Pupil 2015"/>
      <sheetName val="October NonPublic Pupil 2015"/>
      <sheetName val="At Risk 2015"/>
      <sheetName val="Eligible Facility 2015"/>
      <sheetName val="CTRACK15"/>
      <sheetName val="DOC Count 2015"/>
      <sheetName val="DYC Count 2015"/>
      <sheetName val="DOC count history"/>
      <sheetName val="CSDB and CMHI October 2015"/>
    </sheetNames>
    <sheetDataSet>
      <sheetData sheetId="0"/>
      <sheetData sheetId="1"/>
      <sheetData sheetId="2">
        <row r="1">
          <cell r="Y1" t="str">
            <v>Grand Total</v>
          </cell>
        </row>
        <row r="3">
          <cell r="D3" t="str">
            <v>AU Code</v>
          </cell>
        </row>
        <row r="4">
          <cell r="Y4">
            <v>1973</v>
          </cell>
        </row>
        <row r="5">
          <cell r="D5" t="str">
            <v>64093</v>
          </cell>
          <cell r="Y5">
            <v>107</v>
          </cell>
        </row>
        <row r="6">
          <cell r="D6" t="str">
            <v>64093</v>
          </cell>
          <cell r="Y6">
            <v>110</v>
          </cell>
        </row>
        <row r="7">
          <cell r="D7">
            <v>64093</v>
          </cell>
          <cell r="Y7">
            <v>508</v>
          </cell>
        </row>
        <row r="8">
          <cell r="D8">
            <v>64093</v>
          </cell>
          <cell r="Y8">
            <v>468</v>
          </cell>
        </row>
        <row r="9">
          <cell r="D9">
            <v>64093</v>
          </cell>
          <cell r="Y9">
            <v>96</v>
          </cell>
        </row>
        <row r="10">
          <cell r="D10">
            <v>64093</v>
          </cell>
          <cell r="Y10">
            <v>121</v>
          </cell>
        </row>
        <row r="11">
          <cell r="D11" t="str">
            <v>64093</v>
          </cell>
          <cell r="Y11">
            <v>59</v>
          </cell>
        </row>
        <row r="12">
          <cell r="D12" t="str">
            <v>49010</v>
          </cell>
          <cell r="Y12">
            <v>139</v>
          </cell>
        </row>
        <row r="13">
          <cell r="D13" t="str">
            <v>59010</v>
          </cell>
          <cell r="Y13">
            <v>353</v>
          </cell>
        </row>
        <row r="14">
          <cell r="D14" t="str">
            <v>64093</v>
          </cell>
          <cell r="Y14">
            <v>12</v>
          </cell>
        </row>
      </sheetData>
      <sheetData sheetId="3"/>
      <sheetData sheetId="4"/>
      <sheetData sheetId="5">
        <row r="189">
          <cell r="H189">
            <v>866691</v>
          </cell>
        </row>
      </sheetData>
      <sheetData sheetId="6">
        <row r="419">
          <cell r="U419">
            <v>36566</v>
          </cell>
        </row>
      </sheetData>
      <sheetData sheetId="7">
        <row r="185">
          <cell r="F185">
            <v>308139.69999999995</v>
          </cell>
        </row>
      </sheetData>
      <sheetData sheetId="8">
        <row r="57">
          <cell r="D57">
            <v>1455</v>
          </cell>
        </row>
      </sheetData>
      <sheetData sheetId="9">
        <row r="14">
          <cell r="B14">
            <v>15896484</v>
          </cell>
        </row>
        <row r="15">
          <cell r="B15">
            <v>90080074</v>
          </cell>
        </row>
        <row r="16">
          <cell r="B16">
            <v>38914504</v>
          </cell>
        </row>
        <row r="19">
          <cell r="B19">
            <v>144891062</v>
          </cell>
        </row>
      </sheetData>
      <sheetData sheetId="10"/>
      <sheetData sheetId="11">
        <row r="3">
          <cell r="G3">
            <v>343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R138"/>
  <sheetViews>
    <sheetView tabSelected="1" zoomScale="85" zoomScaleNormal="85" workbookViewId="0">
      <pane xSplit="2" ySplit="10" topLeftCell="C11" activePane="bottomRight" state="frozen"/>
      <selection activeCell="F18" sqref="F18"/>
      <selection pane="topRight" activeCell="F18" sqref="F18"/>
      <selection pane="bottomLeft" activeCell="F18" sqref="F18"/>
      <selection pane="bottomRight" activeCell="A19" sqref="A19"/>
    </sheetView>
  </sheetViews>
  <sheetFormatPr defaultRowHeight="15" x14ac:dyDescent="0.25"/>
  <cols>
    <col min="1" max="1" width="7.85546875" style="5" bestFit="1" customWidth="1"/>
    <col min="2" max="2" width="44.5703125" style="5" customWidth="1"/>
    <col min="3" max="3" width="18" style="5" hidden="1" customWidth="1"/>
    <col min="4" max="4" width="21.140625" style="5" hidden="1" customWidth="1"/>
    <col min="5" max="6" width="26.42578125" style="5" hidden="1" customWidth="1"/>
    <col min="7" max="7" width="26.42578125" style="5" customWidth="1"/>
    <col min="8" max="8" width="17" style="5" bestFit="1" customWidth="1"/>
    <col min="9" max="9" width="16.140625" style="5" customWidth="1"/>
    <col min="10" max="10" width="18.5703125" style="5" bestFit="1" customWidth="1"/>
    <col min="11" max="11" width="17.28515625" style="5" bestFit="1" customWidth="1"/>
    <col min="12" max="12" width="21.42578125" style="5" customWidth="1"/>
    <col min="13" max="13" width="15" style="5" customWidth="1"/>
    <col min="14" max="14" width="20.140625" style="5" customWidth="1"/>
    <col min="15" max="15" width="32.5703125" style="5" bestFit="1" customWidth="1"/>
    <col min="16" max="16" width="20.42578125" style="5" customWidth="1"/>
    <col min="17" max="16384" width="9.140625" style="5"/>
  </cols>
  <sheetData>
    <row r="1" spans="1:16" ht="18" x14ac:dyDescent="0.25">
      <c r="A1" s="1"/>
      <c r="B1" s="2" t="s">
        <v>0</v>
      </c>
      <c r="C1" s="3"/>
      <c r="D1" s="3"/>
      <c r="E1" s="3"/>
      <c r="F1" s="3"/>
      <c r="G1" s="3"/>
      <c r="H1" s="1"/>
      <c r="I1" s="4"/>
      <c r="J1" s="4"/>
      <c r="K1" s="1"/>
      <c r="L1" s="1"/>
      <c r="M1" s="4"/>
      <c r="N1" s="1"/>
      <c r="O1" s="1"/>
      <c r="P1" s="1"/>
    </row>
    <row r="2" spans="1:16" ht="18" x14ac:dyDescent="0.25">
      <c r="A2" s="1"/>
      <c r="B2" s="2" t="s">
        <v>1</v>
      </c>
      <c r="C2" s="3"/>
      <c r="D2" s="3"/>
      <c r="E2" s="3"/>
      <c r="F2" s="3"/>
      <c r="G2" s="3"/>
      <c r="H2" s="1"/>
      <c r="I2" s="4"/>
      <c r="J2" s="4"/>
      <c r="K2" s="1"/>
      <c r="L2" s="1"/>
      <c r="M2" s="4"/>
      <c r="N2" s="1"/>
      <c r="O2" s="1"/>
      <c r="P2" s="1"/>
    </row>
    <row r="3" spans="1:16" ht="15.75" x14ac:dyDescent="0.25">
      <c r="A3" s="1"/>
      <c r="B3" s="2"/>
      <c r="C3" s="6" t="s">
        <v>2</v>
      </c>
      <c r="D3" s="6"/>
      <c r="E3" s="6"/>
      <c r="F3" s="6"/>
      <c r="G3" s="6" t="s">
        <v>2</v>
      </c>
      <c r="H3" s="6" t="s">
        <v>3</v>
      </c>
      <c r="I3" s="7" t="s">
        <v>4</v>
      </c>
      <c r="J3" s="7" t="s">
        <v>5</v>
      </c>
      <c r="K3" s="6" t="s">
        <v>6</v>
      </c>
      <c r="L3" s="6" t="s">
        <v>7</v>
      </c>
      <c r="M3" s="7" t="s">
        <v>8</v>
      </c>
      <c r="N3" s="6" t="s">
        <v>9</v>
      </c>
      <c r="O3" s="6" t="s">
        <v>10</v>
      </c>
      <c r="P3" s="6" t="s">
        <v>11</v>
      </c>
    </row>
    <row r="4" spans="1:16" ht="15.75" x14ac:dyDescent="0.25">
      <c r="A4" s="1"/>
      <c r="B4" s="8"/>
      <c r="C4" s="9"/>
      <c r="D4" s="10"/>
      <c r="E4" s="11"/>
      <c r="F4" s="10"/>
      <c r="G4" s="12"/>
      <c r="H4" s="13" t="s">
        <v>12</v>
      </c>
      <c r="I4" s="13"/>
      <c r="J4" s="13"/>
      <c r="K4" s="14"/>
      <c r="L4" s="9"/>
      <c r="M4" s="15" t="s">
        <v>13</v>
      </c>
      <c r="N4" s="14"/>
      <c r="O4" s="9"/>
      <c r="P4" s="16"/>
    </row>
    <row r="5" spans="1:16" ht="15.75" x14ac:dyDescent="0.25">
      <c r="A5" s="1"/>
      <c r="B5" s="17"/>
      <c r="C5" s="18"/>
      <c r="D5" s="19" t="s">
        <v>14</v>
      </c>
      <c r="E5" s="20" t="s">
        <v>15</v>
      </c>
      <c r="F5" s="21" t="s">
        <v>16</v>
      </c>
      <c r="G5" s="20" t="s">
        <v>17</v>
      </c>
      <c r="H5" s="22" t="s">
        <v>18</v>
      </c>
      <c r="I5" s="22"/>
      <c r="J5" s="22"/>
      <c r="K5" s="23"/>
      <c r="L5" s="18"/>
      <c r="M5" s="24" t="s">
        <v>19</v>
      </c>
      <c r="N5" s="23"/>
      <c r="O5" s="18"/>
      <c r="P5" s="25" t="s">
        <v>20</v>
      </c>
    </row>
    <row r="6" spans="1:16" ht="15.75" x14ac:dyDescent="0.25">
      <c r="A6" s="1"/>
      <c r="B6" s="17"/>
      <c r="C6" s="26"/>
      <c r="D6" s="27" t="s">
        <v>21</v>
      </c>
      <c r="E6" s="20" t="s">
        <v>22</v>
      </c>
      <c r="F6" s="21" t="s">
        <v>22</v>
      </c>
      <c r="G6" s="20" t="s">
        <v>22</v>
      </c>
      <c r="H6" s="28" t="s">
        <v>23</v>
      </c>
      <c r="I6" s="28"/>
      <c r="J6" s="28"/>
      <c r="K6" s="29"/>
      <c r="L6" s="26"/>
      <c r="M6" s="30" t="s">
        <v>24</v>
      </c>
      <c r="N6" s="29"/>
      <c r="O6" s="18"/>
      <c r="P6" s="25" t="s">
        <v>25</v>
      </c>
    </row>
    <row r="7" spans="1:16" ht="15.75" x14ac:dyDescent="0.25">
      <c r="A7" s="1"/>
      <c r="B7" s="17"/>
      <c r="C7" s="25" t="s">
        <v>26</v>
      </c>
      <c r="D7" s="19" t="s">
        <v>26</v>
      </c>
      <c r="E7" s="20" t="s">
        <v>27</v>
      </c>
      <c r="F7" s="21" t="s">
        <v>27</v>
      </c>
      <c r="G7" s="20" t="s">
        <v>27</v>
      </c>
      <c r="H7" s="25" t="s">
        <v>28</v>
      </c>
      <c r="I7" s="31" t="s">
        <v>28</v>
      </c>
      <c r="J7" s="31" t="s">
        <v>29</v>
      </c>
      <c r="K7" s="25" t="s">
        <v>30</v>
      </c>
      <c r="L7" s="25" t="s">
        <v>31</v>
      </c>
      <c r="M7" s="32"/>
      <c r="N7" s="25" t="s">
        <v>31</v>
      </c>
      <c r="O7" s="25" t="s">
        <v>32</v>
      </c>
      <c r="P7" s="25" t="s">
        <v>0</v>
      </c>
    </row>
    <row r="8" spans="1:16" ht="15.75" x14ac:dyDescent="0.25">
      <c r="A8" s="1"/>
      <c r="B8" s="17"/>
      <c r="C8" s="25" t="s">
        <v>33</v>
      </c>
      <c r="D8" s="19" t="s">
        <v>33</v>
      </c>
      <c r="E8" s="20" t="s">
        <v>33</v>
      </c>
      <c r="F8" s="21" t="s">
        <v>33</v>
      </c>
      <c r="G8" s="20" t="s">
        <v>33</v>
      </c>
      <c r="H8" s="25" t="s">
        <v>34</v>
      </c>
      <c r="I8" s="31" t="s">
        <v>35</v>
      </c>
      <c r="J8" s="31" t="s">
        <v>36</v>
      </c>
      <c r="K8" s="25" t="s">
        <v>37</v>
      </c>
      <c r="L8" s="25" t="s">
        <v>38</v>
      </c>
      <c r="M8" s="31" t="s">
        <v>39</v>
      </c>
      <c r="N8" s="25" t="s">
        <v>40</v>
      </c>
      <c r="O8" s="25" t="s">
        <v>25</v>
      </c>
      <c r="P8" s="25" t="s">
        <v>41</v>
      </c>
    </row>
    <row r="9" spans="1:16" ht="15.75" x14ac:dyDescent="0.25">
      <c r="A9" s="1"/>
      <c r="B9" s="17"/>
      <c r="C9" s="25" t="s">
        <v>42</v>
      </c>
      <c r="D9" s="19" t="s">
        <v>43</v>
      </c>
      <c r="E9" s="20" t="s">
        <v>44</v>
      </c>
      <c r="F9" s="21" t="s">
        <v>45</v>
      </c>
      <c r="G9" s="33"/>
      <c r="H9" s="25" t="s">
        <v>46</v>
      </c>
      <c r="I9" s="31" t="s">
        <v>46</v>
      </c>
      <c r="J9" s="31" t="s">
        <v>47</v>
      </c>
      <c r="K9" s="25" t="s">
        <v>48</v>
      </c>
      <c r="L9" s="25" t="s">
        <v>48</v>
      </c>
      <c r="M9" s="31" t="s">
        <v>49</v>
      </c>
      <c r="N9" s="25" t="s">
        <v>50</v>
      </c>
      <c r="O9" s="25" t="s">
        <v>51</v>
      </c>
      <c r="P9" s="25" t="s">
        <v>52</v>
      </c>
    </row>
    <row r="10" spans="1:16" ht="31.5" customHeight="1" x14ac:dyDescent="0.25">
      <c r="A10" s="34" t="s">
        <v>53</v>
      </c>
      <c r="B10" s="35"/>
      <c r="C10" s="36"/>
      <c r="D10" s="37"/>
      <c r="E10" s="38" t="s">
        <v>54</v>
      </c>
      <c r="F10" s="39"/>
      <c r="G10" s="40"/>
      <c r="H10" s="41" t="s">
        <v>48</v>
      </c>
      <c r="I10" s="42" t="s">
        <v>48</v>
      </c>
      <c r="J10" s="42" t="s">
        <v>55</v>
      </c>
      <c r="K10" s="41" t="s">
        <v>56</v>
      </c>
      <c r="L10" s="41" t="s">
        <v>57</v>
      </c>
      <c r="M10" s="43"/>
      <c r="N10" s="41"/>
      <c r="O10" s="41" t="s">
        <v>58</v>
      </c>
      <c r="P10" s="41" t="s">
        <v>59</v>
      </c>
    </row>
    <row r="11" spans="1:16" ht="15.75" x14ac:dyDescent="0.25">
      <c r="A11" s="1"/>
      <c r="B11" s="17" t="s">
        <v>60</v>
      </c>
      <c r="C11" s="44"/>
      <c r="D11" s="44"/>
      <c r="E11" s="44"/>
      <c r="F11" s="44"/>
      <c r="G11" s="44"/>
      <c r="H11" s="44"/>
      <c r="I11" s="32"/>
      <c r="J11" s="32"/>
      <c r="K11" s="44"/>
      <c r="L11" s="44"/>
      <c r="M11" s="32"/>
      <c r="N11" s="44"/>
      <c r="O11" s="44"/>
      <c r="P11" s="44"/>
    </row>
    <row r="12" spans="1:16" ht="15.75" x14ac:dyDescent="0.25">
      <c r="A12" s="45" t="s">
        <v>61</v>
      </c>
      <c r="B12" s="46" t="s">
        <v>62</v>
      </c>
      <c r="C12" s="47">
        <v>297679</v>
      </c>
      <c r="D12" s="48">
        <f t="shared" ref="D12:D27" si="0">C12/(1+$N$128)</f>
        <v>297643.46514903725</v>
      </c>
      <c r="E12" s="47">
        <v>297743</v>
      </c>
      <c r="F12" s="47">
        <v>297743</v>
      </c>
      <c r="G12" s="47">
        <v>297743</v>
      </c>
      <c r="H12" s="49">
        <v>8297</v>
      </c>
      <c r="I12" s="50">
        <v>0</v>
      </c>
      <c r="J12" s="50">
        <v>0</v>
      </c>
      <c r="K12" s="51">
        <f t="shared" ref="K12:K71" si="1">SUM(H12:J12)</f>
        <v>8297</v>
      </c>
      <c r="L12" s="52">
        <f>ROUND((L$81/K$80)*K12,0)</f>
        <v>825800</v>
      </c>
      <c r="M12" s="50">
        <v>4431.3999999999996</v>
      </c>
      <c r="N12" s="53">
        <f t="shared" ref="N12:N70" si="2">ROUND((N$81/M$80)*M12,0)</f>
        <v>228424</v>
      </c>
      <c r="O12" s="53">
        <f>ROUND(L12+N12,0)</f>
        <v>1054224</v>
      </c>
      <c r="P12" s="51">
        <f>ROUND(G12+O12,0)</f>
        <v>1351967</v>
      </c>
    </row>
    <row r="13" spans="1:16" ht="15.75" x14ac:dyDescent="0.25">
      <c r="A13" s="34" t="s">
        <v>63</v>
      </c>
      <c r="B13" s="46" t="s">
        <v>64</v>
      </c>
      <c r="C13" s="51">
        <v>1557764.038505747</v>
      </c>
      <c r="D13" s="48">
        <f t="shared" si="0"/>
        <v>1557578.083457042</v>
      </c>
      <c r="E13" s="47">
        <v>1558143</v>
      </c>
      <c r="F13" s="47">
        <v>1558143</v>
      </c>
      <c r="G13" s="47">
        <v>1558143</v>
      </c>
      <c r="H13" s="49">
        <v>38205</v>
      </c>
      <c r="I13" s="50">
        <v>1146</v>
      </c>
      <c r="J13" s="50">
        <v>43</v>
      </c>
      <c r="K13" s="51">
        <f t="shared" si="1"/>
        <v>39394</v>
      </c>
      <c r="L13" s="52">
        <f t="shared" ref="L13:L70" si="3">ROUND((L$81/K$80)*K13,0)</f>
        <v>3920883</v>
      </c>
      <c r="M13" s="50">
        <v>13028.4</v>
      </c>
      <c r="N13" s="53">
        <f t="shared" si="2"/>
        <v>671571</v>
      </c>
      <c r="O13" s="53">
        <f t="shared" ref="O13:O71" si="4">ROUND(L13+N13,0)</f>
        <v>4592454</v>
      </c>
      <c r="P13" s="51">
        <f t="shared" ref="P13:P71" si="5">ROUND(G13+O13,0)</f>
        <v>6150597</v>
      </c>
    </row>
    <row r="14" spans="1:16" ht="15.75" x14ac:dyDescent="0.25">
      <c r="A14" s="1" t="s">
        <v>65</v>
      </c>
      <c r="B14" s="46" t="s">
        <v>66</v>
      </c>
      <c r="C14" s="51">
        <v>405030</v>
      </c>
      <c r="D14" s="48">
        <f t="shared" si="0"/>
        <v>404981.65033245395</v>
      </c>
      <c r="E14" s="47">
        <v>405070</v>
      </c>
      <c r="F14" s="47">
        <v>405070</v>
      </c>
      <c r="G14" s="47">
        <v>405070</v>
      </c>
      <c r="H14" s="49">
        <v>7003</v>
      </c>
      <c r="I14" s="54" t="s">
        <v>67</v>
      </c>
      <c r="J14" s="54" t="s">
        <v>67</v>
      </c>
      <c r="K14" s="51">
        <v>7012</v>
      </c>
      <c r="L14" s="52">
        <f t="shared" si="3"/>
        <v>697904</v>
      </c>
      <c r="M14" s="50">
        <v>5227.8</v>
      </c>
      <c r="N14" s="53">
        <f t="shared" si="2"/>
        <v>269476</v>
      </c>
      <c r="O14" s="53">
        <f t="shared" si="4"/>
        <v>967380</v>
      </c>
      <c r="P14" s="51">
        <f t="shared" si="5"/>
        <v>1372450</v>
      </c>
    </row>
    <row r="15" spans="1:16" ht="15.75" x14ac:dyDescent="0.25">
      <c r="A15" s="1" t="s">
        <v>68</v>
      </c>
      <c r="B15" s="46" t="s">
        <v>69</v>
      </c>
      <c r="C15" s="51">
        <v>240187.25469168901</v>
      </c>
      <c r="D15" s="48">
        <f t="shared" si="0"/>
        <v>240158.5828058703</v>
      </c>
      <c r="E15" s="47">
        <v>240357</v>
      </c>
      <c r="F15" s="47">
        <v>240357</v>
      </c>
      <c r="G15" s="47">
        <v>240357</v>
      </c>
      <c r="H15" s="49">
        <v>16532</v>
      </c>
      <c r="I15" s="50">
        <v>488</v>
      </c>
      <c r="J15" s="50">
        <v>0</v>
      </c>
      <c r="K15" s="51">
        <f t="shared" si="1"/>
        <v>17020</v>
      </c>
      <c r="L15" s="52">
        <f t="shared" si="3"/>
        <v>1694000</v>
      </c>
      <c r="M15" s="50">
        <v>4909.7</v>
      </c>
      <c r="N15" s="53">
        <f t="shared" si="2"/>
        <v>253079</v>
      </c>
      <c r="O15" s="53">
        <f t="shared" si="4"/>
        <v>1947079</v>
      </c>
      <c r="P15" s="51">
        <f t="shared" si="5"/>
        <v>2187436</v>
      </c>
    </row>
    <row r="16" spans="1:16" ht="15.75" x14ac:dyDescent="0.25">
      <c r="A16" s="1" t="s">
        <v>70</v>
      </c>
      <c r="B16" s="46" t="s">
        <v>71</v>
      </c>
      <c r="C16" s="51">
        <v>645662</v>
      </c>
      <c r="D16" s="48">
        <f t="shared" si="0"/>
        <v>645584.92535603011</v>
      </c>
      <c r="E16" s="47">
        <v>645722</v>
      </c>
      <c r="F16" s="47">
        <v>645722</v>
      </c>
      <c r="G16" s="47">
        <v>645722</v>
      </c>
      <c r="H16" s="49">
        <v>8977</v>
      </c>
      <c r="I16" s="50">
        <v>364</v>
      </c>
      <c r="J16" s="50">
        <v>0</v>
      </c>
      <c r="K16" s="51">
        <f t="shared" si="1"/>
        <v>9341</v>
      </c>
      <c r="L16" s="52">
        <f t="shared" si="3"/>
        <v>929709</v>
      </c>
      <c r="M16" s="50">
        <v>6504</v>
      </c>
      <c r="N16" s="53">
        <f t="shared" si="2"/>
        <v>335260</v>
      </c>
      <c r="O16" s="53">
        <f t="shared" si="4"/>
        <v>1264969</v>
      </c>
      <c r="P16" s="51">
        <f t="shared" si="5"/>
        <v>1910691</v>
      </c>
    </row>
    <row r="17" spans="1:16" ht="15.75" x14ac:dyDescent="0.25">
      <c r="A17" s="1" t="s">
        <v>72</v>
      </c>
      <c r="B17" s="46" t="s">
        <v>73</v>
      </c>
      <c r="C17" s="51">
        <v>322053</v>
      </c>
      <c r="D17" s="48">
        <f t="shared" si="0"/>
        <v>322014.55555025005</v>
      </c>
      <c r="E17" s="47">
        <v>322059</v>
      </c>
      <c r="F17" s="47">
        <v>322059</v>
      </c>
      <c r="G17" s="47">
        <v>322059</v>
      </c>
      <c r="H17" s="49">
        <v>2640</v>
      </c>
      <c r="I17" s="50">
        <v>391</v>
      </c>
      <c r="J17" s="50">
        <v>0</v>
      </c>
      <c r="K17" s="51">
        <f t="shared" si="1"/>
        <v>3031</v>
      </c>
      <c r="L17" s="52">
        <f t="shared" si="3"/>
        <v>301675</v>
      </c>
      <c r="M17" s="50">
        <v>1389.3</v>
      </c>
      <c r="N17" s="53">
        <f t="shared" si="2"/>
        <v>71614</v>
      </c>
      <c r="O17" s="53">
        <f t="shared" si="4"/>
        <v>373289</v>
      </c>
      <c r="P17" s="51">
        <f t="shared" si="5"/>
        <v>695348</v>
      </c>
    </row>
    <row r="18" spans="1:16" ht="15.75" x14ac:dyDescent="0.25">
      <c r="A18" s="1" t="s">
        <v>74</v>
      </c>
      <c r="B18" s="46" t="s">
        <v>75</v>
      </c>
      <c r="C18" s="51">
        <v>141060</v>
      </c>
      <c r="D18" s="48">
        <f t="shared" si="0"/>
        <v>141043.1612371823</v>
      </c>
      <c r="E18" s="47">
        <v>141063</v>
      </c>
      <c r="F18" s="47">
        <v>141063</v>
      </c>
      <c r="G18" s="47">
        <v>141063</v>
      </c>
      <c r="H18" s="49">
        <v>1377</v>
      </c>
      <c r="I18" s="50">
        <v>0</v>
      </c>
      <c r="J18" s="50">
        <v>0</v>
      </c>
      <c r="K18" s="51">
        <f t="shared" si="1"/>
        <v>1377</v>
      </c>
      <c r="L18" s="52">
        <f t="shared" si="3"/>
        <v>137053</v>
      </c>
      <c r="M18" s="50">
        <v>1099</v>
      </c>
      <c r="N18" s="53">
        <f t="shared" si="2"/>
        <v>56650</v>
      </c>
      <c r="O18" s="53">
        <f t="shared" si="4"/>
        <v>193703</v>
      </c>
      <c r="P18" s="51">
        <f t="shared" si="5"/>
        <v>334766</v>
      </c>
    </row>
    <row r="19" spans="1:16" ht="15.75" x14ac:dyDescent="0.25">
      <c r="A19" s="1" t="s">
        <v>76</v>
      </c>
      <c r="B19" s="46" t="s">
        <v>77</v>
      </c>
      <c r="C19" s="51">
        <v>2378319</v>
      </c>
      <c r="D19" s="48">
        <f t="shared" si="0"/>
        <v>2378035.0928006112</v>
      </c>
      <c r="E19" s="47">
        <v>2378775</v>
      </c>
      <c r="F19" s="47">
        <v>2378775</v>
      </c>
      <c r="G19" s="47">
        <v>2378775</v>
      </c>
      <c r="H19" s="49">
        <v>52919</v>
      </c>
      <c r="I19" s="50">
        <v>4844</v>
      </c>
      <c r="J19" s="50">
        <v>76</v>
      </c>
      <c r="K19" s="51">
        <f t="shared" si="1"/>
        <v>57839</v>
      </c>
      <c r="L19" s="52">
        <f t="shared" si="3"/>
        <v>5756712</v>
      </c>
      <c r="M19" s="50">
        <v>12324</v>
      </c>
      <c r="N19" s="53">
        <f t="shared" si="2"/>
        <v>635262</v>
      </c>
      <c r="O19" s="53">
        <f t="shared" si="4"/>
        <v>6391974</v>
      </c>
      <c r="P19" s="51">
        <f t="shared" si="5"/>
        <v>8770749</v>
      </c>
    </row>
    <row r="20" spans="1:16" ht="15.75" x14ac:dyDescent="0.25">
      <c r="A20" s="1" t="s">
        <v>78</v>
      </c>
      <c r="B20" s="46" t="s">
        <v>79</v>
      </c>
      <c r="C20" s="51">
        <v>821988</v>
      </c>
      <c r="D20" s="48">
        <f t="shared" si="0"/>
        <v>821889.87678313488</v>
      </c>
      <c r="E20" s="47">
        <v>822107</v>
      </c>
      <c r="F20" s="47">
        <v>822107</v>
      </c>
      <c r="G20" s="47">
        <v>822107</v>
      </c>
      <c r="H20" s="49">
        <v>15096</v>
      </c>
      <c r="I20" s="54" t="s">
        <v>67</v>
      </c>
      <c r="J20" s="54" t="s">
        <v>67</v>
      </c>
      <c r="K20" s="51">
        <v>16573</v>
      </c>
      <c r="L20" s="52">
        <f t="shared" si="3"/>
        <v>1649510</v>
      </c>
      <c r="M20" s="50">
        <v>2519</v>
      </c>
      <c r="N20" s="53">
        <f t="shared" si="2"/>
        <v>129846</v>
      </c>
      <c r="O20" s="53">
        <f t="shared" si="4"/>
        <v>1779356</v>
      </c>
      <c r="P20" s="51">
        <f t="shared" si="5"/>
        <v>2601463</v>
      </c>
    </row>
    <row r="21" spans="1:16" ht="15.75" x14ac:dyDescent="0.25">
      <c r="A21" s="1" t="s">
        <v>80</v>
      </c>
      <c r="B21" s="46" t="s">
        <v>81</v>
      </c>
      <c r="C21" s="51">
        <v>1826524</v>
      </c>
      <c r="D21" s="48">
        <f t="shared" si="0"/>
        <v>1826305.9622542406</v>
      </c>
      <c r="E21" s="47">
        <v>1826813</v>
      </c>
      <c r="F21" s="47">
        <v>1826813</v>
      </c>
      <c r="G21" s="47">
        <v>1826813</v>
      </c>
      <c r="H21" s="49">
        <v>40429</v>
      </c>
      <c r="I21" s="50">
        <v>550</v>
      </c>
      <c r="J21" s="50">
        <v>156</v>
      </c>
      <c r="K21" s="51">
        <f t="shared" si="1"/>
        <v>41135</v>
      </c>
      <c r="L21" s="52">
        <f t="shared" si="3"/>
        <v>4094164</v>
      </c>
      <c r="M21" s="50">
        <v>23947.5</v>
      </c>
      <c r="N21" s="53">
        <f t="shared" si="2"/>
        <v>1234415</v>
      </c>
      <c r="O21" s="53">
        <f t="shared" si="4"/>
        <v>5328579</v>
      </c>
      <c r="P21" s="51">
        <f t="shared" si="5"/>
        <v>7155392</v>
      </c>
    </row>
    <row r="22" spans="1:16" ht="15.75" x14ac:dyDescent="0.25">
      <c r="A22" s="1" t="s">
        <v>82</v>
      </c>
      <c r="B22" s="46" t="s">
        <v>83</v>
      </c>
      <c r="C22" s="51">
        <v>779462</v>
      </c>
      <c r="D22" s="48">
        <f t="shared" si="0"/>
        <v>779368.95324157516</v>
      </c>
      <c r="E22" s="47">
        <v>779739</v>
      </c>
      <c r="F22" s="47">
        <v>779739</v>
      </c>
      <c r="G22" s="47">
        <v>779739</v>
      </c>
      <c r="H22" s="49">
        <v>30379</v>
      </c>
      <c r="I22" s="50">
        <v>1112</v>
      </c>
      <c r="J22" s="50">
        <v>18</v>
      </c>
      <c r="K22" s="51">
        <f t="shared" si="1"/>
        <v>31509</v>
      </c>
      <c r="L22" s="52">
        <f t="shared" si="3"/>
        <v>3136089</v>
      </c>
      <c r="M22" s="50">
        <v>7832.9</v>
      </c>
      <c r="N22" s="53">
        <f t="shared" si="2"/>
        <v>403760</v>
      </c>
      <c r="O22" s="53">
        <f t="shared" si="4"/>
        <v>3539849</v>
      </c>
      <c r="P22" s="51">
        <f t="shared" si="5"/>
        <v>4319588</v>
      </c>
    </row>
    <row r="23" spans="1:16" ht="15.75" x14ac:dyDescent="0.25">
      <c r="A23" s="1" t="s">
        <v>84</v>
      </c>
      <c r="B23" s="46" t="s">
        <v>85</v>
      </c>
      <c r="C23" s="51">
        <v>1713987</v>
      </c>
      <c r="D23" s="48">
        <f t="shared" si="0"/>
        <v>1713782.3961394753</v>
      </c>
      <c r="E23" s="47">
        <v>1714206</v>
      </c>
      <c r="F23" s="47">
        <v>1714206</v>
      </c>
      <c r="G23" s="47">
        <v>1714206</v>
      </c>
      <c r="H23" s="49">
        <v>30331</v>
      </c>
      <c r="I23" s="50">
        <v>2363</v>
      </c>
      <c r="J23" s="50">
        <v>26</v>
      </c>
      <c r="K23" s="51">
        <f t="shared" si="1"/>
        <v>32720</v>
      </c>
      <c r="L23" s="52">
        <f t="shared" si="3"/>
        <v>3256620</v>
      </c>
      <c r="M23" s="50">
        <v>5533.3</v>
      </c>
      <c r="N23" s="53">
        <f t="shared" si="2"/>
        <v>285223</v>
      </c>
      <c r="O23" s="53">
        <f t="shared" si="4"/>
        <v>3541843</v>
      </c>
      <c r="P23" s="51">
        <f t="shared" si="5"/>
        <v>5256049</v>
      </c>
    </row>
    <row r="24" spans="1:16" ht="15.75" x14ac:dyDescent="0.25">
      <c r="A24" s="1" t="s">
        <v>86</v>
      </c>
      <c r="B24" s="46" t="s">
        <v>87</v>
      </c>
      <c r="C24" s="51">
        <v>304421</v>
      </c>
      <c r="D24" s="48">
        <f t="shared" si="0"/>
        <v>304384.66033591575</v>
      </c>
      <c r="E24" s="47">
        <v>304452</v>
      </c>
      <c r="F24" s="47">
        <v>304452</v>
      </c>
      <c r="G24" s="47">
        <v>304452</v>
      </c>
      <c r="H24" s="49">
        <v>4704</v>
      </c>
      <c r="I24" s="54" t="s">
        <v>67</v>
      </c>
      <c r="J24" s="54" t="s">
        <v>67</v>
      </c>
      <c r="K24" s="51">
        <v>4722</v>
      </c>
      <c r="L24" s="52">
        <f t="shared" si="3"/>
        <v>469980</v>
      </c>
      <c r="M24" s="50">
        <v>2198.9</v>
      </c>
      <c r="N24" s="53">
        <f t="shared" si="2"/>
        <v>113346</v>
      </c>
      <c r="O24" s="53">
        <f t="shared" si="4"/>
        <v>583326</v>
      </c>
      <c r="P24" s="51">
        <f t="shared" si="5"/>
        <v>887778</v>
      </c>
    </row>
    <row r="25" spans="1:16" ht="15.75" x14ac:dyDescent="0.25">
      <c r="A25" s="1" t="s">
        <v>88</v>
      </c>
      <c r="B25" s="46" t="s">
        <v>89</v>
      </c>
      <c r="C25" s="51">
        <v>4214179</v>
      </c>
      <c r="D25" s="48">
        <f t="shared" si="0"/>
        <v>4213675.940588031</v>
      </c>
      <c r="E25" s="47">
        <v>4214787</v>
      </c>
      <c r="F25" s="47">
        <v>4214787</v>
      </c>
      <c r="G25" s="47">
        <v>4214787</v>
      </c>
      <c r="H25" s="49">
        <v>85636</v>
      </c>
      <c r="I25" s="50">
        <v>7326</v>
      </c>
      <c r="J25" s="50">
        <v>473</v>
      </c>
      <c r="K25" s="51">
        <f t="shared" si="1"/>
        <v>93435</v>
      </c>
      <c r="L25" s="52">
        <f t="shared" si="3"/>
        <v>9299580</v>
      </c>
      <c r="M25" s="50">
        <v>50657.1</v>
      </c>
      <c r="N25" s="53">
        <f t="shared" si="2"/>
        <v>2611208</v>
      </c>
      <c r="O25" s="53">
        <f t="shared" si="4"/>
        <v>11910788</v>
      </c>
      <c r="P25" s="51">
        <f t="shared" si="5"/>
        <v>16125575</v>
      </c>
    </row>
    <row r="26" spans="1:16" ht="15.75" x14ac:dyDescent="0.25">
      <c r="A26" s="1" t="s">
        <v>90</v>
      </c>
      <c r="B26" s="46" t="s">
        <v>91</v>
      </c>
      <c r="C26" s="55">
        <v>1387785</v>
      </c>
      <c r="D26" s="56">
        <f t="shared" si="0"/>
        <v>1387619.335868021</v>
      </c>
      <c r="E26" s="57">
        <v>1388446</v>
      </c>
      <c r="F26" s="57">
        <v>1388446</v>
      </c>
      <c r="G26" s="57">
        <v>1388446</v>
      </c>
      <c r="H26" s="49">
        <v>65033</v>
      </c>
      <c r="I26" s="50">
        <v>2046</v>
      </c>
      <c r="J26" s="50">
        <v>0</v>
      </c>
      <c r="K26" s="51">
        <f t="shared" si="1"/>
        <v>67079</v>
      </c>
      <c r="L26" s="52">
        <f t="shared" si="3"/>
        <v>6676369</v>
      </c>
      <c r="M26" s="50">
        <v>6521.2</v>
      </c>
      <c r="N26" s="53">
        <f t="shared" si="2"/>
        <v>336146</v>
      </c>
      <c r="O26" s="53">
        <f t="shared" si="4"/>
        <v>7012515</v>
      </c>
      <c r="P26" s="51">
        <f t="shared" si="5"/>
        <v>8400961</v>
      </c>
    </row>
    <row r="27" spans="1:16" ht="15.75" x14ac:dyDescent="0.25">
      <c r="A27" s="58" t="s">
        <v>92</v>
      </c>
      <c r="B27" s="59" t="s">
        <v>93</v>
      </c>
      <c r="C27" s="55">
        <f>G107</f>
        <v>264451.81462168775</v>
      </c>
      <c r="D27" s="56">
        <f t="shared" si="0"/>
        <v>264420.24620127713</v>
      </c>
      <c r="E27" s="55">
        <f>H107</f>
        <v>264513.40927955729</v>
      </c>
      <c r="F27" s="55">
        <v>785931.07659396844</v>
      </c>
      <c r="G27" s="57">
        <v>259807</v>
      </c>
      <c r="H27" s="50">
        <v>6559</v>
      </c>
      <c r="I27" s="50">
        <v>830</v>
      </c>
      <c r="J27" s="50">
        <v>0</v>
      </c>
      <c r="K27" s="55">
        <f>SUM(H27:J27)</f>
        <v>7389</v>
      </c>
      <c r="L27" s="60">
        <f t="shared" si="3"/>
        <v>735427</v>
      </c>
      <c r="M27" s="50">
        <v>2101.3000000000002</v>
      </c>
      <c r="N27" s="61">
        <f t="shared" si="2"/>
        <v>108315</v>
      </c>
      <c r="O27" s="61">
        <f t="shared" si="4"/>
        <v>843742</v>
      </c>
      <c r="P27" s="55">
        <f t="shared" si="5"/>
        <v>1103549</v>
      </c>
    </row>
    <row r="28" spans="1:16" ht="15.75" x14ac:dyDescent="0.25">
      <c r="A28" s="58" t="s">
        <v>94</v>
      </c>
      <c r="B28" s="59" t="s">
        <v>95</v>
      </c>
      <c r="C28" s="55">
        <v>0</v>
      </c>
      <c r="D28" s="56">
        <v>0</v>
      </c>
      <c r="E28" s="57">
        <v>0</v>
      </c>
      <c r="F28" s="57">
        <v>151307</v>
      </c>
      <c r="G28" s="57">
        <v>151307</v>
      </c>
      <c r="H28" s="49">
        <v>2352</v>
      </c>
      <c r="I28" s="50">
        <v>0</v>
      </c>
      <c r="J28" s="50">
        <v>0</v>
      </c>
      <c r="K28" s="55">
        <f t="shared" ref="K28" si="6">SUM(H28:J28)</f>
        <v>2352</v>
      </c>
      <c r="L28" s="60">
        <f t="shared" si="3"/>
        <v>234094</v>
      </c>
      <c r="M28" s="50">
        <v>321.8</v>
      </c>
      <c r="N28" s="61">
        <f t="shared" si="2"/>
        <v>16588</v>
      </c>
      <c r="O28" s="61">
        <f t="shared" si="4"/>
        <v>250682</v>
      </c>
      <c r="P28" s="51">
        <f t="shared" si="5"/>
        <v>401989</v>
      </c>
    </row>
    <row r="29" spans="1:16" ht="15.75" x14ac:dyDescent="0.25">
      <c r="A29" s="1" t="s">
        <v>96</v>
      </c>
      <c r="B29" s="46" t="s">
        <v>97</v>
      </c>
      <c r="C29" s="51">
        <v>647737</v>
      </c>
      <c r="D29" s="48">
        <f t="shared" ref="D29:D53" si="7">C29/(1+$N$128)</f>
        <v>647659.67765694566</v>
      </c>
      <c r="E29" s="47">
        <v>647804</v>
      </c>
      <c r="F29" s="47">
        <v>647804</v>
      </c>
      <c r="G29" s="47">
        <v>647804</v>
      </c>
      <c r="H29" s="49">
        <v>11777</v>
      </c>
      <c r="I29" s="54" t="s">
        <v>67</v>
      </c>
      <c r="J29" s="54" t="s">
        <v>67</v>
      </c>
      <c r="K29" s="51">
        <v>11811</v>
      </c>
      <c r="L29" s="52">
        <f t="shared" si="3"/>
        <v>1175548</v>
      </c>
      <c r="M29" s="50">
        <v>7104.3</v>
      </c>
      <c r="N29" s="53">
        <f t="shared" si="2"/>
        <v>366203</v>
      </c>
      <c r="O29" s="53">
        <f t="shared" si="4"/>
        <v>1541751</v>
      </c>
      <c r="P29" s="51">
        <f t="shared" si="5"/>
        <v>2189555</v>
      </c>
    </row>
    <row r="30" spans="1:16" ht="15.75" x14ac:dyDescent="0.25">
      <c r="A30" s="1" t="s">
        <v>98</v>
      </c>
      <c r="B30" s="46" t="s">
        <v>99</v>
      </c>
      <c r="C30" s="51">
        <v>563204</v>
      </c>
      <c r="D30" s="48">
        <f t="shared" si="7"/>
        <v>563136.76861921186</v>
      </c>
      <c r="E30" s="47">
        <v>563255</v>
      </c>
      <c r="F30" s="47">
        <v>563255</v>
      </c>
      <c r="G30" s="47">
        <v>563255</v>
      </c>
      <c r="H30" s="49">
        <v>9008</v>
      </c>
      <c r="I30" s="50">
        <v>0</v>
      </c>
      <c r="J30" s="50">
        <v>0</v>
      </c>
      <c r="K30" s="51">
        <f t="shared" si="1"/>
        <v>9008</v>
      </c>
      <c r="L30" s="52">
        <f t="shared" si="3"/>
        <v>896566</v>
      </c>
      <c r="M30" s="50">
        <v>3340</v>
      </c>
      <c r="N30" s="53">
        <f t="shared" si="2"/>
        <v>172166</v>
      </c>
      <c r="O30" s="53">
        <f t="shared" si="4"/>
        <v>1068732</v>
      </c>
      <c r="P30" s="51">
        <f t="shared" si="5"/>
        <v>1631987</v>
      </c>
    </row>
    <row r="31" spans="1:16" ht="15.75" x14ac:dyDescent="0.25">
      <c r="A31" s="1" t="s">
        <v>100</v>
      </c>
      <c r="B31" s="46" t="s">
        <v>101</v>
      </c>
      <c r="C31" s="51">
        <v>298197</v>
      </c>
      <c r="D31" s="48">
        <f t="shared" si="7"/>
        <v>298161.40331379592</v>
      </c>
      <c r="E31" s="47">
        <v>298259</v>
      </c>
      <c r="F31" s="47">
        <v>298259</v>
      </c>
      <c r="G31" s="47">
        <v>298259</v>
      </c>
      <c r="H31" s="49">
        <v>7680</v>
      </c>
      <c r="I31" s="50">
        <v>0</v>
      </c>
      <c r="J31" s="50">
        <v>0</v>
      </c>
      <c r="K31" s="51">
        <f t="shared" si="1"/>
        <v>7680</v>
      </c>
      <c r="L31" s="52">
        <f t="shared" si="3"/>
        <v>764390</v>
      </c>
      <c r="M31" s="50">
        <v>2632.7</v>
      </c>
      <c r="N31" s="53">
        <f t="shared" si="2"/>
        <v>135707</v>
      </c>
      <c r="O31" s="53">
        <f t="shared" si="4"/>
        <v>900097</v>
      </c>
      <c r="P31" s="51">
        <f t="shared" si="5"/>
        <v>1198356</v>
      </c>
    </row>
    <row r="32" spans="1:16" ht="15.75" x14ac:dyDescent="0.25">
      <c r="A32" s="1" t="s">
        <v>102</v>
      </c>
      <c r="B32" s="46" t="s">
        <v>103</v>
      </c>
      <c r="C32" s="51">
        <v>1587273.7771607079</v>
      </c>
      <c r="D32" s="48">
        <f t="shared" si="7"/>
        <v>1587084.2994444144</v>
      </c>
      <c r="E32" s="47">
        <v>1587503</v>
      </c>
      <c r="F32" s="47">
        <v>1587503</v>
      </c>
      <c r="G32" s="47">
        <v>1587503</v>
      </c>
      <c r="H32" s="49">
        <v>27281</v>
      </c>
      <c r="I32" s="50">
        <v>2082</v>
      </c>
      <c r="J32" s="50">
        <v>55</v>
      </c>
      <c r="K32" s="51">
        <f t="shared" si="1"/>
        <v>29418</v>
      </c>
      <c r="L32" s="52">
        <f t="shared" si="3"/>
        <v>2927972</v>
      </c>
      <c r="M32" s="50">
        <v>14078.4</v>
      </c>
      <c r="N32" s="53">
        <f t="shared" si="2"/>
        <v>725695</v>
      </c>
      <c r="O32" s="53">
        <f t="shared" si="4"/>
        <v>3653667</v>
      </c>
      <c r="P32" s="51">
        <f t="shared" si="5"/>
        <v>5241170</v>
      </c>
    </row>
    <row r="33" spans="1:16" ht="15.75" x14ac:dyDescent="0.25">
      <c r="A33" s="1" t="s">
        <v>104</v>
      </c>
      <c r="B33" s="46" t="s">
        <v>105</v>
      </c>
      <c r="C33" s="51">
        <v>101886</v>
      </c>
      <c r="D33" s="48">
        <f t="shared" si="7"/>
        <v>101873.83755714985</v>
      </c>
      <c r="E33" s="47">
        <v>101940</v>
      </c>
      <c r="F33" s="47">
        <v>101940</v>
      </c>
      <c r="G33" s="47">
        <v>101940</v>
      </c>
      <c r="H33" s="49">
        <v>4965</v>
      </c>
      <c r="I33" s="50">
        <v>403</v>
      </c>
      <c r="J33" s="50">
        <v>0</v>
      </c>
      <c r="K33" s="51">
        <f t="shared" si="1"/>
        <v>5368</v>
      </c>
      <c r="L33" s="52">
        <f t="shared" si="3"/>
        <v>534277</v>
      </c>
      <c r="M33" s="50">
        <v>566.9</v>
      </c>
      <c r="N33" s="53">
        <f t="shared" si="2"/>
        <v>29222</v>
      </c>
      <c r="O33" s="53">
        <f t="shared" si="4"/>
        <v>563499</v>
      </c>
      <c r="P33" s="51">
        <f t="shared" si="5"/>
        <v>665439</v>
      </c>
    </row>
    <row r="34" spans="1:16" ht="15.75" x14ac:dyDescent="0.25">
      <c r="A34" s="1" t="s">
        <v>106</v>
      </c>
      <c r="B34" s="46" t="s">
        <v>107</v>
      </c>
      <c r="C34" s="51">
        <v>584467</v>
      </c>
      <c r="D34" s="48">
        <f t="shared" si="7"/>
        <v>584397.23038999178</v>
      </c>
      <c r="E34" s="47">
        <v>584702</v>
      </c>
      <c r="F34" s="47">
        <v>584702</v>
      </c>
      <c r="G34" s="47">
        <v>584702</v>
      </c>
      <c r="H34" s="49">
        <v>24707</v>
      </c>
      <c r="I34" s="50">
        <v>31</v>
      </c>
      <c r="J34" s="50">
        <v>0</v>
      </c>
      <c r="K34" s="51">
        <f t="shared" si="1"/>
        <v>24738</v>
      </c>
      <c r="L34" s="52">
        <f t="shared" si="3"/>
        <v>2462172</v>
      </c>
      <c r="M34" s="50">
        <v>2551.1</v>
      </c>
      <c r="N34" s="53">
        <f t="shared" si="2"/>
        <v>131501</v>
      </c>
      <c r="O34" s="53">
        <f t="shared" si="4"/>
        <v>2593673</v>
      </c>
      <c r="P34" s="51">
        <f t="shared" si="5"/>
        <v>3178375</v>
      </c>
    </row>
    <row r="35" spans="1:16" ht="15.75" x14ac:dyDescent="0.25">
      <c r="A35" s="1" t="s">
        <v>108</v>
      </c>
      <c r="B35" s="46" t="s">
        <v>109</v>
      </c>
      <c r="C35" s="51">
        <v>225577</v>
      </c>
      <c r="D35" s="48">
        <f t="shared" si="7"/>
        <v>225550.07218488498</v>
      </c>
      <c r="E35" s="47">
        <v>225628</v>
      </c>
      <c r="F35" s="47">
        <v>225628</v>
      </c>
      <c r="G35" s="47">
        <v>225628</v>
      </c>
      <c r="H35" s="49">
        <v>6106</v>
      </c>
      <c r="I35" s="50">
        <v>130</v>
      </c>
      <c r="J35" s="50">
        <v>0</v>
      </c>
      <c r="K35" s="51">
        <f t="shared" si="1"/>
        <v>6236</v>
      </c>
      <c r="L35" s="52">
        <f t="shared" si="3"/>
        <v>620669</v>
      </c>
      <c r="M35" s="50">
        <v>582.70000000000005</v>
      </c>
      <c r="N35" s="53">
        <f t="shared" si="2"/>
        <v>30036</v>
      </c>
      <c r="O35" s="53">
        <f t="shared" si="4"/>
        <v>650705</v>
      </c>
      <c r="P35" s="51">
        <f t="shared" si="5"/>
        <v>876333</v>
      </c>
    </row>
    <row r="36" spans="1:16" ht="15.75" x14ac:dyDescent="0.25">
      <c r="A36" s="4" t="s">
        <v>110</v>
      </c>
      <c r="B36" s="59" t="s">
        <v>111</v>
      </c>
      <c r="C36" s="55">
        <v>293530</v>
      </c>
      <c r="D36" s="56">
        <f t="shared" si="7"/>
        <v>293494.96042783302</v>
      </c>
      <c r="E36" s="57">
        <v>293690</v>
      </c>
      <c r="F36" s="57">
        <v>293690</v>
      </c>
      <c r="G36" s="57">
        <v>293690</v>
      </c>
      <c r="H36" s="49">
        <v>22664</v>
      </c>
      <c r="I36" s="50">
        <v>45</v>
      </c>
      <c r="J36" s="50">
        <v>0</v>
      </c>
      <c r="K36" s="55">
        <f t="shared" si="1"/>
        <v>22709</v>
      </c>
      <c r="L36" s="60">
        <f t="shared" si="3"/>
        <v>2260226</v>
      </c>
      <c r="M36" s="50">
        <v>6272.5</v>
      </c>
      <c r="N36" s="53">
        <f t="shared" si="2"/>
        <v>323327</v>
      </c>
      <c r="O36" s="61">
        <f t="shared" si="4"/>
        <v>2583553</v>
      </c>
      <c r="P36" s="51">
        <f t="shared" si="5"/>
        <v>2877243</v>
      </c>
    </row>
    <row r="37" spans="1:16" ht="15.75" x14ac:dyDescent="0.25">
      <c r="A37" s="1" t="s">
        <v>112</v>
      </c>
      <c r="B37" s="46" t="s">
        <v>113</v>
      </c>
      <c r="C37" s="51">
        <v>253597</v>
      </c>
      <c r="D37" s="48">
        <f t="shared" si="7"/>
        <v>253566.72735194754</v>
      </c>
      <c r="E37" s="47">
        <v>253626</v>
      </c>
      <c r="F37" s="47">
        <v>253626</v>
      </c>
      <c r="G37" s="47">
        <v>253626</v>
      </c>
      <c r="H37" s="49">
        <v>4397</v>
      </c>
      <c r="I37" s="50">
        <v>0</v>
      </c>
      <c r="J37" s="50">
        <v>0</v>
      </c>
      <c r="K37" s="51">
        <f t="shared" si="1"/>
        <v>4397</v>
      </c>
      <c r="L37" s="52">
        <f t="shared" si="3"/>
        <v>437633</v>
      </c>
      <c r="M37" s="50">
        <v>2236.9</v>
      </c>
      <c r="N37" s="53">
        <f t="shared" si="2"/>
        <v>115305</v>
      </c>
      <c r="O37" s="53">
        <f t="shared" si="4"/>
        <v>552938</v>
      </c>
      <c r="P37" s="51">
        <f t="shared" si="5"/>
        <v>806564</v>
      </c>
    </row>
    <row r="38" spans="1:16" ht="15.75" x14ac:dyDescent="0.25">
      <c r="A38" s="1" t="s">
        <v>114</v>
      </c>
      <c r="B38" s="46" t="s">
        <v>115</v>
      </c>
      <c r="C38" s="51">
        <v>264488</v>
      </c>
      <c r="D38" s="48">
        <f t="shared" si="7"/>
        <v>264456.42726003029</v>
      </c>
      <c r="E38" s="47">
        <v>264507</v>
      </c>
      <c r="F38" s="47">
        <v>264507</v>
      </c>
      <c r="G38" s="47">
        <v>264507</v>
      </c>
      <c r="H38" s="49">
        <v>3672</v>
      </c>
      <c r="I38" s="54" t="s">
        <v>67</v>
      </c>
      <c r="J38" s="54" t="s">
        <v>67</v>
      </c>
      <c r="K38" s="51">
        <v>3727</v>
      </c>
      <c r="L38" s="52">
        <f t="shared" si="3"/>
        <v>370948</v>
      </c>
      <c r="M38" s="50">
        <v>1724.5</v>
      </c>
      <c r="N38" s="53">
        <f t="shared" si="2"/>
        <v>88892</v>
      </c>
      <c r="O38" s="53">
        <f t="shared" si="4"/>
        <v>459840</v>
      </c>
      <c r="P38" s="51">
        <f t="shared" si="5"/>
        <v>724347</v>
      </c>
    </row>
    <row r="39" spans="1:16" ht="15.75" x14ac:dyDescent="0.25">
      <c r="A39" s="1" t="s">
        <v>116</v>
      </c>
      <c r="B39" s="46" t="s">
        <v>117</v>
      </c>
      <c r="C39" s="51">
        <v>76753</v>
      </c>
      <c r="D39" s="48">
        <f t="shared" si="7"/>
        <v>76743.837760084032</v>
      </c>
      <c r="E39" s="47">
        <v>76769</v>
      </c>
      <c r="F39" s="47">
        <v>76769</v>
      </c>
      <c r="G39" s="47">
        <v>76769</v>
      </c>
      <c r="H39" s="49">
        <v>2005</v>
      </c>
      <c r="I39" s="50">
        <v>0</v>
      </c>
      <c r="J39" s="50">
        <v>0</v>
      </c>
      <c r="K39" s="51">
        <f t="shared" si="1"/>
        <v>2005</v>
      </c>
      <c r="L39" s="52">
        <f t="shared" si="3"/>
        <v>199558</v>
      </c>
      <c r="M39" s="50">
        <v>449.9</v>
      </c>
      <c r="N39" s="53">
        <f t="shared" si="2"/>
        <v>23191</v>
      </c>
      <c r="O39" s="53">
        <f t="shared" si="4"/>
        <v>222749</v>
      </c>
      <c r="P39" s="51">
        <f t="shared" si="5"/>
        <v>299518</v>
      </c>
    </row>
    <row r="40" spans="1:16" ht="15.75" x14ac:dyDescent="0.25">
      <c r="A40" s="1" t="s">
        <v>118</v>
      </c>
      <c r="B40" s="46" t="s">
        <v>119</v>
      </c>
      <c r="C40" s="51">
        <v>4238034</v>
      </c>
      <c r="D40" s="48">
        <f t="shared" si="7"/>
        <v>4237528.0929438584</v>
      </c>
      <c r="E40" s="47">
        <v>4238688</v>
      </c>
      <c r="F40" s="47">
        <v>4238688</v>
      </c>
      <c r="G40" s="47">
        <v>4238688</v>
      </c>
      <c r="H40" s="49">
        <v>83760</v>
      </c>
      <c r="I40" s="50">
        <v>4766</v>
      </c>
      <c r="J40" s="50">
        <v>157</v>
      </c>
      <c r="K40" s="51">
        <f t="shared" si="1"/>
        <v>88683</v>
      </c>
      <c r="L40" s="52">
        <f t="shared" si="3"/>
        <v>8826614</v>
      </c>
      <c r="M40" s="50">
        <v>21041</v>
      </c>
      <c r="N40" s="53">
        <f t="shared" si="2"/>
        <v>1084595</v>
      </c>
      <c r="O40" s="53">
        <f t="shared" si="4"/>
        <v>9911209</v>
      </c>
      <c r="P40" s="51">
        <f t="shared" si="5"/>
        <v>14149897</v>
      </c>
    </row>
    <row r="41" spans="1:16" ht="15.75" x14ac:dyDescent="0.25">
      <c r="A41" s="1" t="s">
        <v>120</v>
      </c>
      <c r="B41" s="46" t="s">
        <v>121</v>
      </c>
      <c r="C41" s="51">
        <v>1187309.3523773006</v>
      </c>
      <c r="D41" s="48">
        <f t="shared" si="7"/>
        <v>1187167.6196353759</v>
      </c>
      <c r="E41" s="47">
        <v>1187530</v>
      </c>
      <c r="F41" s="47">
        <v>1187530</v>
      </c>
      <c r="G41" s="47">
        <v>1187530</v>
      </c>
      <c r="H41" s="49">
        <v>28704</v>
      </c>
      <c r="I41" s="50">
        <v>724</v>
      </c>
      <c r="J41" s="50">
        <v>23</v>
      </c>
      <c r="K41" s="51">
        <f t="shared" si="1"/>
        <v>29451</v>
      </c>
      <c r="L41" s="52">
        <f t="shared" si="3"/>
        <v>2931256</v>
      </c>
      <c r="M41" s="50">
        <v>7326.8</v>
      </c>
      <c r="N41" s="53">
        <f t="shared" si="2"/>
        <v>377673</v>
      </c>
      <c r="O41" s="53">
        <f t="shared" si="4"/>
        <v>3308929</v>
      </c>
      <c r="P41" s="51">
        <f t="shared" si="5"/>
        <v>4496459</v>
      </c>
    </row>
    <row r="42" spans="1:16" ht="15.75" x14ac:dyDescent="0.25">
      <c r="A42" s="1" t="s">
        <v>122</v>
      </c>
      <c r="B42" s="46" t="s">
        <v>123</v>
      </c>
      <c r="C42" s="51">
        <v>867106</v>
      </c>
      <c r="D42" s="48">
        <f t="shared" si="7"/>
        <v>867002.49090974196</v>
      </c>
      <c r="E42" s="47">
        <v>867222</v>
      </c>
      <c r="F42" s="47">
        <v>867222</v>
      </c>
      <c r="G42" s="47">
        <v>867222</v>
      </c>
      <c r="H42" s="49">
        <v>15484</v>
      </c>
      <c r="I42" s="50">
        <v>1647</v>
      </c>
      <c r="J42" s="50">
        <v>21</v>
      </c>
      <c r="K42" s="51">
        <f t="shared" si="1"/>
        <v>17152</v>
      </c>
      <c r="L42" s="52">
        <f t="shared" si="3"/>
        <v>1707138</v>
      </c>
      <c r="M42" s="50">
        <v>4485.2</v>
      </c>
      <c r="N42" s="53">
        <f t="shared" si="2"/>
        <v>231197</v>
      </c>
      <c r="O42" s="53">
        <f t="shared" si="4"/>
        <v>1938335</v>
      </c>
      <c r="P42" s="51">
        <f t="shared" si="5"/>
        <v>2805557</v>
      </c>
    </row>
    <row r="43" spans="1:16" ht="15.75" x14ac:dyDescent="0.25">
      <c r="A43" s="1" t="s">
        <v>124</v>
      </c>
      <c r="B43" s="46" t="s">
        <v>125</v>
      </c>
      <c r="C43" s="51">
        <v>99572</v>
      </c>
      <c r="D43" s="48">
        <f t="shared" si="7"/>
        <v>99560.113786393849</v>
      </c>
      <c r="E43" s="47">
        <v>99575</v>
      </c>
      <c r="F43" s="47">
        <v>99575</v>
      </c>
      <c r="G43" s="47">
        <v>99575</v>
      </c>
      <c r="H43" s="49">
        <v>1106</v>
      </c>
      <c r="I43" s="50">
        <v>0</v>
      </c>
      <c r="J43" s="50">
        <v>0</v>
      </c>
      <c r="K43" s="51">
        <f t="shared" si="1"/>
        <v>1106</v>
      </c>
      <c r="L43" s="52">
        <f t="shared" si="3"/>
        <v>110080</v>
      </c>
      <c r="M43" s="50">
        <v>346.6</v>
      </c>
      <c r="N43" s="53">
        <f t="shared" si="2"/>
        <v>17866</v>
      </c>
      <c r="O43" s="53">
        <f t="shared" si="4"/>
        <v>127946</v>
      </c>
      <c r="P43" s="51">
        <f t="shared" si="5"/>
        <v>227521</v>
      </c>
    </row>
    <row r="44" spans="1:16" ht="15.75" x14ac:dyDescent="0.25">
      <c r="A44" s="1" t="s">
        <v>126</v>
      </c>
      <c r="B44" s="46" t="s">
        <v>127</v>
      </c>
      <c r="C44" s="51">
        <v>241151</v>
      </c>
      <c r="D44" s="48">
        <f t="shared" si="7"/>
        <v>241122.21306896181</v>
      </c>
      <c r="E44" s="47">
        <v>241155</v>
      </c>
      <c r="F44" s="47">
        <v>241155</v>
      </c>
      <c r="G44" s="47">
        <v>241155</v>
      </c>
      <c r="H44" s="49">
        <v>2120</v>
      </c>
      <c r="I44" s="50">
        <v>0</v>
      </c>
      <c r="J44" s="50">
        <v>0</v>
      </c>
      <c r="K44" s="51">
        <f t="shared" si="1"/>
        <v>2120</v>
      </c>
      <c r="L44" s="52">
        <f t="shared" si="3"/>
        <v>211003</v>
      </c>
      <c r="M44" s="50">
        <v>900.1</v>
      </c>
      <c r="N44" s="53">
        <f t="shared" si="2"/>
        <v>46397</v>
      </c>
      <c r="O44" s="53">
        <f t="shared" si="4"/>
        <v>257400</v>
      </c>
      <c r="P44" s="51">
        <f t="shared" si="5"/>
        <v>498555</v>
      </c>
    </row>
    <row r="45" spans="1:16" ht="15.75" x14ac:dyDescent="0.25">
      <c r="A45" s="1" t="s">
        <v>128</v>
      </c>
      <c r="B45" s="46" t="s">
        <v>129</v>
      </c>
      <c r="C45" s="51">
        <v>1301178</v>
      </c>
      <c r="D45" s="48">
        <f t="shared" si="7"/>
        <v>1301022.6744099986</v>
      </c>
      <c r="E45" s="47">
        <v>1301329</v>
      </c>
      <c r="F45" s="47">
        <v>1301329</v>
      </c>
      <c r="G45" s="47">
        <v>1301329</v>
      </c>
      <c r="H45" s="49">
        <v>21774</v>
      </c>
      <c r="I45" s="50">
        <v>598</v>
      </c>
      <c r="J45" s="50">
        <v>23</v>
      </c>
      <c r="K45" s="51">
        <f t="shared" si="1"/>
        <v>22395</v>
      </c>
      <c r="L45" s="52">
        <f t="shared" si="3"/>
        <v>2228973</v>
      </c>
      <c r="M45" s="50">
        <v>9443.3000000000011</v>
      </c>
      <c r="N45" s="53">
        <f t="shared" si="2"/>
        <v>486771</v>
      </c>
      <c r="O45" s="53">
        <f t="shared" si="4"/>
        <v>2715744</v>
      </c>
      <c r="P45" s="51">
        <f t="shared" si="5"/>
        <v>4017073</v>
      </c>
    </row>
    <row r="46" spans="1:16" ht="15.75" x14ac:dyDescent="0.25">
      <c r="A46" s="1" t="s">
        <v>130</v>
      </c>
      <c r="B46" s="46" t="s">
        <v>131</v>
      </c>
      <c r="C46" s="51">
        <v>202256</v>
      </c>
      <c r="D46" s="48">
        <f t="shared" si="7"/>
        <v>202231.85608384761</v>
      </c>
      <c r="E46" s="47">
        <v>202262</v>
      </c>
      <c r="F46" s="47">
        <v>202262</v>
      </c>
      <c r="G46" s="47">
        <v>202262</v>
      </c>
      <c r="H46" s="49">
        <v>2053</v>
      </c>
      <c r="I46" s="50">
        <v>37</v>
      </c>
      <c r="J46" s="50">
        <v>0</v>
      </c>
      <c r="K46" s="51">
        <f t="shared" si="1"/>
        <v>2090</v>
      </c>
      <c r="L46" s="52">
        <f t="shared" si="3"/>
        <v>208018</v>
      </c>
      <c r="M46" s="50">
        <v>722.4</v>
      </c>
      <c r="N46" s="53">
        <f t="shared" si="2"/>
        <v>37237</v>
      </c>
      <c r="O46" s="53">
        <f t="shared" si="4"/>
        <v>245255</v>
      </c>
      <c r="P46" s="51">
        <f t="shared" si="5"/>
        <v>447517</v>
      </c>
    </row>
    <row r="47" spans="1:16" ht="15.75" x14ac:dyDescent="0.25">
      <c r="A47" s="1" t="s">
        <v>132</v>
      </c>
      <c r="B47" s="46" t="s">
        <v>133</v>
      </c>
      <c r="C47" s="51">
        <v>327758</v>
      </c>
      <c r="D47" s="48">
        <f t="shared" si="7"/>
        <v>327718.87452698423</v>
      </c>
      <c r="E47" s="47">
        <v>327801</v>
      </c>
      <c r="F47" s="47">
        <v>327801</v>
      </c>
      <c r="G47" s="47">
        <v>327801</v>
      </c>
      <c r="H47" s="49">
        <v>5888</v>
      </c>
      <c r="I47" s="50">
        <v>172</v>
      </c>
      <c r="J47" s="50">
        <v>0</v>
      </c>
      <c r="K47" s="51">
        <f t="shared" si="1"/>
        <v>6060</v>
      </c>
      <c r="L47" s="52">
        <f t="shared" si="3"/>
        <v>603151</v>
      </c>
      <c r="M47" s="50">
        <v>2684.6</v>
      </c>
      <c r="N47" s="53">
        <f t="shared" si="2"/>
        <v>138382</v>
      </c>
      <c r="O47" s="53">
        <f t="shared" si="4"/>
        <v>741533</v>
      </c>
      <c r="P47" s="51">
        <f t="shared" si="5"/>
        <v>1069334</v>
      </c>
    </row>
    <row r="48" spans="1:16" ht="15.75" x14ac:dyDescent="0.25">
      <c r="A48" s="1" t="s">
        <v>134</v>
      </c>
      <c r="B48" s="46" t="s">
        <v>135</v>
      </c>
      <c r="C48" s="51">
        <v>204849</v>
      </c>
      <c r="D48" s="48">
        <f t="shared" si="7"/>
        <v>204824.54654952191</v>
      </c>
      <c r="E48" s="47">
        <v>204866</v>
      </c>
      <c r="F48" s="47">
        <v>204866</v>
      </c>
      <c r="G48" s="47">
        <v>204866</v>
      </c>
      <c r="H48" s="49">
        <v>2937</v>
      </c>
      <c r="I48" s="54" t="s">
        <v>67</v>
      </c>
      <c r="J48" s="54" t="s">
        <v>67</v>
      </c>
      <c r="K48" s="51">
        <v>2951</v>
      </c>
      <c r="L48" s="52">
        <f t="shared" si="3"/>
        <v>293713</v>
      </c>
      <c r="M48" s="50">
        <v>1736.8</v>
      </c>
      <c r="N48" s="53">
        <f t="shared" si="2"/>
        <v>89526</v>
      </c>
      <c r="O48" s="53">
        <f t="shared" si="4"/>
        <v>383239</v>
      </c>
      <c r="P48" s="51">
        <f t="shared" si="5"/>
        <v>588105</v>
      </c>
    </row>
    <row r="49" spans="1:18" ht="15.75" x14ac:dyDescent="0.25">
      <c r="A49" s="58" t="s">
        <v>136</v>
      </c>
      <c r="B49" s="59" t="s">
        <v>137</v>
      </c>
      <c r="C49" s="55">
        <v>0</v>
      </c>
      <c r="D49" s="56">
        <f t="shared" si="7"/>
        <v>0</v>
      </c>
      <c r="E49" s="57">
        <v>0</v>
      </c>
      <c r="F49" s="57">
        <v>0</v>
      </c>
      <c r="G49" s="57">
        <v>52794.778509883421</v>
      </c>
      <c r="H49" s="50">
        <v>1671</v>
      </c>
      <c r="I49" s="50">
        <v>207</v>
      </c>
      <c r="J49" s="50">
        <v>0</v>
      </c>
      <c r="K49" s="55">
        <f t="shared" si="1"/>
        <v>1878</v>
      </c>
      <c r="L49" s="60">
        <f t="shared" si="3"/>
        <v>186917</v>
      </c>
      <c r="M49" s="50">
        <v>44.9</v>
      </c>
      <c r="N49" s="61">
        <f t="shared" si="2"/>
        <v>2314</v>
      </c>
      <c r="O49" s="61">
        <f t="shared" si="4"/>
        <v>189231</v>
      </c>
      <c r="P49" s="55">
        <f t="shared" si="5"/>
        <v>242026</v>
      </c>
    </row>
    <row r="50" spans="1:18" ht="15.75" x14ac:dyDescent="0.25">
      <c r="A50" s="4" t="s">
        <v>138</v>
      </c>
      <c r="B50" s="59" t="s">
        <v>139</v>
      </c>
      <c r="C50" s="55">
        <v>937636</v>
      </c>
      <c r="D50" s="56">
        <f t="shared" si="7"/>
        <v>937524.07152833312</v>
      </c>
      <c r="E50" s="57">
        <v>937757</v>
      </c>
      <c r="F50" s="57">
        <v>937757</v>
      </c>
      <c r="G50" s="57">
        <v>937757</v>
      </c>
      <c r="H50" s="50">
        <v>16772</v>
      </c>
      <c r="I50" s="50">
        <v>531</v>
      </c>
      <c r="J50" s="50">
        <v>0</v>
      </c>
      <c r="K50" s="55">
        <f t="shared" si="1"/>
        <v>17303</v>
      </c>
      <c r="L50" s="60">
        <f t="shared" si="3"/>
        <v>1722167</v>
      </c>
      <c r="M50" s="50">
        <v>10808.1</v>
      </c>
      <c r="N50" s="61">
        <f t="shared" si="2"/>
        <v>557122</v>
      </c>
      <c r="O50" s="61">
        <f t="shared" si="4"/>
        <v>2279289</v>
      </c>
      <c r="P50" s="55">
        <f t="shared" si="5"/>
        <v>3217046</v>
      </c>
    </row>
    <row r="51" spans="1:18" ht="15.75" x14ac:dyDescent="0.25">
      <c r="A51" s="4" t="s">
        <v>140</v>
      </c>
      <c r="B51" s="59" t="s">
        <v>141</v>
      </c>
      <c r="C51" s="55">
        <v>300790</v>
      </c>
      <c r="D51" s="56">
        <f t="shared" si="7"/>
        <v>300754.09377947019</v>
      </c>
      <c r="E51" s="57">
        <v>300871</v>
      </c>
      <c r="F51" s="57">
        <v>300871</v>
      </c>
      <c r="G51" s="57">
        <v>300871</v>
      </c>
      <c r="H51" s="50">
        <v>9299</v>
      </c>
      <c r="I51" s="54" t="s">
        <v>67</v>
      </c>
      <c r="J51" s="54" t="s">
        <v>67</v>
      </c>
      <c r="K51" s="55">
        <v>9350</v>
      </c>
      <c r="L51" s="60">
        <f t="shared" si="3"/>
        <v>930605</v>
      </c>
      <c r="M51" s="50">
        <v>3549.8</v>
      </c>
      <c r="N51" s="61">
        <f t="shared" si="2"/>
        <v>182981</v>
      </c>
      <c r="O51" s="61">
        <f t="shared" si="4"/>
        <v>1113586</v>
      </c>
      <c r="P51" s="55">
        <f t="shared" si="5"/>
        <v>1414457</v>
      </c>
    </row>
    <row r="52" spans="1:18" ht="15.75" x14ac:dyDescent="0.25">
      <c r="A52" s="58" t="s">
        <v>142</v>
      </c>
      <c r="B52" s="59" t="s">
        <v>143</v>
      </c>
      <c r="C52" s="55">
        <v>0</v>
      </c>
      <c r="D52" s="56">
        <f t="shared" si="7"/>
        <v>0</v>
      </c>
      <c r="E52" s="57">
        <v>0</v>
      </c>
      <c r="F52" s="57">
        <v>0</v>
      </c>
      <c r="G52" s="57">
        <v>134075.94830207806</v>
      </c>
      <c r="H52" s="50">
        <v>3346</v>
      </c>
      <c r="I52" s="50">
        <v>56</v>
      </c>
      <c r="J52" s="50">
        <v>0</v>
      </c>
      <c r="K52" s="55">
        <f t="shared" si="1"/>
        <v>3402</v>
      </c>
      <c r="L52" s="60">
        <f t="shared" si="3"/>
        <v>338601</v>
      </c>
      <c r="M52" s="50">
        <v>892.5</v>
      </c>
      <c r="N52" s="61">
        <f t="shared" si="2"/>
        <v>46005</v>
      </c>
      <c r="O52" s="61">
        <f t="shared" si="4"/>
        <v>384606</v>
      </c>
      <c r="P52" s="55">
        <f t="shared" si="5"/>
        <v>518682</v>
      </c>
    </row>
    <row r="53" spans="1:18" ht="15.75" x14ac:dyDescent="0.25">
      <c r="A53" s="1" t="s">
        <v>144</v>
      </c>
      <c r="B53" s="46" t="s">
        <v>145</v>
      </c>
      <c r="C53" s="51">
        <v>106832</v>
      </c>
      <c r="D53" s="48">
        <f t="shared" si="7"/>
        <v>106819.24713803106</v>
      </c>
      <c r="E53" s="47">
        <v>106876</v>
      </c>
      <c r="F53" s="47">
        <v>106876</v>
      </c>
      <c r="G53" s="47">
        <v>106876</v>
      </c>
      <c r="H53" s="49">
        <v>5368</v>
      </c>
      <c r="I53" s="50">
        <v>0</v>
      </c>
      <c r="J53" s="50">
        <v>0</v>
      </c>
      <c r="K53" s="51">
        <f t="shared" si="1"/>
        <v>5368</v>
      </c>
      <c r="L53" s="52">
        <f t="shared" si="3"/>
        <v>534277</v>
      </c>
      <c r="M53" s="50">
        <v>604</v>
      </c>
      <c r="N53" s="53">
        <f t="shared" si="2"/>
        <v>31134</v>
      </c>
      <c r="O53" s="53">
        <f t="shared" si="4"/>
        <v>565411</v>
      </c>
      <c r="P53" s="51">
        <f t="shared" si="5"/>
        <v>672287</v>
      </c>
    </row>
    <row r="54" spans="1:18" ht="15.75" x14ac:dyDescent="0.25">
      <c r="A54" s="58" t="s">
        <v>146</v>
      </c>
      <c r="B54" s="59" t="s">
        <v>147</v>
      </c>
      <c r="C54" s="55">
        <v>150587.35136122783</v>
      </c>
      <c r="D54" s="56">
        <v>150569.37528939376</v>
      </c>
      <c r="E54" s="47">
        <v>150610</v>
      </c>
      <c r="F54" s="47">
        <v>150610</v>
      </c>
      <c r="G54" s="47">
        <v>150610</v>
      </c>
      <c r="H54" s="49">
        <v>3653</v>
      </c>
      <c r="I54" s="50">
        <v>0</v>
      </c>
      <c r="J54" s="50">
        <v>0</v>
      </c>
      <c r="K54" s="55">
        <f t="shared" si="1"/>
        <v>3653</v>
      </c>
      <c r="L54" s="52">
        <f t="shared" si="3"/>
        <v>363583</v>
      </c>
      <c r="M54" s="50">
        <v>833</v>
      </c>
      <c r="N54" s="53">
        <f t="shared" si="2"/>
        <v>42938</v>
      </c>
      <c r="O54" s="53">
        <f t="shared" si="4"/>
        <v>406521</v>
      </c>
      <c r="P54" s="51">
        <f t="shared" si="5"/>
        <v>557131</v>
      </c>
    </row>
    <row r="55" spans="1:18" ht="15.75" x14ac:dyDescent="0.25">
      <c r="A55" s="1" t="s">
        <v>148</v>
      </c>
      <c r="B55" s="46" t="s">
        <v>149</v>
      </c>
      <c r="C55" s="51">
        <v>824062</v>
      </c>
      <c r="D55" s="48">
        <f>C55/(1+$N$128)</f>
        <v>823963.62920342351</v>
      </c>
      <c r="E55" s="47">
        <v>824228</v>
      </c>
      <c r="F55" s="47">
        <v>824228</v>
      </c>
      <c r="G55" s="47">
        <v>824228</v>
      </c>
      <c r="H55" s="49">
        <v>21499</v>
      </c>
      <c r="I55" s="54" t="s">
        <v>67</v>
      </c>
      <c r="J55" s="54" t="s">
        <v>67</v>
      </c>
      <c r="K55" s="51">
        <v>21972</v>
      </c>
      <c r="L55" s="52">
        <f t="shared" si="3"/>
        <v>2186872</v>
      </c>
      <c r="M55" s="50">
        <v>12170.9</v>
      </c>
      <c r="N55" s="53">
        <f t="shared" si="2"/>
        <v>627370</v>
      </c>
      <c r="O55" s="53">
        <f t="shared" si="4"/>
        <v>2814242</v>
      </c>
      <c r="P55" s="51">
        <f t="shared" si="5"/>
        <v>3638470</v>
      </c>
    </row>
    <row r="56" spans="1:18" ht="15.75" x14ac:dyDescent="0.25">
      <c r="A56" s="1" t="s">
        <v>150</v>
      </c>
      <c r="B56" s="46" t="s">
        <v>151</v>
      </c>
      <c r="C56" s="51">
        <v>397576.6486387722</v>
      </c>
      <c r="D56" s="48">
        <v>397529.18870053109</v>
      </c>
      <c r="E56" s="47">
        <v>397637</v>
      </c>
      <c r="F56" s="47">
        <v>397637</v>
      </c>
      <c r="G56" s="47">
        <v>397637</v>
      </c>
      <c r="H56" s="49">
        <v>8470</v>
      </c>
      <c r="I56" s="50">
        <v>0</v>
      </c>
      <c r="J56" s="50">
        <v>0</v>
      </c>
      <c r="K56" s="51">
        <f t="shared" si="1"/>
        <v>8470</v>
      </c>
      <c r="L56" s="52">
        <f t="shared" si="3"/>
        <v>843019</v>
      </c>
      <c r="M56" s="50">
        <v>3155</v>
      </c>
      <c r="N56" s="53">
        <f t="shared" si="2"/>
        <v>162630</v>
      </c>
      <c r="O56" s="53">
        <f t="shared" si="4"/>
        <v>1005649</v>
      </c>
      <c r="P56" s="51">
        <f t="shared" si="5"/>
        <v>1403286</v>
      </c>
    </row>
    <row r="57" spans="1:18" ht="15.75" x14ac:dyDescent="0.25">
      <c r="A57" s="4" t="s">
        <v>152</v>
      </c>
      <c r="B57" s="59" t="s">
        <v>153</v>
      </c>
      <c r="C57" s="55">
        <v>507409</v>
      </c>
      <c r="D57" s="56">
        <f>C57/(1+$N$128)</f>
        <v>507348.42903868877</v>
      </c>
      <c r="E57" s="57">
        <v>507460</v>
      </c>
      <c r="F57" s="57">
        <v>356153</v>
      </c>
      <c r="G57" s="57">
        <v>356153</v>
      </c>
      <c r="H57" s="49">
        <v>8135</v>
      </c>
      <c r="I57" s="50">
        <v>185</v>
      </c>
      <c r="J57" s="50">
        <v>0</v>
      </c>
      <c r="K57" s="55">
        <f t="shared" si="1"/>
        <v>8320</v>
      </c>
      <c r="L57" s="60">
        <f t="shared" si="3"/>
        <v>828089</v>
      </c>
      <c r="M57" s="50">
        <v>2874.6000000000004</v>
      </c>
      <c r="N57" s="61">
        <f t="shared" si="2"/>
        <v>148176</v>
      </c>
      <c r="O57" s="61">
        <f t="shared" si="4"/>
        <v>976265</v>
      </c>
      <c r="P57" s="51">
        <f t="shared" si="5"/>
        <v>1332418</v>
      </c>
    </row>
    <row r="58" spans="1:18" ht="15.75" x14ac:dyDescent="0.25">
      <c r="A58" s="4" t="s">
        <v>154</v>
      </c>
      <c r="B58" s="59" t="s">
        <v>155</v>
      </c>
      <c r="C58" s="55">
        <f>G110</f>
        <v>555531.33936362667</v>
      </c>
      <c r="D58" s="56">
        <f>C58/(1+$N$128)</f>
        <v>555465.0238917612</v>
      </c>
      <c r="E58" s="57">
        <f>H110</f>
        <v>555660.73065872095</v>
      </c>
      <c r="F58" s="57">
        <v>223257.92340603156</v>
      </c>
      <c r="G58" s="57">
        <v>562511.2731880385</v>
      </c>
      <c r="H58" s="50">
        <v>14861</v>
      </c>
      <c r="I58" s="54" t="s">
        <v>67</v>
      </c>
      <c r="J58" s="54" t="s">
        <v>67</v>
      </c>
      <c r="K58" s="55">
        <v>15522</v>
      </c>
      <c r="L58" s="60">
        <f t="shared" si="3"/>
        <v>1544904</v>
      </c>
      <c r="M58" s="50">
        <v>5608.2999999999993</v>
      </c>
      <c r="N58" s="61">
        <f t="shared" si="2"/>
        <v>289089</v>
      </c>
      <c r="O58" s="61">
        <f t="shared" si="4"/>
        <v>1833993</v>
      </c>
      <c r="P58" s="55">
        <f t="shared" si="5"/>
        <v>2396504</v>
      </c>
      <c r="R58" s="62"/>
    </row>
    <row r="59" spans="1:18" ht="15.75" x14ac:dyDescent="0.25">
      <c r="A59" s="1" t="s">
        <v>156</v>
      </c>
      <c r="B59" s="46" t="s">
        <v>157</v>
      </c>
      <c r="C59" s="51">
        <v>205886</v>
      </c>
      <c r="D59" s="48">
        <f>C59/(1+$N$128)</f>
        <v>205861.42275966622</v>
      </c>
      <c r="E59" s="47">
        <v>205893</v>
      </c>
      <c r="F59" s="47">
        <v>205893</v>
      </c>
      <c r="G59" s="47">
        <v>205893</v>
      </c>
      <c r="H59" s="49">
        <v>2212</v>
      </c>
      <c r="I59" s="50">
        <v>0</v>
      </c>
      <c r="J59" s="50">
        <v>0</v>
      </c>
      <c r="K59" s="51">
        <f t="shared" si="1"/>
        <v>2212</v>
      </c>
      <c r="L59" s="52">
        <f t="shared" si="3"/>
        <v>220160</v>
      </c>
      <c r="M59" s="50">
        <v>540.29999999999995</v>
      </c>
      <c r="N59" s="53">
        <f t="shared" si="2"/>
        <v>27851</v>
      </c>
      <c r="O59" s="53">
        <f t="shared" si="4"/>
        <v>248011</v>
      </c>
      <c r="P59" s="51">
        <f t="shared" si="5"/>
        <v>453904</v>
      </c>
    </row>
    <row r="60" spans="1:18" ht="15.75" x14ac:dyDescent="0.25">
      <c r="A60" s="1" t="s">
        <v>158</v>
      </c>
      <c r="B60" s="46" t="s">
        <v>159</v>
      </c>
      <c r="C60" s="51">
        <v>351911</v>
      </c>
      <c r="D60" s="48">
        <f>C60/(1+$N$128)</f>
        <v>351868.99130964174</v>
      </c>
      <c r="E60" s="47">
        <v>351943</v>
      </c>
      <c r="F60" s="47">
        <v>351943</v>
      </c>
      <c r="G60" s="47">
        <v>351943</v>
      </c>
      <c r="H60" s="49">
        <v>4380</v>
      </c>
      <c r="I60" s="50">
        <v>0</v>
      </c>
      <c r="J60" s="50">
        <v>0</v>
      </c>
      <c r="K60" s="51">
        <f t="shared" si="1"/>
        <v>4380</v>
      </c>
      <c r="L60" s="52">
        <f t="shared" si="3"/>
        <v>435941</v>
      </c>
      <c r="M60" s="50">
        <v>1753.3999999999996</v>
      </c>
      <c r="N60" s="53">
        <f t="shared" si="2"/>
        <v>90382</v>
      </c>
      <c r="O60" s="53">
        <f t="shared" si="4"/>
        <v>526323</v>
      </c>
      <c r="P60" s="51">
        <f t="shared" si="5"/>
        <v>878266</v>
      </c>
    </row>
    <row r="61" spans="1:18" ht="15.75" x14ac:dyDescent="0.25">
      <c r="A61" s="1" t="s">
        <v>160</v>
      </c>
      <c r="B61" s="46" t="s">
        <v>161</v>
      </c>
      <c r="C61" s="51">
        <v>336574</v>
      </c>
      <c r="D61" s="48">
        <f>C61/(1+$N$128)</f>
        <v>336533.82213415141</v>
      </c>
      <c r="E61" s="47">
        <v>336602</v>
      </c>
      <c r="F61" s="47">
        <v>336602</v>
      </c>
      <c r="G61" s="47">
        <v>336602</v>
      </c>
      <c r="H61" s="49">
        <v>5072</v>
      </c>
      <c r="I61" s="50">
        <v>160</v>
      </c>
      <c r="J61" s="50">
        <v>0</v>
      </c>
      <c r="K61" s="51">
        <f t="shared" si="1"/>
        <v>5232</v>
      </c>
      <c r="L61" s="52">
        <f t="shared" si="3"/>
        <v>520741</v>
      </c>
      <c r="M61" s="50">
        <v>1193.5</v>
      </c>
      <c r="N61" s="53">
        <f t="shared" si="2"/>
        <v>61521</v>
      </c>
      <c r="O61" s="53">
        <f t="shared" si="4"/>
        <v>582262</v>
      </c>
      <c r="P61" s="51">
        <f t="shared" si="5"/>
        <v>918864</v>
      </c>
    </row>
    <row r="62" spans="1:18" ht="15.75" x14ac:dyDescent="0.25">
      <c r="A62" s="1" t="s">
        <v>162</v>
      </c>
      <c r="B62" s="46" t="s">
        <v>163</v>
      </c>
      <c r="C62" s="51">
        <v>327579.34410339256</v>
      </c>
      <c r="D62" s="48">
        <v>327540.23995707661</v>
      </c>
      <c r="E62" s="47">
        <v>327607</v>
      </c>
      <c r="F62" s="47">
        <v>327607</v>
      </c>
      <c r="G62" s="47">
        <v>327607</v>
      </c>
      <c r="H62" s="49">
        <v>4526</v>
      </c>
      <c r="I62" s="50">
        <v>18</v>
      </c>
      <c r="J62" s="50">
        <v>0</v>
      </c>
      <c r="K62" s="51">
        <f t="shared" si="1"/>
        <v>4544</v>
      </c>
      <c r="L62" s="52">
        <f t="shared" si="3"/>
        <v>452264</v>
      </c>
      <c r="M62" s="50">
        <v>1971.7000000000003</v>
      </c>
      <c r="N62" s="53">
        <f t="shared" si="2"/>
        <v>101635</v>
      </c>
      <c r="O62" s="53">
        <f t="shared" si="4"/>
        <v>553899</v>
      </c>
      <c r="P62" s="51">
        <f t="shared" si="5"/>
        <v>881506</v>
      </c>
    </row>
    <row r="63" spans="1:18" ht="15.75" x14ac:dyDescent="0.25">
      <c r="A63" s="1" t="s">
        <v>164</v>
      </c>
      <c r="B63" s="46" t="s">
        <v>165</v>
      </c>
      <c r="C63" s="51">
        <v>92312</v>
      </c>
      <c r="D63" s="48">
        <f>C63/(1+$N$128)</f>
        <v>92300.980434756653</v>
      </c>
      <c r="E63" s="47">
        <v>92315</v>
      </c>
      <c r="F63" s="47">
        <v>92315</v>
      </c>
      <c r="G63" s="47">
        <v>92315</v>
      </c>
      <c r="H63" s="49">
        <v>1149</v>
      </c>
      <c r="I63" s="50">
        <v>0</v>
      </c>
      <c r="J63" s="50">
        <v>0</v>
      </c>
      <c r="K63" s="51">
        <f t="shared" si="1"/>
        <v>1149</v>
      </c>
      <c r="L63" s="52">
        <f t="shared" si="3"/>
        <v>114360</v>
      </c>
      <c r="M63" s="50">
        <v>344.9</v>
      </c>
      <c r="N63" s="53">
        <f t="shared" si="2"/>
        <v>17778</v>
      </c>
      <c r="O63" s="53">
        <f t="shared" si="4"/>
        <v>132138</v>
      </c>
      <c r="P63" s="51">
        <f t="shared" si="5"/>
        <v>224453</v>
      </c>
    </row>
    <row r="64" spans="1:18" ht="15.75" x14ac:dyDescent="0.25">
      <c r="A64" s="1" t="s">
        <v>166</v>
      </c>
      <c r="B64" s="46" t="s">
        <v>167</v>
      </c>
      <c r="C64" s="51">
        <v>718786</v>
      </c>
      <c r="D64" s="48">
        <v>718700.19632092246</v>
      </c>
      <c r="E64" s="47">
        <v>718869</v>
      </c>
      <c r="F64" s="47">
        <v>718869</v>
      </c>
      <c r="G64" s="47">
        <v>718869</v>
      </c>
      <c r="H64" s="49">
        <v>12299</v>
      </c>
      <c r="I64" s="54" t="s">
        <v>67</v>
      </c>
      <c r="J64" s="54" t="s">
        <v>67</v>
      </c>
      <c r="K64" s="51">
        <v>12692</v>
      </c>
      <c r="L64" s="52">
        <f t="shared" si="3"/>
        <v>1263234</v>
      </c>
      <c r="M64" s="50">
        <v>4314.8</v>
      </c>
      <c r="N64" s="53">
        <f t="shared" si="2"/>
        <v>222414</v>
      </c>
      <c r="O64" s="53">
        <f t="shared" si="4"/>
        <v>1485648</v>
      </c>
      <c r="P64" s="51">
        <f t="shared" si="5"/>
        <v>2204517</v>
      </c>
    </row>
    <row r="65" spans="1:16" ht="15.75" x14ac:dyDescent="0.25">
      <c r="A65" s="1" t="s">
        <v>168</v>
      </c>
      <c r="B65" s="46" t="s">
        <v>169</v>
      </c>
      <c r="C65" s="51">
        <v>450148</v>
      </c>
      <c r="D65" s="48">
        <f>C65/(1+$N$128)</f>
        <v>450094.26445906097</v>
      </c>
      <c r="E65" s="47">
        <v>450197</v>
      </c>
      <c r="F65" s="47">
        <v>450197</v>
      </c>
      <c r="G65" s="47">
        <v>450197</v>
      </c>
      <c r="H65" s="49">
        <v>7545</v>
      </c>
      <c r="I65" s="54" t="s">
        <v>67</v>
      </c>
      <c r="J65" s="54" t="s">
        <v>67</v>
      </c>
      <c r="K65" s="51">
        <v>7597</v>
      </c>
      <c r="L65" s="52">
        <f>ROUND((L$81/K$80)*K65,0)</f>
        <v>756129</v>
      </c>
      <c r="M65" s="50">
        <v>4332.0999999999995</v>
      </c>
      <c r="N65" s="53">
        <f t="shared" si="2"/>
        <v>223306</v>
      </c>
      <c r="O65" s="53">
        <f t="shared" si="4"/>
        <v>979435</v>
      </c>
      <c r="P65" s="51">
        <f t="shared" si="5"/>
        <v>1429632</v>
      </c>
    </row>
    <row r="66" spans="1:16" ht="15.75" x14ac:dyDescent="0.25">
      <c r="A66" s="4" t="s">
        <v>170</v>
      </c>
      <c r="B66" s="59" t="s">
        <v>171</v>
      </c>
      <c r="C66" s="55">
        <v>292493</v>
      </c>
      <c r="D66" s="56">
        <f>C66/(1+$N$128)</f>
        <v>292458.08421768865</v>
      </c>
      <c r="E66" s="57">
        <v>292502</v>
      </c>
      <c r="F66" s="57">
        <v>292502</v>
      </c>
      <c r="G66" s="57">
        <v>292502</v>
      </c>
      <c r="H66" s="49">
        <v>3156</v>
      </c>
      <c r="I66" s="50">
        <v>52</v>
      </c>
      <c r="J66" s="50">
        <v>0</v>
      </c>
      <c r="K66" s="55">
        <f t="shared" si="1"/>
        <v>3208</v>
      </c>
      <c r="L66" s="60">
        <f t="shared" si="3"/>
        <v>319292</v>
      </c>
      <c r="M66" s="50">
        <v>2004.6000000000001</v>
      </c>
      <c r="N66" s="53">
        <f t="shared" si="2"/>
        <v>103331</v>
      </c>
      <c r="O66" s="61">
        <f t="shared" si="4"/>
        <v>422623</v>
      </c>
      <c r="P66" s="51">
        <f t="shared" si="5"/>
        <v>715125</v>
      </c>
    </row>
    <row r="67" spans="1:16" ht="15.75" x14ac:dyDescent="0.25">
      <c r="A67" s="4" t="s">
        <v>172</v>
      </c>
      <c r="B67" s="59" t="s">
        <v>173</v>
      </c>
      <c r="C67" s="55">
        <v>327840.65589660744</v>
      </c>
      <c r="D67" s="56">
        <v>327801.52055670496</v>
      </c>
      <c r="E67" s="57">
        <v>327868</v>
      </c>
      <c r="F67" s="57">
        <v>327868</v>
      </c>
      <c r="G67" s="57">
        <v>327868</v>
      </c>
      <c r="H67" s="49">
        <v>4405</v>
      </c>
      <c r="I67" s="50">
        <v>37</v>
      </c>
      <c r="J67" s="50">
        <v>0</v>
      </c>
      <c r="K67" s="55">
        <f t="shared" si="1"/>
        <v>4442</v>
      </c>
      <c r="L67" s="60">
        <f t="shared" si="3"/>
        <v>442112</v>
      </c>
      <c r="M67" s="50">
        <v>2266.3999999999996</v>
      </c>
      <c r="N67" s="53">
        <f t="shared" si="2"/>
        <v>116825</v>
      </c>
      <c r="O67" s="61">
        <f t="shared" si="4"/>
        <v>558937</v>
      </c>
      <c r="P67" s="51">
        <f t="shared" si="5"/>
        <v>886805</v>
      </c>
    </row>
    <row r="68" spans="1:16" ht="15.75" x14ac:dyDescent="0.25">
      <c r="A68" s="4" t="s">
        <v>174</v>
      </c>
      <c r="B68" s="59" t="s">
        <v>175</v>
      </c>
      <c r="C68" s="55">
        <v>286270</v>
      </c>
      <c r="D68" s="56">
        <f>C68/(1+$N$128)</f>
        <v>286235.8270761958</v>
      </c>
      <c r="E68" s="57">
        <v>286285</v>
      </c>
      <c r="F68" s="57">
        <v>286285</v>
      </c>
      <c r="G68" s="57">
        <v>286285</v>
      </c>
      <c r="H68" s="49">
        <v>3187</v>
      </c>
      <c r="I68" s="50">
        <v>0</v>
      </c>
      <c r="J68" s="50">
        <v>0</v>
      </c>
      <c r="K68" s="55">
        <f t="shared" si="1"/>
        <v>3187</v>
      </c>
      <c r="L68" s="60">
        <f t="shared" si="3"/>
        <v>317202</v>
      </c>
      <c r="M68" s="50">
        <v>1674.3</v>
      </c>
      <c r="N68" s="53">
        <f t="shared" si="2"/>
        <v>86305</v>
      </c>
      <c r="O68" s="61">
        <f t="shared" si="4"/>
        <v>403507</v>
      </c>
      <c r="P68" s="51">
        <f t="shared" si="5"/>
        <v>689792</v>
      </c>
    </row>
    <row r="69" spans="1:16" ht="15.75" x14ac:dyDescent="0.25">
      <c r="A69" s="1" t="s">
        <v>176</v>
      </c>
      <c r="B69" s="46" t="s">
        <v>177</v>
      </c>
      <c r="C69" s="51">
        <v>93349</v>
      </c>
      <c r="D69" s="48">
        <f>C69/(1+$N$128)</f>
        <v>93337.856644900967</v>
      </c>
      <c r="E69" s="47">
        <v>93362</v>
      </c>
      <c r="F69" s="47">
        <v>93362</v>
      </c>
      <c r="G69" s="47">
        <v>93362</v>
      </c>
      <c r="H69" s="49">
        <v>1889</v>
      </c>
      <c r="I69" s="50">
        <v>101</v>
      </c>
      <c r="J69" s="50">
        <v>0</v>
      </c>
      <c r="K69" s="51">
        <f t="shared" si="1"/>
        <v>1990</v>
      </c>
      <c r="L69" s="52">
        <f t="shared" si="3"/>
        <v>198065</v>
      </c>
      <c r="M69" s="50">
        <v>496</v>
      </c>
      <c r="N69" s="53">
        <f t="shared" si="2"/>
        <v>25567</v>
      </c>
      <c r="O69" s="53">
        <f t="shared" si="4"/>
        <v>223632</v>
      </c>
      <c r="P69" s="51">
        <f t="shared" si="5"/>
        <v>316994</v>
      </c>
    </row>
    <row r="70" spans="1:16" ht="15.75" x14ac:dyDescent="0.25">
      <c r="A70" s="1" t="s">
        <v>178</v>
      </c>
      <c r="B70" s="46" t="s">
        <v>179</v>
      </c>
      <c r="C70" s="51">
        <v>277331</v>
      </c>
      <c r="D70" s="48">
        <f>C70/(1+$N$128)</f>
        <v>277297.89415191411</v>
      </c>
      <c r="E70" s="47">
        <v>277359</v>
      </c>
      <c r="F70" s="47">
        <v>277359</v>
      </c>
      <c r="G70" s="47">
        <v>277359</v>
      </c>
      <c r="H70" s="49">
        <v>4172</v>
      </c>
      <c r="I70" s="50">
        <v>61</v>
      </c>
      <c r="J70" s="50">
        <v>0</v>
      </c>
      <c r="K70" s="51">
        <f t="shared" si="1"/>
        <v>4233</v>
      </c>
      <c r="L70" s="52">
        <f t="shared" si="3"/>
        <v>421310</v>
      </c>
      <c r="M70" s="50">
        <v>1156.3000000000002</v>
      </c>
      <c r="N70" s="53">
        <f t="shared" si="2"/>
        <v>59603</v>
      </c>
      <c r="O70" s="53">
        <f t="shared" si="4"/>
        <v>480913</v>
      </c>
      <c r="P70" s="51">
        <f t="shared" si="5"/>
        <v>758272</v>
      </c>
    </row>
    <row r="71" spans="1:16" ht="15.75" x14ac:dyDescent="0.25">
      <c r="A71" s="1" t="s">
        <v>180</v>
      </c>
      <c r="B71" s="63" t="s">
        <v>181</v>
      </c>
      <c r="C71" s="64">
        <v>64388.669055757702</v>
      </c>
      <c r="D71" s="65">
        <f>C71/(1+$N$128)+N125-352</f>
        <v>68674.32592161154</v>
      </c>
      <c r="E71" s="47">
        <v>68791</v>
      </c>
      <c r="F71" s="47">
        <v>68791</v>
      </c>
      <c r="G71" s="47">
        <v>68791</v>
      </c>
      <c r="H71" s="49">
        <v>14887</v>
      </c>
      <c r="I71" s="50">
        <v>0</v>
      </c>
      <c r="J71" s="50">
        <v>0</v>
      </c>
      <c r="K71" s="66">
        <f t="shared" si="1"/>
        <v>14887</v>
      </c>
      <c r="L71" s="52">
        <f>ROUND((L$81/K$80)*K71,0)-1</f>
        <v>1481701</v>
      </c>
      <c r="M71" s="50">
        <v>4777</v>
      </c>
      <c r="N71" s="53">
        <f>ROUND((N$81/M$80)*M71,0)+1+3</f>
        <v>246243</v>
      </c>
      <c r="O71" s="53">
        <f t="shared" si="4"/>
        <v>1727944</v>
      </c>
      <c r="P71" s="51">
        <f t="shared" si="5"/>
        <v>1796735</v>
      </c>
    </row>
    <row r="72" spans="1:16" ht="15.75" x14ac:dyDescent="0.25">
      <c r="A72" s="1"/>
      <c r="B72" s="35" t="s">
        <v>182</v>
      </c>
      <c r="C72" s="67">
        <f t="shared" ref="C72:P72" si="8">SUM(C12:C71)</f>
        <v>38471768.245776519</v>
      </c>
      <c r="D72" s="68">
        <f t="shared" si="8"/>
        <v>38471469.096495047</v>
      </c>
      <c r="E72" s="68">
        <f t="shared" si="8"/>
        <v>38482799.139938273</v>
      </c>
      <c r="F72" s="68">
        <f t="shared" si="8"/>
        <v>38671814</v>
      </c>
      <c r="G72" s="69">
        <f t="shared" si="8"/>
        <v>38671814</v>
      </c>
      <c r="H72" s="69">
        <v>866510</v>
      </c>
      <c r="I72" s="70">
        <v>36566</v>
      </c>
      <c r="J72" s="70">
        <v>1245</v>
      </c>
      <c r="K72" s="71">
        <f t="shared" si="8"/>
        <v>904321</v>
      </c>
      <c r="L72" s="72">
        <f t="shared" si="8"/>
        <v>90007019</v>
      </c>
      <c r="M72" s="70">
        <v>308139.6999999999</v>
      </c>
      <c r="N72" s="72">
        <f t="shared" si="8"/>
        <v>15883592</v>
      </c>
      <c r="O72" s="73">
        <f t="shared" si="8"/>
        <v>105890611</v>
      </c>
      <c r="P72" s="73">
        <f t="shared" si="8"/>
        <v>144562425</v>
      </c>
    </row>
    <row r="73" spans="1:16" ht="15.75" x14ac:dyDescent="0.25">
      <c r="A73" s="1"/>
      <c r="B73" s="17" t="s">
        <v>183</v>
      </c>
      <c r="C73" s="44"/>
      <c r="D73" s="44"/>
      <c r="E73" s="44"/>
      <c r="F73" s="44"/>
      <c r="G73" s="44"/>
      <c r="H73" s="51"/>
      <c r="I73" s="55"/>
      <c r="J73" s="55"/>
      <c r="K73" s="44"/>
      <c r="L73" s="44"/>
      <c r="M73" s="55"/>
      <c r="N73" s="44"/>
      <c r="O73" s="44"/>
      <c r="P73" s="44"/>
    </row>
    <row r="74" spans="1:16" ht="15.75" x14ac:dyDescent="0.25">
      <c r="A74" s="1" t="s">
        <v>184</v>
      </c>
      <c r="B74" s="46" t="s">
        <v>185</v>
      </c>
      <c r="C74" s="55">
        <v>118242</v>
      </c>
      <c r="D74" s="56">
        <f>C74/(1+$N$128)</f>
        <v>118227.88509149944</v>
      </c>
      <c r="E74" s="56">
        <v>118230</v>
      </c>
      <c r="F74" s="56">
        <v>118230</v>
      </c>
      <c r="G74" s="56">
        <v>118230</v>
      </c>
      <c r="H74" s="50">
        <v>0</v>
      </c>
      <c r="I74" s="50">
        <v>0</v>
      </c>
      <c r="J74" s="50">
        <v>197</v>
      </c>
      <c r="K74" s="55">
        <f>SUM(H74:J74)</f>
        <v>197</v>
      </c>
      <c r="L74" s="74">
        <f>(ROUND((L$81/K$80)*K74,0))</f>
        <v>19607</v>
      </c>
      <c r="M74" s="55">
        <v>67.099999999999994</v>
      </c>
      <c r="N74" s="55">
        <f>ROUND((N$81/M$80)*M74,0)</f>
        <v>3459</v>
      </c>
      <c r="O74" s="55">
        <f>ROUND(L74+N74,0)</f>
        <v>23066</v>
      </c>
      <c r="P74" s="51">
        <f t="shared" ref="P74:P77" si="9">ROUND(G74+O74,0)</f>
        <v>141296</v>
      </c>
    </row>
    <row r="75" spans="1:16" ht="15.75" x14ac:dyDescent="0.25">
      <c r="A75" s="34" t="s">
        <v>186</v>
      </c>
      <c r="B75" s="59" t="s">
        <v>187</v>
      </c>
      <c r="C75" s="55">
        <v>13484</v>
      </c>
      <c r="D75" s="56">
        <f>C75/(1+$N$128)</f>
        <v>13482.390373757027</v>
      </c>
      <c r="E75" s="56">
        <v>13483</v>
      </c>
      <c r="F75" s="56">
        <v>13483</v>
      </c>
      <c r="G75" s="56">
        <v>13483</v>
      </c>
      <c r="H75" s="50">
        <v>0</v>
      </c>
      <c r="I75" s="54" t="s">
        <v>67</v>
      </c>
      <c r="J75" s="54" t="s">
        <v>67</v>
      </c>
      <c r="K75" s="55">
        <v>13</v>
      </c>
      <c r="L75" s="74">
        <f>(ROUND((L$81/K$80)*K75,0))</f>
        <v>1294</v>
      </c>
      <c r="M75" s="75" t="s">
        <v>67</v>
      </c>
      <c r="N75" s="55">
        <v>227</v>
      </c>
      <c r="O75" s="55">
        <f t="shared" ref="O75:O77" si="10">ROUND(L75+N75,0)</f>
        <v>1521</v>
      </c>
      <c r="P75" s="51">
        <f t="shared" si="9"/>
        <v>15004</v>
      </c>
    </row>
    <row r="76" spans="1:16" ht="15" customHeight="1" x14ac:dyDescent="0.25">
      <c r="A76" s="58" t="s">
        <v>188</v>
      </c>
      <c r="B76" s="59" t="s">
        <v>189</v>
      </c>
      <c r="C76" s="55">
        <v>15040</v>
      </c>
      <c r="D76" s="56">
        <f>C76/(1+$N$128)</f>
        <v>15038.204629286984</v>
      </c>
      <c r="E76" s="56">
        <v>15041</v>
      </c>
      <c r="F76" s="56">
        <v>15041</v>
      </c>
      <c r="G76" s="56">
        <v>15041</v>
      </c>
      <c r="H76" s="50">
        <v>181</v>
      </c>
      <c r="I76" s="50">
        <v>0</v>
      </c>
      <c r="J76" s="50">
        <v>0</v>
      </c>
      <c r="K76" s="55">
        <f>SUM(H76:J76)</f>
        <v>181</v>
      </c>
      <c r="L76" s="74">
        <f>(ROUND((L$81/K$80)*K76,0))</f>
        <v>18015</v>
      </c>
      <c r="M76" s="55">
        <v>61.7</v>
      </c>
      <c r="N76" s="55">
        <f t="shared" ref="N76:N78" si="11">ROUND((N$81/M$80)*M76,0)</f>
        <v>3180</v>
      </c>
      <c r="O76" s="55">
        <f t="shared" si="10"/>
        <v>21195</v>
      </c>
      <c r="P76" s="51">
        <f t="shared" si="9"/>
        <v>36236</v>
      </c>
    </row>
    <row r="77" spans="1:16" ht="15.75" x14ac:dyDescent="0.25">
      <c r="A77" s="58" t="s">
        <v>190</v>
      </c>
      <c r="B77" s="76" t="s">
        <v>191</v>
      </c>
      <c r="C77" s="77">
        <v>95942</v>
      </c>
      <c r="D77" s="78">
        <f>C77/(1+$N$128)</f>
        <v>95930.547110575251</v>
      </c>
      <c r="E77" s="56">
        <v>95936</v>
      </c>
      <c r="F77" s="56">
        <v>95936</v>
      </c>
      <c r="G77" s="56">
        <v>95936</v>
      </c>
      <c r="H77" s="50">
        <v>343</v>
      </c>
      <c r="I77" s="50">
        <v>0</v>
      </c>
      <c r="J77" s="50">
        <v>0</v>
      </c>
      <c r="K77" s="77">
        <f>SUM(H77:J77)</f>
        <v>343</v>
      </c>
      <c r="L77" s="74">
        <f>ROUND((L$81/K$80)*K77,0)</f>
        <v>34139</v>
      </c>
      <c r="M77" s="55">
        <v>116.9</v>
      </c>
      <c r="N77" s="55">
        <f t="shared" si="11"/>
        <v>6026</v>
      </c>
      <c r="O77" s="55">
        <f t="shared" si="10"/>
        <v>40165</v>
      </c>
      <c r="P77" s="51">
        <f t="shared" si="9"/>
        <v>136101</v>
      </c>
    </row>
    <row r="78" spans="1:16" ht="15.75" x14ac:dyDescent="0.25">
      <c r="A78" s="1"/>
      <c r="B78" s="35" t="s">
        <v>192</v>
      </c>
      <c r="C78" s="67">
        <f t="shared" ref="C78:O78" si="12">SUM(C74:C77)</f>
        <v>242708</v>
      </c>
      <c r="D78" s="67">
        <f t="shared" si="12"/>
        <v>242679.02720511871</v>
      </c>
      <c r="E78" s="73">
        <f t="shared" si="12"/>
        <v>242690</v>
      </c>
      <c r="F78" s="68">
        <f t="shared" si="12"/>
        <v>242690</v>
      </c>
      <c r="G78" s="79">
        <f t="shared" si="12"/>
        <v>242690</v>
      </c>
      <c r="H78" s="80">
        <v>524</v>
      </c>
      <c r="I78" s="81">
        <v>0</v>
      </c>
      <c r="J78" s="81">
        <v>210</v>
      </c>
      <c r="K78" s="71">
        <f t="shared" si="12"/>
        <v>734</v>
      </c>
      <c r="L78" s="82">
        <f t="shared" si="12"/>
        <v>73055</v>
      </c>
      <c r="M78" s="83">
        <v>250.1</v>
      </c>
      <c r="N78" s="73">
        <f t="shared" si="12"/>
        <v>12892</v>
      </c>
      <c r="O78" s="73">
        <f t="shared" si="12"/>
        <v>85947</v>
      </c>
      <c r="P78" s="73">
        <f>SUM(P74:P77)</f>
        <v>328637</v>
      </c>
    </row>
    <row r="79" spans="1:16" ht="15.75" x14ac:dyDescent="0.25">
      <c r="A79" s="1"/>
      <c r="B79" s="17"/>
      <c r="C79" s="44"/>
      <c r="D79" s="44"/>
      <c r="E79" s="44"/>
      <c r="F79" s="44"/>
      <c r="G79" s="44"/>
      <c r="H79" s="51"/>
      <c r="I79" s="55"/>
      <c r="J79" s="55"/>
      <c r="K79" s="44"/>
      <c r="L79" s="84"/>
      <c r="M79" s="55"/>
      <c r="N79" s="44"/>
      <c r="O79" s="44"/>
      <c r="P79" s="44"/>
    </row>
    <row r="80" spans="1:16" ht="15.75" x14ac:dyDescent="0.25">
      <c r="A80" s="1"/>
      <c r="B80" s="85" t="s">
        <v>193</v>
      </c>
      <c r="C80" s="86">
        <f t="shared" ref="C80:K80" si="13">C72+C78</f>
        <v>38714476.245776519</v>
      </c>
      <c r="D80" s="86">
        <f t="shared" si="13"/>
        <v>38714148.123700164</v>
      </c>
      <c r="E80" s="86">
        <f t="shared" si="13"/>
        <v>38725489.139938273</v>
      </c>
      <c r="F80" s="86">
        <f t="shared" si="13"/>
        <v>38914504</v>
      </c>
      <c r="G80" s="87">
        <f t="shared" si="13"/>
        <v>38914504</v>
      </c>
      <c r="H80" s="87">
        <v>867034</v>
      </c>
      <c r="I80" s="88">
        <v>36566</v>
      </c>
      <c r="J80" s="88">
        <v>1455</v>
      </c>
      <c r="K80" s="87">
        <f t="shared" si="13"/>
        <v>905055</v>
      </c>
      <c r="L80" s="89">
        <f>ROUND(L72+L78,1)</f>
        <v>90080074</v>
      </c>
      <c r="M80" s="88">
        <v>308389.79999999987</v>
      </c>
      <c r="N80" s="89">
        <f>N72+N78</f>
        <v>15896484</v>
      </c>
      <c r="O80" s="86">
        <f>O72+O78</f>
        <v>105976558</v>
      </c>
      <c r="P80" s="90">
        <f>P72+P78</f>
        <v>144891062</v>
      </c>
    </row>
    <row r="81" spans="1:17" ht="15.75" hidden="1" x14ac:dyDescent="0.25">
      <c r="A81" s="4"/>
      <c r="B81" s="4"/>
      <c r="C81" s="91">
        <f>[1]CTRACK15!B16</f>
        <v>38914504</v>
      </c>
      <c r="D81" s="91">
        <f>[1]CTRACK15!B16</f>
        <v>38914504</v>
      </c>
      <c r="E81" s="91">
        <f>[1]CTRACK15!B16</f>
        <v>38914504</v>
      </c>
      <c r="F81" s="91">
        <f>[1]CTRACK15!B16</f>
        <v>38914504</v>
      </c>
      <c r="G81" s="91">
        <f>[1]CTRACK15!B16</f>
        <v>38914504</v>
      </c>
      <c r="H81" s="92">
        <f>'[1]October Public Pupil 2015'!H189+'[1]DYC Count 2015'!G3</f>
        <v>867034</v>
      </c>
      <c r="I81" s="92">
        <f>'[1]October NonPublic Pupil 2015'!U419</f>
        <v>36566</v>
      </c>
      <c r="J81" s="93">
        <f>'[1]Eligible Facility 2015'!D57</f>
        <v>1455</v>
      </c>
      <c r="K81" s="4"/>
      <c r="L81" s="91">
        <f>[1]CTRACK15!B15</f>
        <v>90080074</v>
      </c>
      <c r="M81" s="92">
        <f>'[1]At Risk 2015'!F185</f>
        <v>308139.69999999995</v>
      </c>
      <c r="N81" s="91">
        <f>[1]CTRACK15!B14</f>
        <v>15896484</v>
      </c>
      <c r="O81" s="94">
        <f>L81+N81</f>
        <v>105976558</v>
      </c>
      <c r="P81" s="94">
        <f>[1]CTRACK15!B19</f>
        <v>144891062</v>
      </c>
    </row>
    <row r="82" spans="1:17" ht="15.75" x14ac:dyDescent="0.25">
      <c r="A82" s="4"/>
      <c r="B82" s="4"/>
      <c r="C82" s="94">
        <f t="shared" ref="C82:J82" si="14">C81-C80</f>
        <v>200027.75422348082</v>
      </c>
      <c r="D82" s="94">
        <f t="shared" si="14"/>
        <v>200355.87629983574</v>
      </c>
      <c r="E82" s="94">
        <f t="shared" si="14"/>
        <v>189014.86006172746</v>
      </c>
      <c r="F82" s="94">
        <f t="shared" si="14"/>
        <v>0</v>
      </c>
      <c r="G82" s="94">
        <f t="shared" si="14"/>
        <v>0</v>
      </c>
      <c r="H82" s="94">
        <f t="shared" si="14"/>
        <v>0</v>
      </c>
      <c r="I82" s="94">
        <f t="shared" si="14"/>
        <v>0</v>
      </c>
      <c r="J82" s="94">
        <f t="shared" si="14"/>
        <v>0</v>
      </c>
      <c r="K82" s="4"/>
      <c r="L82" s="94">
        <f>L81-L80</f>
        <v>0</v>
      </c>
      <c r="M82" s="94">
        <f>M81-M72</f>
        <v>0</v>
      </c>
      <c r="N82" s="94">
        <f t="shared" ref="N82" si="15">N81-N80</f>
        <v>0</v>
      </c>
      <c r="O82" s="94">
        <f>O81-O80</f>
        <v>0</v>
      </c>
      <c r="P82" s="94">
        <f>P81-P80</f>
        <v>0</v>
      </c>
    </row>
    <row r="83" spans="1:17" ht="15.75" hidden="1" x14ac:dyDescent="0.25">
      <c r="A83" s="4"/>
      <c r="B83" s="4"/>
      <c r="C83" s="95"/>
      <c r="D83" s="94"/>
      <c r="E83" s="94"/>
      <c r="F83" s="94"/>
      <c r="G83" s="94"/>
      <c r="H83" s="4"/>
      <c r="I83" s="4"/>
      <c r="J83" s="4"/>
      <c r="K83" s="4"/>
      <c r="L83" s="94"/>
      <c r="M83" s="94"/>
      <c r="N83" s="94"/>
      <c r="O83" s="94"/>
      <c r="P83" s="94"/>
    </row>
    <row r="84" spans="1:17" ht="15.75" hidden="1" x14ac:dyDescent="0.25">
      <c r="A84" s="4"/>
      <c r="B84" s="4"/>
      <c r="C84" s="95"/>
      <c r="D84" s="94"/>
      <c r="E84" s="94"/>
      <c r="F84" s="94"/>
      <c r="G84" s="94"/>
      <c r="H84" s="4"/>
      <c r="I84" s="4"/>
      <c r="J84" s="4"/>
      <c r="K84" s="4"/>
      <c r="L84" s="94"/>
      <c r="M84" s="94"/>
      <c r="N84" s="94"/>
      <c r="O84" s="94"/>
      <c r="P84" s="94"/>
    </row>
    <row r="85" spans="1:17" ht="15.75" hidden="1" x14ac:dyDescent="0.25">
      <c r="A85" s="4"/>
      <c r="B85" s="4"/>
      <c r="C85" s="95"/>
      <c r="D85" s="94"/>
      <c r="E85" s="94"/>
      <c r="F85" s="94"/>
      <c r="G85" s="94"/>
      <c r="H85" s="4"/>
      <c r="I85" s="4"/>
      <c r="J85" s="4"/>
      <c r="K85" s="4"/>
      <c r="L85" s="94"/>
      <c r="M85" s="94"/>
      <c r="N85" s="94"/>
      <c r="O85" s="94"/>
      <c r="P85" s="94"/>
    </row>
    <row r="86" spans="1:17" ht="15.75" hidden="1" x14ac:dyDescent="0.25">
      <c r="A86" s="4"/>
      <c r="B86" s="4"/>
      <c r="C86" s="95"/>
      <c r="D86" s="94"/>
      <c r="E86" s="94"/>
      <c r="F86" s="94"/>
      <c r="G86" s="94"/>
      <c r="H86" s="4"/>
      <c r="I86" s="4"/>
      <c r="J86" s="4"/>
      <c r="K86" s="4"/>
      <c r="L86" s="94"/>
      <c r="M86" s="94"/>
      <c r="N86" s="94"/>
      <c r="O86" s="94"/>
      <c r="P86" s="94"/>
    </row>
    <row r="87" spans="1:17" ht="15.75" hidden="1" x14ac:dyDescent="0.25">
      <c r="A87" s="4"/>
      <c r="B87" s="4"/>
      <c r="C87" s="95"/>
      <c r="D87" s="94"/>
      <c r="E87" s="94"/>
      <c r="F87" s="94"/>
      <c r="G87" s="94"/>
      <c r="H87" s="4"/>
      <c r="I87" s="4"/>
      <c r="J87" s="4"/>
      <c r="K87" s="4"/>
      <c r="L87" s="94"/>
      <c r="M87" s="94"/>
      <c r="N87" s="94"/>
      <c r="O87" s="94"/>
      <c r="P87" s="94"/>
    </row>
    <row r="88" spans="1:17" ht="15.75" hidden="1" x14ac:dyDescent="0.25">
      <c r="A88" s="4"/>
      <c r="B88" s="59" t="s">
        <v>151</v>
      </c>
      <c r="C88" s="55">
        <v>548164</v>
      </c>
      <c r="D88" s="55">
        <v>548098.56398992485</v>
      </c>
      <c r="E88" s="55"/>
      <c r="F88" s="55"/>
      <c r="G88" s="55"/>
      <c r="H88" s="56"/>
      <c r="I88" s="4"/>
      <c r="J88" s="4"/>
      <c r="K88" s="4"/>
      <c r="L88" s="4"/>
      <c r="M88" s="94"/>
      <c r="N88" s="4"/>
      <c r="O88" s="4"/>
      <c r="P88" s="4"/>
      <c r="Q88" s="4"/>
    </row>
    <row r="89" spans="1:17" ht="15.75" hidden="1" x14ac:dyDescent="0.25">
      <c r="A89" s="4"/>
      <c r="B89" s="59" t="s">
        <v>194</v>
      </c>
      <c r="C89" s="96">
        <f>C88/(K54+K56)</f>
        <v>45.216860513074323</v>
      </c>
      <c r="D89" s="96">
        <f>D88/(K54+K56)</f>
        <v>45.211462838400138</v>
      </c>
      <c r="E89" s="96"/>
      <c r="F89" s="96"/>
      <c r="G89" s="96"/>
      <c r="H89" s="97"/>
      <c r="I89" s="4">
        <f>K77*I82</f>
        <v>0</v>
      </c>
      <c r="J89" s="4"/>
      <c r="K89" s="98"/>
      <c r="L89" s="4"/>
      <c r="M89" s="94"/>
      <c r="N89" s="4"/>
      <c r="O89" s="4"/>
      <c r="P89" s="4"/>
      <c r="Q89" s="4"/>
    </row>
    <row r="90" spans="1:17" ht="15.75" hidden="1" x14ac:dyDescent="0.25">
      <c r="A90" s="4"/>
      <c r="B90" s="59" t="s">
        <v>195</v>
      </c>
      <c r="C90" s="94">
        <f>K54*C89</f>
        <v>165177.19145426049</v>
      </c>
      <c r="D90" s="94">
        <f>K54*D89</f>
        <v>165157.47374867569</v>
      </c>
      <c r="E90" s="94"/>
      <c r="F90" s="94"/>
      <c r="G90" s="94"/>
      <c r="H90" s="98"/>
      <c r="I90" s="98"/>
      <c r="J90" s="4"/>
      <c r="K90" s="4"/>
      <c r="L90" s="4"/>
      <c r="M90" s="4"/>
      <c r="N90" s="4"/>
      <c r="O90" s="4"/>
      <c r="P90" s="4"/>
      <c r="Q90" s="4"/>
    </row>
    <row r="91" spans="1:17" ht="15.75" hidden="1" x14ac:dyDescent="0.25">
      <c r="A91" s="4"/>
      <c r="B91" s="4" t="s">
        <v>196</v>
      </c>
      <c r="C91" s="94">
        <f>C88-C90</f>
        <v>382986.80854573951</v>
      </c>
      <c r="D91" s="94">
        <f>D88-D90</f>
        <v>382941.09024124919</v>
      </c>
      <c r="E91" s="94"/>
      <c r="F91" s="94"/>
      <c r="G91" s="9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5.75" hidden="1" x14ac:dyDescent="0.25">
      <c r="A92" s="4"/>
      <c r="B92" s="4"/>
      <c r="C92" s="4" t="s">
        <v>26</v>
      </c>
      <c r="D92" s="4" t="s">
        <v>197</v>
      </c>
      <c r="E92" s="4"/>
      <c r="F92" s="4"/>
      <c r="G92" s="4"/>
      <c r="H92" s="4" t="s">
        <v>198</v>
      </c>
      <c r="I92" s="4" t="s">
        <v>199</v>
      </c>
      <c r="J92" s="4"/>
      <c r="K92" s="4"/>
      <c r="L92" s="4"/>
      <c r="M92" s="4"/>
      <c r="N92" s="4"/>
      <c r="O92" s="4"/>
      <c r="P92" s="4"/>
    </row>
    <row r="93" spans="1:17" ht="15.75" hidden="1" x14ac:dyDescent="0.25">
      <c r="A93" s="4"/>
      <c r="B93" s="59" t="s">
        <v>173</v>
      </c>
      <c r="C93" s="55">
        <v>430441</v>
      </c>
      <c r="D93" s="56">
        <f t="shared" ref="D93:D94" si="16">C93/(1+$N$128)</f>
        <v>430389.61694381107</v>
      </c>
      <c r="E93" s="97"/>
      <c r="F93" s="97"/>
      <c r="G93" s="97"/>
      <c r="H93" s="4">
        <f>C93/K67</f>
        <v>96.902521386762714</v>
      </c>
      <c r="I93" s="4">
        <f>D93/K67</f>
        <v>96.890953836967824</v>
      </c>
      <c r="J93" s="4"/>
      <c r="K93" s="4"/>
      <c r="L93" s="4"/>
      <c r="M93" s="4"/>
      <c r="N93" s="4"/>
      <c r="O93" s="4"/>
      <c r="P93" s="4"/>
    </row>
    <row r="94" spans="1:17" ht="15.75" hidden="1" x14ac:dyDescent="0.25">
      <c r="A94" s="4"/>
      <c r="B94" s="59" t="s">
        <v>163</v>
      </c>
      <c r="C94" s="55">
        <v>224979</v>
      </c>
      <c r="D94" s="56">
        <f t="shared" si="16"/>
        <v>224952.1435699705</v>
      </c>
      <c r="E94" s="97"/>
      <c r="F94" s="97"/>
      <c r="G94" s="97"/>
      <c r="H94" s="4"/>
      <c r="I94" s="4"/>
      <c r="J94" s="4"/>
      <c r="K94" s="4"/>
      <c r="L94" s="4"/>
      <c r="M94" s="4"/>
      <c r="N94" s="4"/>
      <c r="O94" s="4"/>
      <c r="P94" s="4"/>
    </row>
    <row r="95" spans="1:17" ht="15.75" hidden="1" x14ac:dyDescent="0.25">
      <c r="A95" s="4"/>
      <c r="B95" s="4" t="s">
        <v>200</v>
      </c>
      <c r="C95" s="99">
        <f>1623*H93</f>
        <v>157272.79221071588</v>
      </c>
      <c r="D95" s="99">
        <f>1623*I93</f>
        <v>157254.01807739877</v>
      </c>
      <c r="E95" s="99"/>
      <c r="F95" s="99"/>
      <c r="G95" s="99"/>
      <c r="H95" s="4"/>
      <c r="I95" s="4"/>
      <c r="J95" s="4"/>
      <c r="K95" s="4"/>
      <c r="L95" s="4"/>
      <c r="M95" s="4"/>
      <c r="N95" s="4"/>
      <c r="O95" s="4"/>
      <c r="P95" s="4"/>
    </row>
    <row r="96" spans="1:17" ht="15.75" hidden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5.75" hidden="1" x14ac:dyDescent="0.25">
      <c r="A97" s="4"/>
      <c r="B97" s="4" t="s">
        <v>201</v>
      </c>
      <c r="C97" s="100">
        <f>C93-C95</f>
        <v>273168.20778928412</v>
      </c>
      <c r="D97" s="100">
        <f>D93-D95</f>
        <v>273135.5988664123</v>
      </c>
      <c r="E97" s="100"/>
      <c r="F97" s="100"/>
      <c r="G97" s="100"/>
      <c r="H97" s="4"/>
      <c r="I97" s="4"/>
      <c r="J97" s="4"/>
      <c r="K97" s="4"/>
      <c r="L97" s="4"/>
      <c r="M97" s="4"/>
      <c r="N97" s="4"/>
      <c r="O97" s="4"/>
      <c r="P97" s="4"/>
    </row>
    <row r="98" spans="1:16" ht="15.75" hidden="1" x14ac:dyDescent="0.25">
      <c r="A98" s="4"/>
      <c r="B98" s="4" t="s">
        <v>202</v>
      </c>
      <c r="C98" s="100">
        <f>C94+C95</f>
        <v>382251.79221071588</v>
      </c>
      <c r="D98" s="100">
        <f>D94+D95</f>
        <v>382206.16164736927</v>
      </c>
      <c r="E98" s="100"/>
      <c r="F98" s="100"/>
      <c r="G98" s="100"/>
      <c r="H98" s="4"/>
      <c r="I98" s="4"/>
      <c r="J98" s="4"/>
      <c r="K98" s="4"/>
      <c r="L98" s="4"/>
      <c r="M98" s="4"/>
      <c r="N98" s="4"/>
      <c r="O98" s="4"/>
      <c r="P98" s="4"/>
    </row>
    <row r="99" spans="1:16" ht="15.75" hidden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ht="15.75" hidden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5.75" hidden="1" x14ac:dyDescent="0.25">
      <c r="A101" s="58"/>
      <c r="B101" s="59" t="s">
        <v>203</v>
      </c>
      <c r="C101" s="55">
        <v>11409</v>
      </c>
      <c r="D101" s="56">
        <f>C101/(1+$N$128)</f>
        <v>11407.638072841435</v>
      </c>
      <c r="E101" s="97"/>
      <c r="F101" s="97"/>
      <c r="G101" s="97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5.75" hidden="1" x14ac:dyDescent="0.25">
      <c r="A102" s="4"/>
      <c r="B102" s="4" t="s">
        <v>204</v>
      </c>
      <c r="C102" s="4">
        <f>C101/$K$80</f>
        <v>1.2605863732038385E-2</v>
      </c>
      <c r="D102" s="4">
        <f>D101/$K$80</f>
        <v>1.2604358931602428E-2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5.75" hidden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5.75" hidden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5.75" hidden="1" x14ac:dyDescent="0.25">
      <c r="A105" s="4"/>
      <c r="B105" s="4" t="s">
        <v>205</v>
      </c>
      <c r="F105" s="101"/>
      <c r="G105" s="102">
        <v>1008954</v>
      </c>
      <c r="H105" s="103">
        <v>1009189</v>
      </c>
      <c r="I105" s="101"/>
      <c r="J105" s="4"/>
      <c r="K105" s="4"/>
      <c r="L105" s="4"/>
      <c r="M105" s="4"/>
      <c r="N105" s="4"/>
      <c r="O105" s="4"/>
      <c r="P105" s="4"/>
    </row>
    <row r="106" spans="1:16" ht="15.75" hidden="1" x14ac:dyDescent="0.25">
      <c r="A106" s="4"/>
      <c r="B106" s="4"/>
      <c r="F106" s="93"/>
      <c r="G106" s="104">
        <f>G105/($K$58+$K$27+$K$49+$K$52)</f>
        <v>35.789932957326805</v>
      </c>
      <c r="H106" s="104">
        <f>H105/($K$58+$K$27+$K$49+$K$52)</f>
        <v>35.798268951083678</v>
      </c>
      <c r="I106" s="105"/>
      <c r="J106" s="4"/>
      <c r="K106" s="4"/>
      <c r="L106" s="4"/>
      <c r="M106" s="4"/>
      <c r="N106" s="4"/>
      <c r="O106" s="4"/>
      <c r="P106" s="4"/>
    </row>
    <row r="107" spans="1:16" ht="15.75" hidden="1" x14ac:dyDescent="0.25">
      <c r="A107" s="4"/>
      <c r="B107" s="4" t="s">
        <v>206</v>
      </c>
      <c r="F107" s="106"/>
      <c r="G107" s="102">
        <f>$K$27*$G$106</f>
        <v>264451.81462168775</v>
      </c>
      <c r="H107" s="102">
        <f>$K$27*$H$106</f>
        <v>264513.40927955729</v>
      </c>
      <c r="I107" s="106"/>
      <c r="J107" s="4"/>
      <c r="K107" s="4"/>
      <c r="L107" s="4"/>
      <c r="M107" s="4"/>
      <c r="N107" s="4"/>
      <c r="O107" s="4"/>
      <c r="P107" s="4"/>
    </row>
    <row r="108" spans="1:16" ht="15.75" hidden="1" x14ac:dyDescent="0.25">
      <c r="A108" s="4"/>
      <c r="B108" s="4" t="s">
        <v>207</v>
      </c>
      <c r="F108" s="106"/>
      <c r="G108" s="102">
        <f>$K$49*$G$106</f>
        <v>67213.494093859743</v>
      </c>
      <c r="H108" s="102">
        <f>$K$49*$H$106</f>
        <v>67229.14909013515</v>
      </c>
      <c r="I108" s="106"/>
      <c r="J108" s="4"/>
      <c r="K108" s="4"/>
      <c r="L108" s="4"/>
      <c r="M108" s="4"/>
      <c r="N108" s="4"/>
      <c r="O108" s="4"/>
      <c r="P108" s="4"/>
    </row>
    <row r="109" spans="1:16" ht="15.75" hidden="1" x14ac:dyDescent="0.25">
      <c r="A109" s="4"/>
      <c r="B109" s="4" t="s">
        <v>208</v>
      </c>
      <c r="F109" s="106"/>
      <c r="G109" s="102">
        <f>$K$52*$G$106</f>
        <v>121757.35192082579</v>
      </c>
      <c r="H109" s="102">
        <f>$K$52*$H$106</f>
        <v>121785.71097158667</v>
      </c>
      <c r="I109" s="106"/>
      <c r="J109" s="4"/>
      <c r="K109" s="4"/>
      <c r="L109" s="4"/>
      <c r="M109" s="4"/>
      <c r="N109" s="4"/>
      <c r="O109" s="4"/>
      <c r="P109" s="4"/>
    </row>
    <row r="110" spans="1:16" ht="15.75" hidden="1" x14ac:dyDescent="0.25">
      <c r="A110" s="4"/>
      <c r="B110" s="4" t="s">
        <v>205</v>
      </c>
      <c r="F110" s="100"/>
      <c r="G110" s="107">
        <f>$G$105-($G$107+$G$108+$G$109)</f>
        <v>555531.33936362667</v>
      </c>
      <c r="H110" s="107">
        <f>$H$105-($H$107+$H$108+$H$109)</f>
        <v>555660.73065872095</v>
      </c>
      <c r="I110" s="108"/>
      <c r="J110" s="4"/>
      <c r="K110" s="4"/>
      <c r="L110" s="4"/>
      <c r="M110" s="4"/>
      <c r="N110" s="4"/>
      <c r="O110" s="4"/>
      <c r="P110" s="4"/>
    </row>
    <row r="111" spans="1:16" ht="15.75" hidden="1" x14ac:dyDescent="0.25">
      <c r="A111" s="4"/>
      <c r="B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5.75" hidden="1" x14ac:dyDescent="0.25">
      <c r="A112" s="4"/>
      <c r="B112" s="4"/>
      <c r="D112" s="5">
        <v>36549</v>
      </c>
      <c r="F112" s="4"/>
      <c r="G112" s="4"/>
      <c r="H112" s="4"/>
      <c r="I112" s="4"/>
      <c r="J112" s="4"/>
      <c r="K112" s="4"/>
      <c r="L112" s="109" t="s">
        <v>209</v>
      </c>
      <c r="M112" s="110"/>
      <c r="N112" s="111">
        <v>83771</v>
      </c>
      <c r="O112" s="109" t="s">
        <v>209</v>
      </c>
      <c r="P112" s="110"/>
    </row>
    <row r="113" spans="1:16" ht="15.75" hidden="1" x14ac:dyDescent="0.25">
      <c r="A113" s="4"/>
      <c r="B113" s="4"/>
      <c r="F113" s="4"/>
      <c r="G113" s="4"/>
      <c r="H113" s="4"/>
      <c r="I113" s="4"/>
      <c r="J113" s="4"/>
      <c r="K113" s="4"/>
      <c r="L113" s="112" t="s">
        <v>210</v>
      </c>
      <c r="M113" s="113"/>
      <c r="N113" s="114">
        <f>K80</f>
        <v>905055</v>
      </c>
      <c r="O113" s="112" t="s">
        <v>210</v>
      </c>
      <c r="P113" s="113"/>
    </row>
    <row r="114" spans="1:16" ht="15.75" hidden="1" x14ac:dyDescent="0.25">
      <c r="A114" s="4"/>
      <c r="B114" s="4"/>
      <c r="F114" s="4"/>
      <c r="G114" s="4"/>
      <c r="H114" s="4"/>
      <c r="I114" s="4"/>
      <c r="J114" s="4"/>
      <c r="K114" s="4"/>
      <c r="L114" s="112"/>
      <c r="M114" s="113"/>
      <c r="N114" s="114"/>
      <c r="O114" s="112"/>
      <c r="P114" s="113"/>
    </row>
    <row r="115" spans="1:16" ht="15.75" hidden="1" x14ac:dyDescent="0.25">
      <c r="A115" s="4"/>
      <c r="B115" s="4"/>
      <c r="F115" s="4"/>
      <c r="G115" s="4"/>
      <c r="H115" s="47">
        <v>749382</v>
      </c>
      <c r="I115" s="4"/>
      <c r="J115" s="4"/>
      <c r="K115" s="4"/>
      <c r="L115" s="112" t="s">
        <v>211</v>
      </c>
      <c r="M115" s="113"/>
      <c r="N115" s="114">
        <f>C81</f>
        <v>38914504</v>
      </c>
      <c r="O115" s="112" t="s">
        <v>211</v>
      </c>
      <c r="P115" s="113"/>
    </row>
    <row r="116" spans="1:16" ht="15.75" hidden="1" x14ac:dyDescent="0.25">
      <c r="A116" s="4"/>
      <c r="B116" s="4"/>
      <c r="F116" s="4"/>
      <c r="G116" s="4"/>
      <c r="H116" s="115">
        <f>H115/(I116)</f>
        <v>379.818550430816</v>
      </c>
      <c r="I116" s="116">
        <f>SUM('[1]Mountain Split'!Y5:Y14)</f>
        <v>1973</v>
      </c>
      <c r="J116" s="4"/>
      <c r="K116" s="4"/>
      <c r="L116" s="112" t="s">
        <v>212</v>
      </c>
      <c r="M116" s="113"/>
      <c r="N116" s="114">
        <v>83771</v>
      </c>
      <c r="O116" s="112" t="s">
        <v>212</v>
      </c>
      <c r="P116" s="113"/>
    </row>
    <row r="117" spans="1:16" ht="15.75" hidden="1" x14ac:dyDescent="0.25">
      <c r="A117" s="4"/>
      <c r="B117" s="4" t="s">
        <v>205</v>
      </c>
      <c r="F117" s="4"/>
      <c r="G117" s="4" t="s">
        <v>154</v>
      </c>
      <c r="H117" s="117">
        <f>I117*$H$116</f>
        <v>562511.2731880385</v>
      </c>
      <c r="I117" s="118">
        <f>SUMIF('[1]Mountain Split'!D:D,'2017 Allocations POST TO WEB'!G117,'[1]Mountain Split'!Y:Y)</f>
        <v>1481</v>
      </c>
      <c r="J117" s="4"/>
      <c r="K117" s="4"/>
      <c r="L117" s="112"/>
      <c r="M117" s="113"/>
      <c r="N117" s="114"/>
      <c r="O117" s="112"/>
      <c r="P117" s="113"/>
    </row>
    <row r="118" spans="1:16" ht="15.75" hidden="1" x14ac:dyDescent="0.25">
      <c r="A118" s="4"/>
      <c r="B118" s="4" t="s">
        <v>207</v>
      </c>
      <c r="F118" s="4"/>
      <c r="G118" s="4" t="s">
        <v>136</v>
      </c>
      <c r="H118" s="117">
        <f>I118*$H$116</f>
        <v>52794.778509883421</v>
      </c>
      <c r="I118" s="118">
        <f>SUMIF('[1]Mountain Split'!D:D,'2017 Allocations POST TO WEB'!G118,'[1]Mountain Split'!Y:Y)</f>
        <v>139</v>
      </c>
      <c r="J118" s="4"/>
      <c r="K118" s="4"/>
      <c r="L118" s="112" t="s">
        <v>213</v>
      </c>
      <c r="M118" s="113"/>
      <c r="N118" s="119">
        <f>N115/N116</f>
        <v>464.53431378400637</v>
      </c>
      <c r="O118" s="112" t="s">
        <v>213</v>
      </c>
      <c r="P118" s="113"/>
    </row>
    <row r="119" spans="1:16" ht="15.75" hidden="1" x14ac:dyDescent="0.25">
      <c r="A119" s="4"/>
      <c r="B119" s="4" t="s">
        <v>208</v>
      </c>
      <c r="F119" s="4"/>
      <c r="G119" s="4" t="s">
        <v>142</v>
      </c>
      <c r="H119" s="117">
        <f>I119*$H$116</f>
        <v>134075.94830207806</v>
      </c>
      <c r="I119" s="118">
        <f>SUMIF('[1]Mountain Split'!D:D,'2017 Allocations POST TO WEB'!G119,'[1]Mountain Split'!Y:Y)</f>
        <v>353</v>
      </c>
      <c r="J119" s="4"/>
      <c r="K119" s="4"/>
      <c r="L119" s="112"/>
      <c r="M119" s="113"/>
      <c r="N119" s="114"/>
      <c r="O119" s="112"/>
      <c r="P119" s="113"/>
    </row>
    <row r="120" spans="1:16" ht="15.75" hidden="1" x14ac:dyDescent="0.25">
      <c r="A120" s="4"/>
      <c r="B120" s="4"/>
      <c r="F120" s="4"/>
      <c r="G120" s="4"/>
      <c r="H120" s="120">
        <f>SUM(H117:H119)</f>
        <v>749382</v>
      </c>
      <c r="I120" s="4"/>
      <c r="J120" s="4"/>
      <c r="K120" s="4"/>
      <c r="L120" s="121" t="s">
        <v>214</v>
      </c>
      <c r="M120" s="113"/>
      <c r="N120" s="122">
        <f>N112/N113</f>
        <v>9.2559015750424009E-2</v>
      </c>
      <c r="O120" s="121" t="s">
        <v>214</v>
      </c>
      <c r="P120" s="113"/>
    </row>
    <row r="121" spans="1:16" ht="15.75" hidden="1" x14ac:dyDescent="0.25">
      <c r="A121" s="4"/>
      <c r="B121" s="4"/>
      <c r="F121" s="4"/>
      <c r="G121" s="4"/>
      <c r="H121" s="95">
        <f>H120-H115</f>
        <v>0</v>
      </c>
      <c r="I121" s="4"/>
      <c r="J121" s="4"/>
      <c r="K121" s="4"/>
      <c r="L121" s="109"/>
      <c r="M121" s="123"/>
      <c r="N121" s="111"/>
      <c r="O121" s="109"/>
      <c r="P121" s="123"/>
    </row>
    <row r="122" spans="1:16" ht="15.75" hidden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12" t="s">
        <v>215</v>
      </c>
      <c r="M122" s="113"/>
      <c r="N122" s="122">
        <f>351/6133</f>
        <v>5.7231371270177731E-2</v>
      </c>
      <c r="O122" s="112" t="s">
        <v>215</v>
      </c>
      <c r="P122" s="113"/>
    </row>
    <row r="123" spans="1:16" ht="15.75" hidden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12" t="s">
        <v>216</v>
      </c>
      <c r="M123" s="113"/>
      <c r="N123" s="114">
        <v>64</v>
      </c>
      <c r="O123" s="112" t="s">
        <v>217</v>
      </c>
      <c r="P123" s="113"/>
    </row>
    <row r="124" spans="1:16" ht="15.75" hidden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12" t="s">
        <v>218</v>
      </c>
      <c r="M124" s="113"/>
      <c r="N124" s="114">
        <v>10</v>
      </c>
      <c r="O124" s="112" t="s">
        <v>218</v>
      </c>
      <c r="P124" s="113"/>
    </row>
    <row r="125" spans="1:16" ht="15.75" hidden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24" t="s">
        <v>219</v>
      </c>
      <c r="M125" s="125"/>
      <c r="N125" s="126">
        <f>N124*N118</f>
        <v>4645.3431378400637</v>
      </c>
      <c r="O125" s="124" t="s">
        <v>219</v>
      </c>
      <c r="P125" s="125"/>
    </row>
    <row r="126" spans="1:16" ht="15.75" hidden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27"/>
      <c r="M126" s="128"/>
      <c r="N126" s="128"/>
      <c r="O126" s="127"/>
      <c r="P126" s="128"/>
    </row>
    <row r="127" spans="1:16" ht="15.75" hidden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13" t="s">
        <v>220</v>
      </c>
      <c r="M127" s="128"/>
      <c r="N127" s="128">
        <f>N115-N125</f>
        <v>38909858.656862162</v>
      </c>
      <c r="O127" s="113" t="s">
        <v>220</v>
      </c>
      <c r="P127" s="128"/>
    </row>
    <row r="128" spans="1:16" ht="15.75" hidden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27"/>
      <c r="M128" s="128"/>
      <c r="N128" s="129">
        <f>N125/N127</f>
        <v>1.1938730435405498E-4</v>
      </c>
      <c r="O128" s="127"/>
      <c r="P128" s="128"/>
    </row>
    <row r="129" spans="1:16" ht="15.75" hidden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13" t="s">
        <v>221</v>
      </c>
      <c r="M129" s="128"/>
      <c r="N129" s="128" t="e">
        <f>#REF!-N125</f>
        <v>#REF!</v>
      </c>
      <c r="O129" s="128"/>
      <c r="P129" s="127"/>
    </row>
    <row r="130" spans="1:16" ht="15.75" hidden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27"/>
      <c r="M130" s="128"/>
      <c r="N130" s="128"/>
      <c r="O130" s="128"/>
      <c r="P130" s="127"/>
    </row>
    <row r="131" spans="1:16" ht="15.75" hidden="1" x14ac:dyDescent="0.25">
      <c r="B131" s="4"/>
      <c r="C131" s="4"/>
      <c r="D131" s="4"/>
      <c r="E131" s="4"/>
      <c r="J131" s="4"/>
      <c r="K131" s="4"/>
      <c r="L131" s="130" t="s">
        <v>222</v>
      </c>
      <c r="M131" s="128"/>
      <c r="N131" s="128"/>
      <c r="O131" s="128"/>
      <c r="P131" s="127"/>
    </row>
    <row r="132" spans="1:16" ht="15.75" hidden="1" x14ac:dyDescent="0.25">
      <c r="B132" s="4"/>
      <c r="C132" s="4"/>
      <c r="D132" s="4"/>
      <c r="E132" s="4"/>
      <c r="J132" s="4"/>
      <c r="K132" s="4"/>
      <c r="L132" s="130" t="s">
        <v>223</v>
      </c>
      <c r="M132" s="128"/>
      <c r="N132" s="128"/>
      <c r="O132" s="128"/>
      <c r="P132" s="127"/>
    </row>
    <row r="133" spans="1:16" ht="15.75" hidden="1" x14ac:dyDescent="0.25">
      <c r="J133" s="4"/>
      <c r="K133" s="4"/>
      <c r="L133" s="130" t="s">
        <v>224</v>
      </c>
      <c r="M133" s="128"/>
      <c r="N133" s="128"/>
      <c r="O133" s="128"/>
      <c r="P133" s="127"/>
    </row>
    <row r="134" spans="1:16" ht="15.75" hidden="1" x14ac:dyDescent="0.25">
      <c r="J134" s="4"/>
      <c r="K134" s="4"/>
      <c r="L134" s="130" t="s">
        <v>225</v>
      </c>
      <c r="M134" s="128"/>
      <c r="N134" s="128"/>
      <c r="O134" s="128"/>
      <c r="P134" s="127"/>
    </row>
    <row r="135" spans="1:16" ht="15.75" hidden="1" x14ac:dyDescent="0.25">
      <c r="J135" s="4"/>
      <c r="K135" s="4"/>
      <c r="L135" s="130" t="s">
        <v>226</v>
      </c>
      <c r="M135" s="128"/>
      <c r="N135" s="128"/>
      <c r="O135" s="128"/>
      <c r="P135" s="127"/>
    </row>
    <row r="136" spans="1:16" ht="15.75" hidden="1" x14ac:dyDescent="0.25">
      <c r="J136" s="4"/>
      <c r="K136" s="4"/>
      <c r="L136" s="130" t="s">
        <v>227</v>
      </c>
      <c r="M136" s="128"/>
      <c r="N136" s="128"/>
      <c r="O136" s="128"/>
      <c r="P136" s="127"/>
    </row>
    <row r="137" spans="1:16" hidden="1" x14ac:dyDescent="0.25"/>
    <row r="138" spans="1:16" hidden="1" x14ac:dyDescent="0.25"/>
  </sheetData>
  <sheetProtection algorithmName="SHA-512" hashValue="9f7tZSWQQZE0UR11hbwjwGG829gRWGHge7pJ77JZ2EfeNVMUCv/mdoMrxupOl3fIQtaASBkxKZ1j0AUeKa0Onw==" saltValue="3bbN/QsmBeuB+SncRXyIUA==" spinCount="100000" sheet="1" objects="1" scenarios="1"/>
  <autoFilter ref="A10:P82"/>
  <mergeCells count="6">
    <mergeCell ref="H4:K4"/>
    <mergeCell ref="M4:N4"/>
    <mergeCell ref="H5:K5"/>
    <mergeCell ref="M5:N5"/>
    <mergeCell ref="H6:K6"/>
    <mergeCell ref="M6:N6"/>
  </mergeCells>
  <pageMargins left="0.7" right="0.7" top="0.75" bottom="0.75" header="0.3" footer="0.3"/>
  <pageSetup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Allocations POST TO WEB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Schneiderman, David</dc:creator>
  <cp:lastModifiedBy>Schneiderman, David</cp:lastModifiedBy>
  <dcterms:created xsi:type="dcterms:W3CDTF">2016-05-02T20:38:19Z</dcterms:created>
  <dcterms:modified xsi:type="dcterms:W3CDTF">2016-05-02T20:39:20Z</dcterms:modified>
</cp:coreProperties>
</file>