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EB1CC398-1CC0-4D37-A958-927D53B8FFBB}" xr6:coauthVersionLast="47" xr6:coauthVersionMax="47" xr10:uidLastSave="{00000000-0000-0000-0000-000000000000}"/>
  <workbookProtection workbookAlgorithmName="SHA-512" workbookHashValue="+Zfrtwvng7qd+Klw/JSRK0Y3tCYGOoo2uvzESszhrjai5ZAA70/aTThEwNXEiv/uroUGUT3I7QA6vWFk3ZRCHQ==" workbookSaltValue="m9ZyYzZfubcy2SL17PLNWw==" workbookSpinCount="100000" lockStructure="1"/>
  <bookViews>
    <workbookView xWindow="-120" yWindow="-120" windowWidth="29040" windowHeight="15840" xr2:uid="{00000000-000D-0000-FFFF-FFFF00000000}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21" r:id="rId5"/>
    <sheet name="ESSA Title III-ELL " sheetId="22" r:id="rId6"/>
    <sheet name="ESSA Title III SAI" sheetId="4" r:id="rId7"/>
    <sheet name="ESSA Title IV" sheetId="24" r:id="rId8"/>
    <sheet name="ESSA Title V-B" sheetId="18" r:id="rId9"/>
    <sheet name="NCLB Allocations" sheetId="17" state="hidden" r:id="rId10"/>
  </sheets>
  <externalReferences>
    <externalReference r:id="rId11"/>
  </externalReferences>
  <definedNames>
    <definedName name="_xlnm._FilterDatabase" localSheetId="1" hidden="1">'ESSA Title I-A Formula'!$A$11:$G$194</definedName>
    <definedName name="_xlnm._FilterDatabase" localSheetId="4" hidden="1">'ESSA Title II-A Formula'!$A$11:$AR$194</definedName>
    <definedName name="_xlnm._FilterDatabase" localSheetId="6" hidden="1">'ESSA Title III SAI'!$A$11:$AM$47</definedName>
    <definedName name="_xlnm._FilterDatabase" localSheetId="5" hidden="1">'ESSA Title III-ELL '!$A$11:$BC$196</definedName>
    <definedName name="_xlnm._FilterDatabase" localSheetId="7" hidden="1">'ESSA Title IV'!$A$11:$AM$194</definedName>
    <definedName name="_xlnm._FilterDatabase" localSheetId="8" hidden="1">'ESSA Title V-B'!$C$12:$C$31</definedName>
    <definedName name="_xlnm._FilterDatabase" localSheetId="0" hidden="1">'SUMMARY OF FORMULA GRANT'!$A$3:$J$192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" i="11" l="1"/>
  <c r="AH12" i="11"/>
  <c r="AH24" i="24"/>
  <c r="AH15" i="22"/>
  <c r="AG21" i="18"/>
  <c r="AF22" i="18"/>
  <c r="AE51" i="24"/>
  <c r="AE12" i="4"/>
  <c r="AE102" i="22"/>
  <c r="AE102" i="21"/>
  <c r="AE60" i="21"/>
  <c r="AE102" i="1"/>
  <c r="AE18" i="4"/>
  <c r="AE37" i="21"/>
  <c r="AE36" i="21"/>
  <c r="AE71" i="1"/>
  <c r="AE48" i="1"/>
  <c r="AD178" i="24"/>
  <c r="AD36" i="24"/>
  <c r="AD178" i="22"/>
  <c r="AD39" i="21"/>
  <c r="AC23" i="4"/>
  <c r="AC18" i="4"/>
  <c r="AC71" i="24"/>
  <c r="AC61" i="24"/>
  <c r="AC51" i="24"/>
  <c r="AC37" i="24"/>
  <c r="AC71" i="21"/>
  <c r="AC61" i="21"/>
  <c r="AC37" i="21"/>
  <c r="AC71" i="22"/>
  <c r="AC61" i="22"/>
  <c r="AC61" i="1"/>
  <c r="AB71" i="1"/>
  <c r="AA190" i="21"/>
  <c r="AA12" i="11"/>
  <c r="AA17" i="10"/>
  <c r="AA12" i="24"/>
  <c r="AA101" i="21"/>
  <c r="AA43" i="21"/>
  <c r="AA39" i="21"/>
  <c r="AA194" i="22"/>
  <c r="AA101" i="1"/>
  <c r="Z26" i="24" l="1"/>
  <c r="Z149" i="21"/>
  <c r="Z24" i="21"/>
  <c r="Z19" i="22"/>
  <c r="Z149" i="1"/>
  <c r="Z26" i="1"/>
  <c r="Y168" i="21"/>
  <c r="Y15" i="21"/>
  <c r="Y178" i="1"/>
  <c r="Y168" i="1"/>
  <c r="X17" i="18"/>
  <c r="X63" i="24"/>
  <c r="X13" i="24"/>
  <c r="X196" i="24" s="1"/>
  <c r="X128" i="21"/>
  <c r="X13" i="21"/>
  <c r="X194" i="22"/>
  <c r="X128" i="22"/>
  <c r="X63" i="22"/>
  <c r="X128" i="1"/>
  <c r="X13" i="1"/>
  <c r="W36" i="24"/>
  <c r="W76" i="21"/>
  <c r="W36" i="21"/>
  <c r="W19" i="21"/>
  <c r="W26" i="21"/>
  <c r="W50" i="22"/>
  <c r="W26" i="22"/>
  <c r="W22" i="1"/>
  <c r="V50" i="24"/>
  <c r="V50" i="21"/>
  <c r="V19" i="1"/>
  <c r="U196" i="21"/>
  <c r="U194" i="1"/>
  <c r="U128" i="1"/>
  <c r="U75" i="1"/>
  <c r="T12" i="10"/>
  <c r="U196" i="24"/>
  <c r="V196" i="24"/>
  <c r="W196" i="24"/>
  <c r="T160" i="21"/>
  <c r="T76" i="21"/>
  <c r="T51" i="21"/>
  <c r="T156" i="22"/>
  <c r="T51" i="22"/>
  <c r="T160" i="1" l="1"/>
  <c r="T103" i="1"/>
  <c r="T76" i="1"/>
  <c r="T51" i="1"/>
  <c r="T28" i="1"/>
  <c r="T196" i="24" l="1"/>
  <c r="T63" i="24"/>
  <c r="S16" i="10" l="1"/>
  <c r="S136" i="21"/>
  <c r="S118" i="21"/>
  <c r="S106" i="21"/>
  <c r="S87" i="21"/>
  <c r="S75" i="21"/>
  <c r="S169" i="1"/>
  <c r="S154" i="1"/>
  <c r="S149" i="1"/>
  <c r="S136" i="1"/>
  <c r="S118" i="1"/>
  <c r="S108" i="1"/>
  <c r="S106" i="1"/>
  <c r="S98" i="1"/>
  <c r="S87" i="1"/>
  <c r="S86" i="1"/>
  <c r="S80" i="1"/>
  <c r="S75" i="1" l="1"/>
  <c r="F33" i="1"/>
  <c r="S12" i="1"/>
  <c r="S196" i="24"/>
  <c r="S118" i="24" l="1"/>
  <c r="S98" i="24"/>
  <c r="S87" i="24"/>
  <c r="S75" i="24"/>
  <c r="S12" i="24" l="1"/>
  <c r="S19" i="18"/>
  <c r="S18" i="18"/>
  <c r="S35" i="4"/>
  <c r="S194" i="22"/>
  <c r="S98" i="22"/>
  <c r="S12" i="22"/>
  <c r="R12" i="18" l="1"/>
  <c r="R196" i="24"/>
  <c r="R194" i="24"/>
  <c r="R119" i="21"/>
  <c r="R18" i="21"/>
  <c r="R13" i="21"/>
  <c r="R18" i="22" l="1"/>
  <c r="R13" i="22"/>
  <c r="R13" i="1"/>
  <c r="R194" i="1" l="1"/>
  <c r="R71" i="21" l="1"/>
  <c r="Q149" i="24" l="1"/>
  <c r="Q89" i="24"/>
  <c r="Q196" i="24"/>
  <c r="Q63" i="21"/>
  <c r="Q149" i="1" l="1"/>
  <c r="Q63" i="1"/>
  <c r="Q28" i="1"/>
  <c r="Q18" i="1"/>
  <c r="P25" i="18" l="1"/>
  <c r="P194" i="24"/>
  <c r="P145" i="24"/>
  <c r="P31" i="24"/>
  <c r="P182" i="21"/>
  <c r="P145" i="21"/>
  <c r="P31" i="21"/>
  <c r="P145" i="1" l="1"/>
  <c r="P86" i="1"/>
  <c r="P31" i="1" l="1"/>
  <c r="P196" i="24" l="1"/>
  <c r="E192" i="22" l="1"/>
  <c r="O196" i="24" l="1"/>
  <c r="O54" i="21"/>
  <c r="O28" i="21"/>
  <c r="O14" i="21"/>
  <c r="O54" i="22"/>
  <c r="O14" i="22"/>
  <c r="O122" i="1" l="1"/>
  <c r="O54" i="1"/>
  <c r="O28" i="1"/>
  <c r="O14" i="1"/>
  <c r="N196" i="24" l="1"/>
  <c r="N97" i="24"/>
  <c r="N64" i="24"/>
  <c r="F25" i="4"/>
  <c r="F20" i="4"/>
  <c r="F21" i="4"/>
  <c r="N97" i="22"/>
  <c r="N97" i="21" l="1"/>
  <c r="N64" i="21"/>
  <c r="N97" i="1"/>
  <c r="N64" i="1"/>
  <c r="E32" i="4" l="1"/>
  <c r="M25" i="18" l="1"/>
  <c r="M196" i="24"/>
  <c r="M145" i="24"/>
  <c r="M166" i="22"/>
  <c r="M166" i="21"/>
  <c r="M145" i="21"/>
  <c r="M63" i="21"/>
  <c r="M45" i="21"/>
  <c r="M166" i="1"/>
  <c r="M145" i="1"/>
  <c r="M63" i="1"/>
  <c r="M39" i="1"/>
  <c r="L196" i="24" l="1"/>
  <c r="H49" i="4" l="1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F47" i="4"/>
  <c r="D81" i="7"/>
  <c r="K196" i="24"/>
  <c r="C196" i="1" l="1"/>
  <c r="E194" i="1"/>
  <c r="E193" i="1"/>
  <c r="E192" i="1"/>
  <c r="E191" i="1"/>
  <c r="E190" i="1"/>
  <c r="E187" i="1"/>
  <c r="E186" i="1"/>
  <c r="E184" i="1"/>
  <c r="E182" i="1"/>
  <c r="E181" i="1"/>
  <c r="E179" i="1"/>
  <c r="E178" i="1"/>
  <c r="E177" i="1"/>
  <c r="E176" i="1"/>
  <c r="E175" i="1"/>
  <c r="E169" i="1"/>
  <c r="E168" i="1"/>
  <c r="E167" i="1"/>
  <c r="E166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8" i="1"/>
  <c r="E126" i="1"/>
  <c r="E125" i="1"/>
  <c r="E124" i="1"/>
  <c r="E123" i="1"/>
  <c r="E122" i="1"/>
  <c r="E121" i="1"/>
  <c r="E120" i="1"/>
  <c r="E119" i="1"/>
  <c r="E118" i="1"/>
  <c r="E117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G33" i="1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C196" i="21"/>
  <c r="E194" i="21"/>
  <c r="E193" i="21"/>
  <c r="E192" i="21"/>
  <c r="E191" i="21"/>
  <c r="E190" i="21"/>
  <c r="E187" i="21"/>
  <c r="E186" i="21"/>
  <c r="E182" i="21"/>
  <c r="E181" i="21"/>
  <c r="E179" i="21"/>
  <c r="E178" i="21"/>
  <c r="E177" i="21"/>
  <c r="E176" i="21"/>
  <c r="E175" i="21"/>
  <c r="E169" i="21"/>
  <c r="E168" i="21"/>
  <c r="E167" i="21"/>
  <c r="E166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1" i="21"/>
  <c r="E140" i="21"/>
  <c r="E139" i="21"/>
  <c r="E138" i="21"/>
  <c r="E137" i="21"/>
  <c r="E136" i="21"/>
  <c r="E135" i="21"/>
  <c r="E134" i="21"/>
  <c r="E133" i="21"/>
  <c r="E132" i="21"/>
  <c r="E131" i="21"/>
  <c r="E128" i="21"/>
  <c r="E126" i="21"/>
  <c r="E125" i="21"/>
  <c r="E124" i="21"/>
  <c r="E123" i="21"/>
  <c r="E122" i="21"/>
  <c r="E121" i="21"/>
  <c r="E120" i="21"/>
  <c r="E119" i="21"/>
  <c r="E118" i="21"/>
  <c r="E117" i="21"/>
  <c r="E115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8" i="21"/>
  <c r="E57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6" i="21"/>
  <c r="E24" i="21"/>
  <c r="E23" i="21"/>
  <c r="E22" i="21"/>
  <c r="E21" i="21"/>
  <c r="E20" i="21"/>
  <c r="E19" i="21"/>
  <c r="E18" i="21"/>
  <c r="E15" i="21"/>
  <c r="E14" i="21"/>
  <c r="E13" i="21"/>
  <c r="E12" i="21"/>
  <c r="C4" i="21"/>
  <c r="C33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C196" i="24"/>
  <c r="E194" i="24"/>
  <c r="E193" i="24"/>
  <c r="E192" i="24"/>
  <c r="E191" i="24"/>
  <c r="E190" i="24"/>
  <c r="E187" i="24"/>
  <c r="E186" i="24"/>
  <c r="E182" i="24"/>
  <c r="E181" i="24"/>
  <c r="E179" i="24"/>
  <c r="E178" i="24"/>
  <c r="E177" i="24"/>
  <c r="E176" i="24"/>
  <c r="E175" i="24"/>
  <c r="E168" i="24"/>
  <c r="E167" i="24"/>
  <c r="E166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1" i="24"/>
  <c r="E140" i="24"/>
  <c r="E139" i="24"/>
  <c r="E138" i="24"/>
  <c r="E137" i="24"/>
  <c r="E136" i="24"/>
  <c r="E135" i="24"/>
  <c r="E134" i="24"/>
  <c r="E133" i="24"/>
  <c r="E132" i="24"/>
  <c r="E131" i="24"/>
  <c r="E128" i="24"/>
  <c r="E126" i="24"/>
  <c r="E125" i="24"/>
  <c r="E124" i="24"/>
  <c r="E123" i="24"/>
  <c r="E122" i="24"/>
  <c r="E121" i="24"/>
  <c r="E120" i="24"/>
  <c r="E119" i="24"/>
  <c r="E118" i="24"/>
  <c r="E117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8" i="24"/>
  <c r="E57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4" i="24"/>
  <c r="E23" i="24"/>
  <c r="E22" i="24"/>
  <c r="E21" i="24"/>
  <c r="E20" i="24"/>
  <c r="E19" i="24"/>
  <c r="E18" i="24"/>
  <c r="E15" i="24"/>
  <c r="E14" i="24"/>
  <c r="E13" i="24"/>
  <c r="E12" i="24"/>
  <c r="C49" i="4"/>
  <c r="E47" i="4"/>
  <c r="G47" i="4" s="1"/>
  <c r="H185" i="7" s="1"/>
  <c r="E46" i="4"/>
  <c r="E45" i="4"/>
  <c r="E44" i="4"/>
  <c r="E43" i="4"/>
  <c r="E41" i="4"/>
  <c r="E40" i="4"/>
  <c r="E39" i="4"/>
  <c r="E37" i="4"/>
  <c r="E36" i="4"/>
  <c r="E35" i="4"/>
  <c r="E30" i="4"/>
  <c r="E29" i="4"/>
  <c r="E28" i="4"/>
  <c r="E26" i="4"/>
  <c r="E25" i="4"/>
  <c r="E24" i="4"/>
  <c r="E23" i="4"/>
  <c r="E21" i="4"/>
  <c r="E20" i="4"/>
  <c r="E19" i="4"/>
  <c r="E18" i="4"/>
  <c r="E16" i="4"/>
  <c r="E15" i="4"/>
  <c r="E14" i="4"/>
  <c r="E13" i="4"/>
  <c r="E12" i="4"/>
  <c r="C198" i="22"/>
  <c r="E196" i="22"/>
  <c r="E195" i="22"/>
  <c r="E194" i="22"/>
  <c r="E193" i="22"/>
  <c r="E191" i="22"/>
  <c r="E190" i="22"/>
  <c r="E186" i="22"/>
  <c r="E181" i="22"/>
  <c r="E179" i="22"/>
  <c r="E178" i="22"/>
  <c r="E176" i="22"/>
  <c r="E166" i="22"/>
  <c r="E160" i="22"/>
  <c r="E156" i="22"/>
  <c r="E149" i="22"/>
  <c r="E148" i="22"/>
  <c r="E128" i="22"/>
  <c r="E125" i="22"/>
  <c r="E121" i="22"/>
  <c r="E119" i="22"/>
  <c r="E103" i="22"/>
  <c r="E102" i="22"/>
  <c r="E101" i="22"/>
  <c r="E98" i="22"/>
  <c r="E97" i="22"/>
  <c r="E89" i="22"/>
  <c r="E84" i="22"/>
  <c r="E80" i="22"/>
  <c r="E79" i="22"/>
  <c r="E78" i="22"/>
  <c r="E72" i="22"/>
  <c r="E71" i="22"/>
  <c r="E67" i="22"/>
  <c r="E65" i="22"/>
  <c r="E64" i="22"/>
  <c r="E63" i="22"/>
  <c r="E62" i="22"/>
  <c r="E61" i="22"/>
  <c r="E54" i="22"/>
  <c r="E53" i="22"/>
  <c r="E51" i="22"/>
  <c r="E50" i="22"/>
  <c r="E37" i="22"/>
  <c r="E36" i="22"/>
  <c r="E28" i="22"/>
  <c r="E26" i="22"/>
  <c r="E24" i="22"/>
  <c r="E23" i="22"/>
  <c r="E22" i="22"/>
  <c r="E21" i="22"/>
  <c r="E19" i="22"/>
  <c r="E18" i="22"/>
  <c r="E15" i="22"/>
  <c r="E14" i="22"/>
  <c r="E13" i="22"/>
  <c r="E12" i="22"/>
  <c r="C4" i="22"/>
  <c r="C14" i="11"/>
  <c r="E12" i="11"/>
  <c r="E14" i="11" s="1"/>
  <c r="C4" i="11"/>
  <c r="E49" i="4" l="1"/>
  <c r="E196" i="24"/>
  <c r="E33" i="18"/>
  <c r="E198" i="22"/>
  <c r="E196" i="21"/>
  <c r="E196" i="1"/>
  <c r="F13" i="18"/>
  <c r="G13" i="18" s="1"/>
  <c r="F14" i="18"/>
  <c r="G14" i="18" s="1"/>
  <c r="F15" i="18"/>
  <c r="G15" i="18" s="1"/>
  <c r="J35" i="7" s="1"/>
  <c r="F16" i="18"/>
  <c r="F17" i="18"/>
  <c r="G17" i="18" s="1"/>
  <c r="F18" i="18"/>
  <c r="G18" i="18" s="1"/>
  <c r="F19" i="18"/>
  <c r="G19" i="18" s="1"/>
  <c r="F20" i="18"/>
  <c r="F21" i="18"/>
  <c r="G21" i="18" s="1"/>
  <c r="F22" i="18"/>
  <c r="G22" i="18" s="1"/>
  <c r="F23" i="18"/>
  <c r="F24" i="18"/>
  <c r="F25" i="18"/>
  <c r="G25" i="18" s="1"/>
  <c r="F26" i="18"/>
  <c r="G26" i="18" s="1"/>
  <c r="F27" i="18"/>
  <c r="G27" i="18" s="1"/>
  <c r="F12" i="18"/>
  <c r="G12" i="18" s="1"/>
  <c r="G23" i="18"/>
  <c r="G20" i="18" l="1"/>
  <c r="G16" i="18"/>
  <c r="G24" i="18"/>
  <c r="F15" i="10" l="1"/>
  <c r="E15" i="10"/>
  <c r="G15" i="10" l="1"/>
  <c r="D57" i="7" s="1"/>
  <c r="F44" i="4"/>
  <c r="G44" i="4"/>
  <c r="H178" i="7" s="1"/>
  <c r="F42" i="4"/>
  <c r="G38" i="4"/>
  <c r="F28" i="4"/>
  <c r="F31" i="4"/>
  <c r="F33" i="4"/>
  <c r="F35" i="4"/>
  <c r="F37" i="4"/>
  <c r="G42" i="4" l="1"/>
  <c r="G31" i="4"/>
  <c r="G37" i="4"/>
  <c r="H148" i="7" s="1"/>
  <c r="G35" i="4"/>
  <c r="H129" i="7" s="1"/>
  <c r="G28" i="4"/>
  <c r="H93" i="7" s="1"/>
  <c r="G33" i="4"/>
  <c r="G25" i="4"/>
  <c r="H71" i="7" s="1"/>
  <c r="G21" i="4" l="1"/>
  <c r="H57" i="7" s="1"/>
  <c r="G20" i="4"/>
  <c r="H56" i="7" s="1"/>
  <c r="F16" i="4"/>
  <c r="F17" i="4"/>
  <c r="G17" i="4" l="1"/>
  <c r="H17" i="7" s="1"/>
  <c r="G16" i="4"/>
  <c r="H16" i="7" s="1"/>
  <c r="P198" i="22" l="1"/>
  <c r="F45" i="4" l="1"/>
  <c r="F14" i="4"/>
  <c r="G192" i="7" l="1"/>
  <c r="G45" i="4" l="1"/>
  <c r="H179" i="7" s="1"/>
  <c r="G14" i="4" l="1"/>
  <c r="H14" i="7" s="1"/>
  <c r="E12" i="10" l="1"/>
  <c r="E14" i="10"/>
  <c r="E16" i="10"/>
  <c r="E17" i="10"/>
  <c r="E18" i="10"/>
  <c r="E19" i="10"/>
  <c r="U33" i="18" l="1"/>
  <c r="F40" i="4" l="1"/>
  <c r="F19" i="10"/>
  <c r="S196" i="1" l="1"/>
  <c r="C25" i="7" l="1"/>
  <c r="C8" i="7"/>
  <c r="R33" i="18" l="1"/>
  <c r="Q33" i="18"/>
  <c r="Q196" i="21" l="1"/>
  <c r="F12" i="22" l="1"/>
  <c r="AM33" i="18" l="1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T33" i="18"/>
  <c r="S33" i="18"/>
  <c r="P33" i="18"/>
  <c r="O33" i="18"/>
  <c r="M33" i="18"/>
  <c r="L33" i="18"/>
  <c r="K33" i="18"/>
  <c r="J33" i="18"/>
  <c r="I33" i="18"/>
  <c r="H33" i="18"/>
  <c r="J152" i="7"/>
  <c r="J145" i="7"/>
  <c r="J137" i="7"/>
  <c r="J124" i="7"/>
  <c r="J123" i="7"/>
  <c r="J114" i="7"/>
  <c r="J96" i="7"/>
  <c r="J95" i="7"/>
  <c r="J78" i="7"/>
  <c r="J67" i="7"/>
  <c r="J42" i="7"/>
  <c r="J37" i="7"/>
  <c r="J26" i="7"/>
  <c r="J20" i="7"/>
  <c r="F193" i="24"/>
  <c r="G193" i="24" s="1"/>
  <c r="I185" i="7" s="1"/>
  <c r="F192" i="24"/>
  <c r="G192" i="24" s="1"/>
  <c r="I184" i="7" s="1"/>
  <c r="F191" i="24"/>
  <c r="G191" i="24" s="1"/>
  <c r="I183" i="7" s="1"/>
  <c r="F190" i="24"/>
  <c r="G190" i="24" s="1"/>
  <c r="I182" i="7" s="1"/>
  <c r="F189" i="24"/>
  <c r="G189" i="24" s="1"/>
  <c r="I181" i="7" s="1"/>
  <c r="F188" i="24"/>
  <c r="G188" i="24" s="1"/>
  <c r="I180" i="7" s="1"/>
  <c r="F187" i="24"/>
  <c r="G187" i="24" s="1"/>
  <c r="I179" i="7" s="1"/>
  <c r="F186" i="24"/>
  <c r="G186" i="24" s="1"/>
  <c r="I178" i="7" s="1"/>
  <c r="F185" i="24"/>
  <c r="G185" i="24" s="1"/>
  <c r="I177" i="7" s="1"/>
  <c r="F184" i="24"/>
  <c r="G184" i="24" s="1"/>
  <c r="I176" i="7" s="1"/>
  <c r="F183" i="24"/>
  <c r="G183" i="24" s="1"/>
  <c r="I175" i="7" s="1"/>
  <c r="F182" i="24"/>
  <c r="G182" i="24" s="1"/>
  <c r="I174" i="7" s="1"/>
  <c r="F181" i="24"/>
  <c r="G181" i="24" s="1"/>
  <c r="I173" i="7" s="1"/>
  <c r="F180" i="24"/>
  <c r="G180" i="24" s="1"/>
  <c r="I172" i="7" s="1"/>
  <c r="F179" i="24"/>
  <c r="G179" i="24" s="1"/>
  <c r="I171" i="7" s="1"/>
  <c r="F178" i="24"/>
  <c r="G178" i="24" s="1"/>
  <c r="I170" i="7" s="1"/>
  <c r="F177" i="24"/>
  <c r="G177" i="24" s="1"/>
  <c r="I169" i="7" s="1"/>
  <c r="F176" i="24"/>
  <c r="G176" i="24" s="1"/>
  <c r="I168" i="7" s="1"/>
  <c r="F175" i="24"/>
  <c r="G175" i="24" s="1"/>
  <c r="I167" i="7" s="1"/>
  <c r="F174" i="24"/>
  <c r="G174" i="24" s="1"/>
  <c r="I166" i="7" s="1"/>
  <c r="F173" i="24"/>
  <c r="G173" i="24" s="1"/>
  <c r="I165" i="7" s="1"/>
  <c r="F172" i="24"/>
  <c r="G172" i="24" s="1"/>
  <c r="I164" i="7" s="1"/>
  <c r="F171" i="24"/>
  <c r="G171" i="24" s="1"/>
  <c r="I163" i="7" s="1"/>
  <c r="F170" i="24"/>
  <c r="G170" i="24" s="1"/>
  <c r="I162" i="7" s="1"/>
  <c r="F169" i="24"/>
  <c r="G169" i="24" s="1"/>
  <c r="I161" i="7" s="1"/>
  <c r="F168" i="24"/>
  <c r="G168" i="24" s="1"/>
  <c r="I160" i="7" s="1"/>
  <c r="F167" i="24"/>
  <c r="G167" i="24" s="1"/>
  <c r="I159" i="7" s="1"/>
  <c r="F166" i="24"/>
  <c r="G166" i="24" s="1"/>
  <c r="I158" i="7" s="1"/>
  <c r="F165" i="24"/>
  <c r="G165" i="24" s="1"/>
  <c r="I157" i="7" s="1"/>
  <c r="F164" i="24"/>
  <c r="G164" i="24" s="1"/>
  <c r="I156" i="7" s="1"/>
  <c r="F163" i="24"/>
  <c r="G163" i="24" s="1"/>
  <c r="I155" i="7" s="1"/>
  <c r="F162" i="24"/>
  <c r="G162" i="24" s="1"/>
  <c r="I154" i="7" s="1"/>
  <c r="F161" i="24"/>
  <c r="G161" i="24" s="1"/>
  <c r="I153" i="7" s="1"/>
  <c r="F160" i="24"/>
  <c r="G160" i="24" s="1"/>
  <c r="I152" i="7" s="1"/>
  <c r="F159" i="24"/>
  <c r="G159" i="24" s="1"/>
  <c r="I151" i="7" s="1"/>
  <c r="F158" i="24"/>
  <c r="G158" i="24" s="1"/>
  <c r="I150" i="7" s="1"/>
  <c r="F157" i="24"/>
  <c r="G157" i="24" s="1"/>
  <c r="I149" i="7" s="1"/>
  <c r="F156" i="24"/>
  <c r="G156" i="24" s="1"/>
  <c r="I148" i="7" s="1"/>
  <c r="F155" i="24"/>
  <c r="G155" i="24" s="1"/>
  <c r="I147" i="7" s="1"/>
  <c r="F154" i="24"/>
  <c r="G154" i="24" s="1"/>
  <c r="I146" i="7" s="1"/>
  <c r="F153" i="24"/>
  <c r="G153" i="24" s="1"/>
  <c r="I145" i="7" s="1"/>
  <c r="F152" i="24"/>
  <c r="G152" i="24" s="1"/>
  <c r="I144" i="7" s="1"/>
  <c r="F151" i="24"/>
  <c r="G151" i="24" s="1"/>
  <c r="I143" i="7" s="1"/>
  <c r="F150" i="24"/>
  <c r="G150" i="24" s="1"/>
  <c r="I142" i="7" s="1"/>
  <c r="F149" i="24"/>
  <c r="G149" i="24" s="1"/>
  <c r="I141" i="7" s="1"/>
  <c r="F148" i="24"/>
  <c r="G148" i="24" s="1"/>
  <c r="I140" i="7" s="1"/>
  <c r="F147" i="24"/>
  <c r="G147" i="24" s="1"/>
  <c r="I139" i="7" s="1"/>
  <c r="F146" i="24"/>
  <c r="G146" i="24" s="1"/>
  <c r="I138" i="7" s="1"/>
  <c r="F145" i="24"/>
  <c r="G145" i="24" s="1"/>
  <c r="I137" i="7" s="1"/>
  <c r="F144" i="24"/>
  <c r="G144" i="24" s="1"/>
  <c r="I136" i="7" s="1"/>
  <c r="F143" i="24"/>
  <c r="G143" i="24" s="1"/>
  <c r="I135" i="7" s="1"/>
  <c r="F142" i="24"/>
  <c r="G142" i="24" s="1"/>
  <c r="I134" i="7" s="1"/>
  <c r="F141" i="24"/>
  <c r="G141" i="24" s="1"/>
  <c r="I133" i="7" s="1"/>
  <c r="F140" i="24"/>
  <c r="G140" i="24" s="1"/>
  <c r="I132" i="7" s="1"/>
  <c r="F139" i="24"/>
  <c r="G139" i="24" s="1"/>
  <c r="I131" i="7" s="1"/>
  <c r="F138" i="24"/>
  <c r="G138" i="24" s="1"/>
  <c r="I130" i="7" s="1"/>
  <c r="F137" i="24"/>
  <c r="G137" i="24" s="1"/>
  <c r="I129" i="7" s="1"/>
  <c r="F136" i="24"/>
  <c r="G136" i="24" s="1"/>
  <c r="F135" i="24"/>
  <c r="G135" i="24" s="1"/>
  <c r="F134" i="24"/>
  <c r="G134" i="24" s="1"/>
  <c r="I126" i="7" s="1"/>
  <c r="F133" i="24"/>
  <c r="G133" i="24" s="1"/>
  <c r="I125" i="7" s="1"/>
  <c r="F132" i="24"/>
  <c r="G132" i="24" s="1"/>
  <c r="I124" i="7" s="1"/>
  <c r="F131" i="24"/>
  <c r="G131" i="24" s="1"/>
  <c r="I123" i="7" s="1"/>
  <c r="F130" i="24"/>
  <c r="G130" i="24" s="1"/>
  <c r="I122" i="7" s="1"/>
  <c r="F129" i="24"/>
  <c r="G129" i="24" s="1"/>
  <c r="I121" i="7" s="1"/>
  <c r="F128" i="24"/>
  <c r="G128" i="24" s="1"/>
  <c r="I120" i="7" s="1"/>
  <c r="F127" i="24"/>
  <c r="G127" i="24" s="1"/>
  <c r="I119" i="7" s="1"/>
  <c r="F126" i="24"/>
  <c r="G126" i="24" s="1"/>
  <c r="I118" i="7" s="1"/>
  <c r="F125" i="24"/>
  <c r="G125" i="24" s="1"/>
  <c r="I117" i="7" s="1"/>
  <c r="F124" i="24"/>
  <c r="G124" i="24" s="1"/>
  <c r="I116" i="7" s="1"/>
  <c r="F123" i="24"/>
  <c r="G123" i="24" s="1"/>
  <c r="I115" i="7" s="1"/>
  <c r="F122" i="24"/>
  <c r="G122" i="24" s="1"/>
  <c r="I114" i="7" s="1"/>
  <c r="F121" i="24"/>
  <c r="G121" i="24" s="1"/>
  <c r="I113" i="7" s="1"/>
  <c r="F120" i="24"/>
  <c r="G120" i="24" s="1"/>
  <c r="I112" i="7" s="1"/>
  <c r="F119" i="24"/>
  <c r="G119" i="24" s="1"/>
  <c r="I111" i="7" s="1"/>
  <c r="F118" i="24"/>
  <c r="G118" i="24" s="1"/>
  <c r="I110" i="7" s="1"/>
  <c r="F117" i="24"/>
  <c r="G117" i="24" s="1"/>
  <c r="I109" i="7" s="1"/>
  <c r="F116" i="24"/>
  <c r="G116" i="24" s="1"/>
  <c r="I108" i="7" s="1"/>
  <c r="F115" i="24"/>
  <c r="G115" i="24" s="1"/>
  <c r="I107" i="7" s="1"/>
  <c r="F114" i="24"/>
  <c r="G114" i="24" s="1"/>
  <c r="I106" i="7" s="1"/>
  <c r="F113" i="24"/>
  <c r="G113" i="24" s="1"/>
  <c r="I105" i="7" s="1"/>
  <c r="F112" i="24"/>
  <c r="G112" i="24" s="1"/>
  <c r="I104" i="7" s="1"/>
  <c r="F111" i="24"/>
  <c r="G111" i="24" s="1"/>
  <c r="I103" i="7" s="1"/>
  <c r="F110" i="24"/>
  <c r="G110" i="24" s="1"/>
  <c r="I102" i="7" s="1"/>
  <c r="F109" i="24"/>
  <c r="G109" i="24" s="1"/>
  <c r="I101" i="7" s="1"/>
  <c r="F107" i="24"/>
  <c r="G107" i="24" s="1"/>
  <c r="I99" i="7" s="1"/>
  <c r="F106" i="24"/>
  <c r="G106" i="24" s="1"/>
  <c r="I98" i="7" s="1"/>
  <c r="F105" i="24"/>
  <c r="G105" i="24" s="1"/>
  <c r="I97" i="7" s="1"/>
  <c r="F104" i="24"/>
  <c r="G104" i="24" s="1"/>
  <c r="I96" i="7" s="1"/>
  <c r="F103" i="24"/>
  <c r="G103" i="24" s="1"/>
  <c r="I95" i="7" s="1"/>
  <c r="F102" i="24"/>
  <c r="F101" i="24"/>
  <c r="G101" i="24" s="1"/>
  <c r="I93" i="7" s="1"/>
  <c r="F100" i="24"/>
  <c r="G100" i="24" s="1"/>
  <c r="I92" i="7" s="1"/>
  <c r="F99" i="24"/>
  <c r="G99" i="24" s="1"/>
  <c r="I91" i="7" s="1"/>
  <c r="F98" i="24"/>
  <c r="G98" i="24" s="1"/>
  <c r="I90" i="7" s="1"/>
  <c r="F97" i="24"/>
  <c r="G97" i="24" s="1"/>
  <c r="I89" i="7" s="1"/>
  <c r="F96" i="24"/>
  <c r="G96" i="24" s="1"/>
  <c r="I88" i="7" s="1"/>
  <c r="F95" i="24"/>
  <c r="G95" i="24" s="1"/>
  <c r="I87" i="7" s="1"/>
  <c r="F94" i="24"/>
  <c r="G94" i="24" s="1"/>
  <c r="I86" i="7" s="1"/>
  <c r="F93" i="24"/>
  <c r="G93" i="24" s="1"/>
  <c r="I85" i="7" s="1"/>
  <c r="F92" i="24"/>
  <c r="G92" i="24" s="1"/>
  <c r="I84" i="7" s="1"/>
  <c r="F91" i="24"/>
  <c r="G91" i="24" s="1"/>
  <c r="I83" i="7" s="1"/>
  <c r="F90" i="24"/>
  <c r="G90" i="24" s="1"/>
  <c r="I82" i="7" s="1"/>
  <c r="F89" i="24"/>
  <c r="G89" i="24" s="1"/>
  <c r="I81" i="7" s="1"/>
  <c r="F88" i="24"/>
  <c r="G88" i="24" s="1"/>
  <c r="I80" i="7" s="1"/>
  <c r="F87" i="24"/>
  <c r="G87" i="24" s="1"/>
  <c r="I79" i="7" s="1"/>
  <c r="F86" i="24"/>
  <c r="G86" i="24" s="1"/>
  <c r="I78" i="7" s="1"/>
  <c r="F85" i="24"/>
  <c r="G85" i="24" s="1"/>
  <c r="I77" i="7" s="1"/>
  <c r="F84" i="24"/>
  <c r="G84" i="24" s="1"/>
  <c r="I76" i="7" s="1"/>
  <c r="F83" i="24"/>
  <c r="G83" i="24" s="1"/>
  <c r="I75" i="7" s="1"/>
  <c r="F82" i="24"/>
  <c r="G82" i="24" s="1"/>
  <c r="I74" i="7" s="1"/>
  <c r="F81" i="24"/>
  <c r="G81" i="24" s="1"/>
  <c r="I73" i="7" s="1"/>
  <c r="F80" i="24"/>
  <c r="G80" i="24" s="1"/>
  <c r="I72" i="7" s="1"/>
  <c r="F79" i="24"/>
  <c r="G79" i="24" s="1"/>
  <c r="I71" i="7" s="1"/>
  <c r="F78" i="24"/>
  <c r="G78" i="24" s="1"/>
  <c r="I70" i="7" s="1"/>
  <c r="F77" i="24"/>
  <c r="G77" i="24" s="1"/>
  <c r="I69" i="7" s="1"/>
  <c r="F76" i="24"/>
  <c r="G76" i="24" s="1"/>
  <c r="I68" i="7" s="1"/>
  <c r="F75" i="24"/>
  <c r="G75" i="24" s="1"/>
  <c r="I67" i="7" s="1"/>
  <c r="F74" i="24"/>
  <c r="G74" i="24" s="1"/>
  <c r="I66" i="7" s="1"/>
  <c r="F73" i="24"/>
  <c r="G73" i="24" s="1"/>
  <c r="I65" i="7" s="1"/>
  <c r="F72" i="24"/>
  <c r="G72" i="24" s="1"/>
  <c r="I64" i="7" s="1"/>
  <c r="F71" i="24"/>
  <c r="G71" i="24" s="1"/>
  <c r="I63" i="7" s="1"/>
  <c r="F70" i="24"/>
  <c r="G70" i="24" s="1"/>
  <c r="I62" i="7" s="1"/>
  <c r="F69" i="24"/>
  <c r="G69" i="24" s="1"/>
  <c r="I61" i="7" s="1"/>
  <c r="F68" i="24"/>
  <c r="G68" i="24" s="1"/>
  <c r="I60" i="7" s="1"/>
  <c r="F67" i="24"/>
  <c r="G67" i="24" s="1"/>
  <c r="I59" i="7" s="1"/>
  <c r="F66" i="24"/>
  <c r="G66" i="24" s="1"/>
  <c r="I58" i="7" s="1"/>
  <c r="F65" i="24"/>
  <c r="G65" i="24" s="1"/>
  <c r="I57" i="7" s="1"/>
  <c r="F64" i="24"/>
  <c r="G64" i="24" s="1"/>
  <c r="I56" i="7" s="1"/>
  <c r="F63" i="24"/>
  <c r="G63" i="24" s="1"/>
  <c r="I55" i="7" s="1"/>
  <c r="F61" i="24"/>
  <c r="G61" i="24" s="1"/>
  <c r="I53" i="7" s="1"/>
  <c r="F60" i="24"/>
  <c r="G60" i="24" s="1"/>
  <c r="I52" i="7" s="1"/>
  <c r="F59" i="24"/>
  <c r="G59" i="24" s="1"/>
  <c r="I51" i="7" s="1"/>
  <c r="F58" i="24"/>
  <c r="G58" i="24" s="1"/>
  <c r="I50" i="7" s="1"/>
  <c r="F57" i="24"/>
  <c r="G57" i="24" s="1"/>
  <c r="I49" i="7" s="1"/>
  <c r="F56" i="24"/>
  <c r="G56" i="24" s="1"/>
  <c r="I48" i="7" s="1"/>
  <c r="F55" i="24"/>
  <c r="G55" i="24" s="1"/>
  <c r="I47" i="7" s="1"/>
  <c r="F54" i="24"/>
  <c r="G54" i="24" s="1"/>
  <c r="I46" i="7" s="1"/>
  <c r="F53" i="24"/>
  <c r="G53" i="24" s="1"/>
  <c r="I45" i="7" s="1"/>
  <c r="F52" i="24"/>
  <c r="G52" i="24" s="1"/>
  <c r="I44" i="7" s="1"/>
  <c r="F51" i="24"/>
  <c r="G51" i="24" s="1"/>
  <c r="I43" i="7" s="1"/>
  <c r="F50" i="24"/>
  <c r="G50" i="24" s="1"/>
  <c r="I42" i="7" s="1"/>
  <c r="F49" i="24"/>
  <c r="G49" i="24" s="1"/>
  <c r="I41" i="7" s="1"/>
  <c r="F48" i="24"/>
  <c r="G48" i="24" s="1"/>
  <c r="I40" i="7" s="1"/>
  <c r="F47" i="24"/>
  <c r="G47" i="24" s="1"/>
  <c r="I39" i="7" s="1"/>
  <c r="F46" i="24"/>
  <c r="G46" i="24" s="1"/>
  <c r="I38" i="7" s="1"/>
  <c r="F45" i="24"/>
  <c r="G45" i="24" s="1"/>
  <c r="I37" i="7" s="1"/>
  <c r="F44" i="24"/>
  <c r="G44" i="24" s="1"/>
  <c r="I36" i="7" s="1"/>
  <c r="F42" i="24"/>
  <c r="G42" i="24" s="1"/>
  <c r="I34" i="7" s="1"/>
  <c r="F41" i="24"/>
  <c r="G41" i="24" s="1"/>
  <c r="I33" i="7" s="1"/>
  <c r="F40" i="24"/>
  <c r="G40" i="24" s="1"/>
  <c r="I32" i="7" s="1"/>
  <c r="F39" i="24"/>
  <c r="G39" i="24" s="1"/>
  <c r="I31" i="7" s="1"/>
  <c r="F38" i="24"/>
  <c r="G38" i="24" s="1"/>
  <c r="I30" i="7" s="1"/>
  <c r="F37" i="24"/>
  <c r="G37" i="24" s="1"/>
  <c r="I29" i="7" s="1"/>
  <c r="F36" i="24"/>
  <c r="G36" i="24" s="1"/>
  <c r="I28" i="7" s="1"/>
  <c r="F35" i="24"/>
  <c r="G35" i="24" s="1"/>
  <c r="I27" i="7" s="1"/>
  <c r="F34" i="24"/>
  <c r="G34" i="24" s="1"/>
  <c r="I26" i="7" s="1"/>
  <c r="F33" i="24"/>
  <c r="G33" i="24" s="1"/>
  <c r="I25" i="7" s="1"/>
  <c r="F32" i="24"/>
  <c r="G32" i="24" s="1"/>
  <c r="I24" i="7" s="1"/>
  <c r="F31" i="24"/>
  <c r="G31" i="24" s="1"/>
  <c r="I23" i="7" s="1"/>
  <c r="F30" i="24"/>
  <c r="G30" i="24" s="1"/>
  <c r="I22" i="7" s="1"/>
  <c r="F29" i="24"/>
  <c r="G29" i="24" s="1"/>
  <c r="I21" i="7" s="1"/>
  <c r="F28" i="24"/>
  <c r="G28" i="24" s="1"/>
  <c r="I20" i="7" s="1"/>
  <c r="F27" i="24"/>
  <c r="G27" i="24" s="1"/>
  <c r="I19" i="7" s="1"/>
  <c r="F26" i="24"/>
  <c r="G26" i="24" s="1"/>
  <c r="I18" i="7" s="1"/>
  <c r="F25" i="24"/>
  <c r="G25" i="24" s="1"/>
  <c r="I17" i="7" s="1"/>
  <c r="F24" i="24"/>
  <c r="G24" i="24" s="1"/>
  <c r="I16" i="7" s="1"/>
  <c r="F23" i="24"/>
  <c r="G23" i="24" s="1"/>
  <c r="I15" i="7" s="1"/>
  <c r="F22" i="24"/>
  <c r="G22" i="24" s="1"/>
  <c r="I14" i="7" s="1"/>
  <c r="F21" i="24"/>
  <c r="G21" i="24" s="1"/>
  <c r="I13" i="7" s="1"/>
  <c r="F20" i="24"/>
  <c r="G20" i="24" s="1"/>
  <c r="I12" i="7" s="1"/>
  <c r="F18" i="24"/>
  <c r="G18" i="24" s="1"/>
  <c r="I10" i="7" s="1"/>
  <c r="F17" i="24"/>
  <c r="G17" i="24" s="1"/>
  <c r="I9" i="7" s="1"/>
  <c r="F16" i="24"/>
  <c r="G16" i="24" s="1"/>
  <c r="I8" i="7" s="1"/>
  <c r="F15" i="24"/>
  <c r="G15" i="24" s="1"/>
  <c r="I7" i="7" s="1"/>
  <c r="F14" i="24"/>
  <c r="G14" i="24" s="1"/>
  <c r="I6" i="7" s="1"/>
  <c r="F13" i="24"/>
  <c r="G13" i="24" s="1"/>
  <c r="I5" i="7" s="1"/>
  <c r="F12" i="24"/>
  <c r="G12" i="24" s="1"/>
  <c r="I4" i="7" s="1"/>
  <c r="AM196" i="24"/>
  <c r="AL196" i="24"/>
  <c r="AK196" i="24"/>
  <c r="AJ196" i="24"/>
  <c r="AI196" i="24"/>
  <c r="G40" i="4"/>
  <c r="H158" i="7" s="1"/>
  <c r="F43" i="4"/>
  <c r="G43" i="4" s="1"/>
  <c r="H173" i="7" s="1"/>
  <c r="F41" i="4"/>
  <c r="G41" i="4" s="1"/>
  <c r="H168" i="7" s="1"/>
  <c r="F39" i="4"/>
  <c r="G39" i="4" s="1"/>
  <c r="H153" i="7" s="1"/>
  <c r="F36" i="4"/>
  <c r="G36" i="4" s="1"/>
  <c r="H135" i="7" s="1"/>
  <c r="F34" i="4"/>
  <c r="G34" i="4" s="1"/>
  <c r="H117" i="7" s="1"/>
  <c r="F32" i="4"/>
  <c r="G32" i="4" s="1"/>
  <c r="H115" i="7" s="1"/>
  <c r="F30" i="4"/>
  <c r="G30" i="4" s="1"/>
  <c r="H95" i="7" s="1"/>
  <c r="F29" i="4"/>
  <c r="G29" i="4" s="1"/>
  <c r="H94" i="7" s="1"/>
  <c r="F27" i="4"/>
  <c r="G27" i="4" s="1"/>
  <c r="F26" i="4"/>
  <c r="G26" i="4" s="1"/>
  <c r="H81" i="7" s="1"/>
  <c r="F24" i="4"/>
  <c r="G24" i="4" s="1"/>
  <c r="H70" i="7" s="1"/>
  <c r="F23" i="4"/>
  <c r="G23" i="4" s="1"/>
  <c r="H63" i="7" s="1"/>
  <c r="F22" i="4"/>
  <c r="G22" i="4" s="1"/>
  <c r="F19" i="4"/>
  <c r="F18" i="4"/>
  <c r="F15" i="4"/>
  <c r="F13" i="4"/>
  <c r="F12" i="4"/>
  <c r="AM198" i="22"/>
  <c r="AL198" i="22"/>
  <c r="AK198" i="22"/>
  <c r="AJ198" i="22"/>
  <c r="AI198" i="22"/>
  <c r="AH198" i="22"/>
  <c r="AG198" i="22"/>
  <c r="AF198" i="22"/>
  <c r="AE198" i="22"/>
  <c r="AD198" i="22"/>
  <c r="AC198" i="22"/>
  <c r="AB198" i="22"/>
  <c r="AA198" i="22"/>
  <c r="Z198" i="22"/>
  <c r="Y198" i="22"/>
  <c r="X198" i="22"/>
  <c r="W198" i="22"/>
  <c r="V198" i="22"/>
  <c r="U198" i="22"/>
  <c r="T198" i="22"/>
  <c r="S198" i="22"/>
  <c r="R198" i="22"/>
  <c r="Q198" i="22"/>
  <c r="O198" i="22"/>
  <c r="K198" i="22"/>
  <c r="J198" i="22"/>
  <c r="I198" i="22"/>
  <c r="H198" i="22"/>
  <c r="F196" i="22"/>
  <c r="G196" i="22" s="1"/>
  <c r="G191" i="7" s="1"/>
  <c r="F195" i="22"/>
  <c r="G195" i="22" s="1"/>
  <c r="G190" i="7" s="1"/>
  <c r="F194" i="22"/>
  <c r="G194" i="22" s="1"/>
  <c r="G188" i="7" s="1"/>
  <c r="F193" i="22"/>
  <c r="G193" i="22" s="1"/>
  <c r="G186" i="7" s="1"/>
  <c r="F192" i="22"/>
  <c r="G192" i="22" s="1"/>
  <c r="G185" i="7" s="1"/>
  <c r="F191" i="22"/>
  <c r="G191" i="22" s="1"/>
  <c r="G184" i="7" s="1"/>
  <c r="F190" i="22"/>
  <c r="F189" i="22"/>
  <c r="G189" i="22" s="1"/>
  <c r="G181" i="7" s="1"/>
  <c r="F188" i="22"/>
  <c r="G188" i="22" s="1"/>
  <c r="G180" i="7" s="1"/>
  <c r="F187" i="22"/>
  <c r="G187" i="22" s="1"/>
  <c r="G179" i="7" s="1"/>
  <c r="F186" i="22"/>
  <c r="G186" i="22" s="1"/>
  <c r="G178" i="7" s="1"/>
  <c r="F185" i="22"/>
  <c r="G185" i="22" s="1"/>
  <c r="G177" i="7" s="1"/>
  <c r="F184" i="22"/>
  <c r="G184" i="22" s="1"/>
  <c r="G176" i="7" s="1"/>
  <c r="F183" i="22"/>
  <c r="G183" i="22" s="1"/>
  <c r="G175" i="7" s="1"/>
  <c r="F182" i="22"/>
  <c r="G182" i="22" s="1"/>
  <c r="G174" i="7" s="1"/>
  <c r="F181" i="22"/>
  <c r="G181" i="22" s="1"/>
  <c r="G173" i="7" s="1"/>
  <c r="F180" i="22"/>
  <c r="G180" i="22" s="1"/>
  <c r="G172" i="7" s="1"/>
  <c r="F179" i="22"/>
  <c r="G179" i="22" s="1"/>
  <c r="G171" i="7" s="1"/>
  <c r="F178" i="22"/>
  <c r="G178" i="22" s="1"/>
  <c r="G170" i="7" s="1"/>
  <c r="F177" i="22"/>
  <c r="G177" i="22" s="1"/>
  <c r="G169" i="7" s="1"/>
  <c r="F176" i="22"/>
  <c r="G176" i="22" s="1"/>
  <c r="G168" i="7" s="1"/>
  <c r="F175" i="22"/>
  <c r="G175" i="22" s="1"/>
  <c r="G167" i="7" s="1"/>
  <c r="F174" i="22"/>
  <c r="G174" i="22" s="1"/>
  <c r="G166" i="7" s="1"/>
  <c r="F173" i="22"/>
  <c r="G173" i="22" s="1"/>
  <c r="G165" i="7" s="1"/>
  <c r="F172" i="22"/>
  <c r="G172" i="22" s="1"/>
  <c r="G164" i="7" s="1"/>
  <c r="F171" i="22"/>
  <c r="G171" i="22" s="1"/>
  <c r="G163" i="7" s="1"/>
  <c r="F170" i="22"/>
  <c r="G170" i="22" s="1"/>
  <c r="G162" i="7" s="1"/>
  <c r="F169" i="22"/>
  <c r="G169" i="22" s="1"/>
  <c r="G161" i="7" s="1"/>
  <c r="F168" i="22"/>
  <c r="G168" i="22" s="1"/>
  <c r="G160" i="7" s="1"/>
  <c r="F167" i="22"/>
  <c r="G167" i="22" s="1"/>
  <c r="G159" i="7" s="1"/>
  <c r="F166" i="22"/>
  <c r="G166" i="22" s="1"/>
  <c r="G158" i="7" s="1"/>
  <c r="F165" i="22"/>
  <c r="G165" i="22" s="1"/>
  <c r="G157" i="7" s="1"/>
  <c r="F164" i="22"/>
  <c r="G164" i="22" s="1"/>
  <c r="G156" i="7" s="1"/>
  <c r="F163" i="22"/>
  <c r="G163" i="22" s="1"/>
  <c r="G155" i="7" s="1"/>
  <c r="F162" i="22"/>
  <c r="G162" i="22" s="1"/>
  <c r="G154" i="7" s="1"/>
  <c r="F161" i="22"/>
  <c r="G161" i="22" s="1"/>
  <c r="G153" i="7" s="1"/>
  <c r="F160" i="22"/>
  <c r="G160" i="22" s="1"/>
  <c r="G152" i="7" s="1"/>
  <c r="F159" i="22"/>
  <c r="G159" i="22" s="1"/>
  <c r="G151" i="7" s="1"/>
  <c r="F158" i="22"/>
  <c r="G158" i="22" s="1"/>
  <c r="G150" i="7" s="1"/>
  <c r="F157" i="22"/>
  <c r="G157" i="22" s="1"/>
  <c r="G149" i="7" s="1"/>
  <c r="F156" i="22"/>
  <c r="F155" i="22"/>
  <c r="G155" i="22" s="1"/>
  <c r="G147" i="7" s="1"/>
  <c r="F154" i="22"/>
  <c r="G154" i="22" s="1"/>
  <c r="G146" i="7" s="1"/>
  <c r="F153" i="22"/>
  <c r="G153" i="22" s="1"/>
  <c r="G145" i="7" s="1"/>
  <c r="F152" i="22"/>
  <c r="G152" i="22" s="1"/>
  <c r="G144" i="7" s="1"/>
  <c r="F151" i="22"/>
  <c r="G151" i="22" s="1"/>
  <c r="G143" i="7" s="1"/>
  <c r="F150" i="22"/>
  <c r="G150" i="22" s="1"/>
  <c r="G142" i="7" s="1"/>
  <c r="F149" i="22"/>
  <c r="G149" i="22" s="1"/>
  <c r="G141" i="7" s="1"/>
  <c r="F148" i="22"/>
  <c r="G148" i="22" s="1"/>
  <c r="G140" i="7" s="1"/>
  <c r="F147" i="22"/>
  <c r="G147" i="22" s="1"/>
  <c r="G139" i="7" s="1"/>
  <c r="F146" i="22"/>
  <c r="G146" i="22" s="1"/>
  <c r="G138" i="7" s="1"/>
  <c r="F145" i="22"/>
  <c r="G145" i="22" s="1"/>
  <c r="G137" i="7" s="1"/>
  <c r="F144" i="22"/>
  <c r="G144" i="22" s="1"/>
  <c r="G136" i="7" s="1"/>
  <c r="F143" i="22"/>
  <c r="G143" i="22" s="1"/>
  <c r="G135" i="7" s="1"/>
  <c r="F142" i="22"/>
  <c r="G142" i="22" s="1"/>
  <c r="G134" i="7" s="1"/>
  <c r="F141" i="22"/>
  <c r="G141" i="22" s="1"/>
  <c r="G133" i="7" s="1"/>
  <c r="F140" i="22"/>
  <c r="G140" i="22" s="1"/>
  <c r="G132" i="7" s="1"/>
  <c r="F139" i="22"/>
  <c r="G139" i="22" s="1"/>
  <c r="G131" i="7" s="1"/>
  <c r="F138" i="22"/>
  <c r="G138" i="22" s="1"/>
  <c r="G130" i="7" s="1"/>
  <c r="F137" i="22"/>
  <c r="G137" i="22" s="1"/>
  <c r="G129" i="7" s="1"/>
  <c r="F136" i="22"/>
  <c r="G136" i="22" s="1"/>
  <c r="G128" i="7" s="1"/>
  <c r="F135" i="22"/>
  <c r="G135" i="22" s="1"/>
  <c r="G127" i="7" s="1"/>
  <c r="F134" i="22"/>
  <c r="G134" i="22" s="1"/>
  <c r="G126" i="7" s="1"/>
  <c r="F133" i="22"/>
  <c r="G133" i="22" s="1"/>
  <c r="G125" i="7" s="1"/>
  <c r="F132" i="22"/>
  <c r="G132" i="22" s="1"/>
  <c r="G124" i="7" s="1"/>
  <c r="F131" i="22"/>
  <c r="G131" i="22" s="1"/>
  <c r="G123" i="7" s="1"/>
  <c r="F130" i="22"/>
  <c r="G130" i="22" s="1"/>
  <c r="G122" i="7" s="1"/>
  <c r="F129" i="22"/>
  <c r="G129" i="22" s="1"/>
  <c r="G121" i="7" s="1"/>
  <c r="F127" i="22"/>
  <c r="G127" i="22" s="1"/>
  <c r="G119" i="7" s="1"/>
  <c r="F126" i="22"/>
  <c r="G126" i="22" s="1"/>
  <c r="G118" i="7" s="1"/>
  <c r="F125" i="22"/>
  <c r="F124" i="22"/>
  <c r="G124" i="22" s="1"/>
  <c r="G116" i="7" s="1"/>
  <c r="F123" i="22"/>
  <c r="G123" i="22" s="1"/>
  <c r="G115" i="7" s="1"/>
  <c r="F121" i="22"/>
  <c r="G121" i="22" s="1"/>
  <c r="G113" i="7" s="1"/>
  <c r="F120" i="22"/>
  <c r="G120" i="22" s="1"/>
  <c r="G112" i="7" s="1"/>
  <c r="F119" i="22"/>
  <c r="G119" i="22" s="1"/>
  <c r="G111" i="7" s="1"/>
  <c r="F118" i="22"/>
  <c r="G118" i="22" s="1"/>
  <c r="G110" i="7" s="1"/>
  <c r="F117" i="22"/>
  <c r="G117" i="22" s="1"/>
  <c r="G109" i="7" s="1"/>
  <c r="F116" i="22"/>
  <c r="G116" i="22" s="1"/>
  <c r="G108" i="7" s="1"/>
  <c r="F115" i="22"/>
  <c r="G115" i="22" s="1"/>
  <c r="G107" i="7" s="1"/>
  <c r="F114" i="22"/>
  <c r="G114" i="22" s="1"/>
  <c r="G106" i="7" s="1"/>
  <c r="F113" i="22"/>
  <c r="G113" i="22" s="1"/>
  <c r="G105" i="7" s="1"/>
  <c r="F112" i="22"/>
  <c r="G112" i="22" s="1"/>
  <c r="G104" i="7" s="1"/>
  <c r="F111" i="22"/>
  <c r="G111" i="22" s="1"/>
  <c r="G103" i="7" s="1"/>
  <c r="F110" i="22"/>
  <c r="G110" i="22" s="1"/>
  <c r="G102" i="7" s="1"/>
  <c r="F109" i="22"/>
  <c r="G109" i="22" s="1"/>
  <c r="G101" i="7" s="1"/>
  <c r="F108" i="22"/>
  <c r="G108" i="22" s="1"/>
  <c r="G100" i="7" s="1"/>
  <c r="F107" i="22"/>
  <c r="G107" i="22" s="1"/>
  <c r="G99" i="7" s="1"/>
  <c r="F106" i="22"/>
  <c r="G106" i="22" s="1"/>
  <c r="G98" i="7" s="1"/>
  <c r="F105" i="22"/>
  <c r="G105" i="22" s="1"/>
  <c r="G97" i="7" s="1"/>
  <c r="F104" i="22"/>
  <c r="G104" i="22" s="1"/>
  <c r="G96" i="7" s="1"/>
  <c r="F103" i="22"/>
  <c r="G103" i="22" s="1"/>
  <c r="G95" i="7" s="1"/>
  <c r="F102" i="22"/>
  <c r="G102" i="22" s="1"/>
  <c r="G94" i="7" s="1"/>
  <c r="F101" i="22"/>
  <c r="G101" i="22" s="1"/>
  <c r="G93" i="7" s="1"/>
  <c r="F100" i="22"/>
  <c r="G100" i="22" s="1"/>
  <c r="G92" i="7" s="1"/>
  <c r="F99" i="22"/>
  <c r="G99" i="22" s="1"/>
  <c r="G91" i="7" s="1"/>
  <c r="F98" i="22"/>
  <c r="G98" i="22" s="1"/>
  <c r="G90" i="7" s="1"/>
  <c r="F97" i="22"/>
  <c r="G97" i="22" s="1"/>
  <c r="G89" i="7" s="1"/>
  <c r="F96" i="22"/>
  <c r="G96" i="22" s="1"/>
  <c r="G88" i="7" s="1"/>
  <c r="F95" i="22"/>
  <c r="G95" i="22" s="1"/>
  <c r="G87" i="7" s="1"/>
  <c r="F94" i="22"/>
  <c r="G94" i="22" s="1"/>
  <c r="G86" i="7" s="1"/>
  <c r="F93" i="22"/>
  <c r="G93" i="22" s="1"/>
  <c r="G85" i="7" s="1"/>
  <c r="F92" i="22"/>
  <c r="G92" i="22" s="1"/>
  <c r="G84" i="7" s="1"/>
  <c r="F91" i="22"/>
  <c r="G91" i="22" s="1"/>
  <c r="G83" i="7" s="1"/>
  <c r="F90" i="22"/>
  <c r="G90" i="22" s="1"/>
  <c r="G82" i="7" s="1"/>
  <c r="F89" i="22"/>
  <c r="G89" i="22" s="1"/>
  <c r="G81" i="7" s="1"/>
  <c r="F88" i="22"/>
  <c r="G88" i="22" s="1"/>
  <c r="G80" i="7" s="1"/>
  <c r="F87" i="22"/>
  <c r="G87" i="22" s="1"/>
  <c r="G79" i="7" s="1"/>
  <c r="F86" i="22"/>
  <c r="G86" i="22" s="1"/>
  <c r="G78" i="7" s="1"/>
  <c r="F85" i="22"/>
  <c r="G85" i="22" s="1"/>
  <c r="G77" i="7" s="1"/>
  <c r="F84" i="22"/>
  <c r="G84" i="22" s="1"/>
  <c r="G76" i="7" s="1"/>
  <c r="F83" i="22"/>
  <c r="G83" i="22" s="1"/>
  <c r="G75" i="7" s="1"/>
  <c r="F82" i="22"/>
  <c r="G82" i="22" s="1"/>
  <c r="G74" i="7" s="1"/>
  <c r="F81" i="22"/>
  <c r="G81" i="22" s="1"/>
  <c r="G73" i="7" s="1"/>
  <c r="F80" i="22"/>
  <c r="G80" i="22" s="1"/>
  <c r="G72" i="7" s="1"/>
  <c r="F79" i="22"/>
  <c r="G79" i="22" s="1"/>
  <c r="G71" i="7" s="1"/>
  <c r="F78" i="22"/>
  <c r="G78" i="22" s="1"/>
  <c r="G70" i="7" s="1"/>
  <c r="F77" i="22"/>
  <c r="G77" i="22" s="1"/>
  <c r="G69" i="7" s="1"/>
  <c r="F76" i="22"/>
  <c r="G76" i="22" s="1"/>
  <c r="G68" i="7" s="1"/>
  <c r="F75" i="22"/>
  <c r="G75" i="22" s="1"/>
  <c r="G67" i="7" s="1"/>
  <c r="F74" i="22"/>
  <c r="G74" i="22" s="1"/>
  <c r="G66" i="7" s="1"/>
  <c r="F73" i="22"/>
  <c r="G73" i="22" s="1"/>
  <c r="G65" i="7" s="1"/>
  <c r="F72" i="22"/>
  <c r="G72" i="22" s="1"/>
  <c r="G64" i="7" s="1"/>
  <c r="F71" i="22"/>
  <c r="G71" i="22" s="1"/>
  <c r="G63" i="7" s="1"/>
  <c r="F70" i="22"/>
  <c r="G70" i="22" s="1"/>
  <c r="G62" i="7" s="1"/>
  <c r="F69" i="22"/>
  <c r="G69" i="22" s="1"/>
  <c r="G61" i="7" s="1"/>
  <c r="F68" i="22"/>
  <c r="G68" i="22" s="1"/>
  <c r="G60" i="7" s="1"/>
  <c r="F67" i="22"/>
  <c r="G67" i="22" s="1"/>
  <c r="G59" i="7" s="1"/>
  <c r="F66" i="22"/>
  <c r="G66" i="22" s="1"/>
  <c r="G58" i="7" s="1"/>
  <c r="F65" i="22"/>
  <c r="F64" i="22"/>
  <c r="G64" i="22" s="1"/>
  <c r="G56" i="7" s="1"/>
  <c r="F63" i="22"/>
  <c r="G63" i="22" s="1"/>
  <c r="G55" i="7" s="1"/>
  <c r="F62" i="22"/>
  <c r="G62" i="22" s="1"/>
  <c r="G54" i="7" s="1"/>
  <c r="F61" i="22"/>
  <c r="G61" i="22" s="1"/>
  <c r="G53" i="7" s="1"/>
  <c r="F60" i="22"/>
  <c r="G60" i="22" s="1"/>
  <c r="G52" i="7" s="1"/>
  <c r="F59" i="22"/>
  <c r="G59" i="22" s="1"/>
  <c r="G51" i="7" s="1"/>
  <c r="F58" i="22"/>
  <c r="G58" i="22" s="1"/>
  <c r="G50" i="7" s="1"/>
  <c r="F57" i="22"/>
  <c r="G57" i="22" s="1"/>
  <c r="G49" i="7" s="1"/>
  <c r="F56" i="22"/>
  <c r="G56" i="22" s="1"/>
  <c r="G48" i="7" s="1"/>
  <c r="F55" i="22"/>
  <c r="G55" i="22" s="1"/>
  <c r="G47" i="7" s="1"/>
  <c r="F54" i="22"/>
  <c r="G54" i="22" s="1"/>
  <c r="G46" i="7" s="1"/>
  <c r="F53" i="22"/>
  <c r="F52" i="22"/>
  <c r="G52" i="22" s="1"/>
  <c r="G44" i="7" s="1"/>
  <c r="F51" i="22"/>
  <c r="G51" i="22" s="1"/>
  <c r="G43" i="7" s="1"/>
  <c r="F50" i="22"/>
  <c r="G50" i="22" s="1"/>
  <c r="G42" i="7" s="1"/>
  <c r="F49" i="22"/>
  <c r="G49" i="22" s="1"/>
  <c r="G41" i="7" s="1"/>
  <c r="F48" i="22"/>
  <c r="G48" i="22" s="1"/>
  <c r="G40" i="7" s="1"/>
  <c r="F47" i="22"/>
  <c r="G47" i="22" s="1"/>
  <c r="G39" i="7" s="1"/>
  <c r="F46" i="22"/>
  <c r="G46" i="22" s="1"/>
  <c r="G38" i="7" s="1"/>
  <c r="F45" i="22"/>
  <c r="G45" i="22" s="1"/>
  <c r="G37" i="7" s="1"/>
  <c r="F44" i="22"/>
  <c r="G44" i="22" s="1"/>
  <c r="G36" i="7" s="1"/>
  <c r="F43" i="22"/>
  <c r="G43" i="22" s="1"/>
  <c r="G35" i="7" s="1"/>
  <c r="F42" i="22"/>
  <c r="G42" i="22" s="1"/>
  <c r="G34" i="7" s="1"/>
  <c r="F41" i="22"/>
  <c r="G41" i="22" s="1"/>
  <c r="G33" i="7" s="1"/>
  <c r="F40" i="22"/>
  <c r="G40" i="22" s="1"/>
  <c r="G32" i="7" s="1"/>
  <c r="F39" i="22"/>
  <c r="G39" i="22" s="1"/>
  <c r="G31" i="7" s="1"/>
  <c r="F38" i="22"/>
  <c r="G38" i="22" s="1"/>
  <c r="G30" i="7" s="1"/>
  <c r="F36" i="22"/>
  <c r="G36" i="22" s="1"/>
  <c r="G28" i="7" s="1"/>
  <c r="F35" i="22"/>
  <c r="G35" i="22" s="1"/>
  <c r="G27" i="7" s="1"/>
  <c r="F34" i="22"/>
  <c r="G34" i="22" s="1"/>
  <c r="G26" i="7" s="1"/>
  <c r="F33" i="22"/>
  <c r="G33" i="22" s="1"/>
  <c r="G25" i="7" s="1"/>
  <c r="F32" i="22"/>
  <c r="G32" i="22" s="1"/>
  <c r="G24" i="7" s="1"/>
  <c r="F31" i="22"/>
  <c r="G31" i="22" s="1"/>
  <c r="G23" i="7" s="1"/>
  <c r="F30" i="22"/>
  <c r="G30" i="22" s="1"/>
  <c r="G22" i="7" s="1"/>
  <c r="F29" i="22"/>
  <c r="G29" i="22" s="1"/>
  <c r="G21" i="7" s="1"/>
  <c r="F28" i="22"/>
  <c r="G28" i="22" s="1"/>
  <c r="G20" i="7" s="1"/>
  <c r="F27" i="22"/>
  <c r="G27" i="22" s="1"/>
  <c r="G19" i="7" s="1"/>
  <c r="F26" i="22"/>
  <c r="G26" i="22" s="1"/>
  <c r="G18" i="7" s="1"/>
  <c r="F25" i="22"/>
  <c r="G25" i="22" s="1"/>
  <c r="G17" i="7" s="1"/>
  <c r="F24" i="22"/>
  <c r="G24" i="22" s="1"/>
  <c r="G16" i="7" s="1"/>
  <c r="F23" i="22"/>
  <c r="G23" i="22" s="1"/>
  <c r="G15" i="7" s="1"/>
  <c r="F22" i="22"/>
  <c r="G22" i="22" s="1"/>
  <c r="G14" i="7" s="1"/>
  <c r="F21" i="22"/>
  <c r="G21" i="22" s="1"/>
  <c r="G13" i="7" s="1"/>
  <c r="F20" i="22"/>
  <c r="G20" i="22" s="1"/>
  <c r="G12" i="7" s="1"/>
  <c r="F19" i="22"/>
  <c r="G19" i="22" s="1"/>
  <c r="G11" i="7" s="1"/>
  <c r="F18" i="22"/>
  <c r="G18" i="22" s="1"/>
  <c r="G10" i="7" s="1"/>
  <c r="F17" i="22"/>
  <c r="G17" i="22" s="1"/>
  <c r="G9" i="7" s="1"/>
  <c r="F16" i="22"/>
  <c r="G16" i="22" s="1"/>
  <c r="G8" i="7" s="1"/>
  <c r="F15" i="22"/>
  <c r="G15" i="22" s="1"/>
  <c r="G7" i="7" s="1"/>
  <c r="F14" i="22"/>
  <c r="G14" i="22" s="1"/>
  <c r="G6" i="7" s="1"/>
  <c r="G12" i="22"/>
  <c r="G4" i="7" s="1"/>
  <c r="G65" i="22"/>
  <c r="G57" i="7" s="1"/>
  <c r="F194" i="21"/>
  <c r="G194" i="21" s="1"/>
  <c r="F186" i="7" s="1"/>
  <c r="F193" i="21"/>
  <c r="G193" i="21" s="1"/>
  <c r="F185" i="7" s="1"/>
  <c r="F192" i="21"/>
  <c r="G192" i="21" s="1"/>
  <c r="F184" i="7" s="1"/>
  <c r="F191" i="21"/>
  <c r="G191" i="21" s="1"/>
  <c r="F183" i="7" s="1"/>
  <c r="F190" i="21"/>
  <c r="G190" i="21" s="1"/>
  <c r="F182" i="7" s="1"/>
  <c r="F189" i="21"/>
  <c r="G189" i="21" s="1"/>
  <c r="F181" i="7" s="1"/>
  <c r="F188" i="21"/>
  <c r="G188" i="21" s="1"/>
  <c r="F180" i="7" s="1"/>
  <c r="F187" i="21"/>
  <c r="G187" i="21" s="1"/>
  <c r="F179" i="7" s="1"/>
  <c r="F186" i="21"/>
  <c r="G186" i="21" s="1"/>
  <c r="F178" i="7" s="1"/>
  <c r="F185" i="21"/>
  <c r="G185" i="21" s="1"/>
  <c r="F177" i="7" s="1"/>
  <c r="F184" i="21"/>
  <c r="G184" i="21" s="1"/>
  <c r="F176" i="7" s="1"/>
  <c r="F183" i="21"/>
  <c r="G183" i="21" s="1"/>
  <c r="F175" i="7" s="1"/>
  <c r="F182" i="21"/>
  <c r="G182" i="21" s="1"/>
  <c r="F174" i="7" s="1"/>
  <c r="F181" i="21"/>
  <c r="G181" i="21" s="1"/>
  <c r="F173" i="7" s="1"/>
  <c r="F180" i="21"/>
  <c r="G180" i="21" s="1"/>
  <c r="F172" i="7" s="1"/>
  <c r="F179" i="21"/>
  <c r="G179" i="21" s="1"/>
  <c r="F171" i="7" s="1"/>
  <c r="F178" i="21"/>
  <c r="G178" i="21" s="1"/>
  <c r="F170" i="7" s="1"/>
  <c r="F177" i="21"/>
  <c r="G177" i="21" s="1"/>
  <c r="F176" i="21"/>
  <c r="G176" i="21" s="1"/>
  <c r="F175" i="21"/>
  <c r="G175" i="21" s="1"/>
  <c r="F167" i="7" s="1"/>
  <c r="F174" i="21"/>
  <c r="G174" i="21" s="1"/>
  <c r="F166" i="7" s="1"/>
  <c r="F173" i="21"/>
  <c r="G173" i="21" s="1"/>
  <c r="F165" i="7" s="1"/>
  <c r="F172" i="21"/>
  <c r="G172" i="21" s="1"/>
  <c r="F164" i="7" s="1"/>
  <c r="F171" i="21"/>
  <c r="G171" i="21" s="1"/>
  <c r="F163" i="7" s="1"/>
  <c r="F170" i="21"/>
  <c r="G170" i="21" s="1"/>
  <c r="F162" i="7" s="1"/>
  <c r="F169" i="21"/>
  <c r="G169" i="21" s="1"/>
  <c r="F161" i="7" s="1"/>
  <c r="F168" i="21"/>
  <c r="G168" i="21" s="1"/>
  <c r="F160" i="7" s="1"/>
  <c r="F167" i="21"/>
  <c r="G167" i="21" s="1"/>
  <c r="F159" i="7" s="1"/>
  <c r="F166" i="21"/>
  <c r="G166" i="21" s="1"/>
  <c r="F158" i="7" s="1"/>
  <c r="F165" i="21"/>
  <c r="G165" i="21" s="1"/>
  <c r="F157" i="7" s="1"/>
  <c r="F164" i="21"/>
  <c r="G164" i="21" s="1"/>
  <c r="F156" i="7" s="1"/>
  <c r="F163" i="21"/>
  <c r="G163" i="21" s="1"/>
  <c r="F155" i="7" s="1"/>
  <c r="F162" i="21"/>
  <c r="G162" i="21" s="1"/>
  <c r="F154" i="7" s="1"/>
  <c r="F161" i="21"/>
  <c r="G161" i="21" s="1"/>
  <c r="F153" i="7" s="1"/>
  <c r="F160" i="21"/>
  <c r="G160" i="21" s="1"/>
  <c r="F152" i="7" s="1"/>
  <c r="F159" i="21"/>
  <c r="G159" i="21" s="1"/>
  <c r="F151" i="7" s="1"/>
  <c r="F158" i="21"/>
  <c r="G158" i="21" s="1"/>
  <c r="F150" i="7" s="1"/>
  <c r="F157" i="21"/>
  <c r="G157" i="21" s="1"/>
  <c r="F149" i="7" s="1"/>
  <c r="F156" i="21"/>
  <c r="G156" i="21" s="1"/>
  <c r="F148" i="7" s="1"/>
  <c r="F155" i="21"/>
  <c r="G155" i="21" s="1"/>
  <c r="F147" i="7" s="1"/>
  <c r="F154" i="21"/>
  <c r="G154" i="21" s="1"/>
  <c r="F146" i="7" s="1"/>
  <c r="F152" i="21"/>
  <c r="G152" i="21" s="1"/>
  <c r="F144" i="7" s="1"/>
  <c r="F151" i="21"/>
  <c r="G151" i="21" s="1"/>
  <c r="F143" i="7" s="1"/>
  <c r="F150" i="21"/>
  <c r="G150" i="21" s="1"/>
  <c r="F142" i="7" s="1"/>
  <c r="F149" i="21"/>
  <c r="G149" i="21" s="1"/>
  <c r="F141" i="7" s="1"/>
  <c r="F148" i="21"/>
  <c r="G148" i="21" s="1"/>
  <c r="F140" i="7" s="1"/>
  <c r="F147" i="21"/>
  <c r="G147" i="21" s="1"/>
  <c r="F139" i="7" s="1"/>
  <c r="F146" i="21"/>
  <c r="G146" i="21" s="1"/>
  <c r="F138" i="7" s="1"/>
  <c r="F144" i="21"/>
  <c r="G144" i="21" s="1"/>
  <c r="F136" i="7" s="1"/>
  <c r="F143" i="21"/>
  <c r="G143" i="21" s="1"/>
  <c r="F135" i="7" s="1"/>
  <c r="F142" i="21"/>
  <c r="G142" i="21" s="1"/>
  <c r="F134" i="7" s="1"/>
  <c r="F141" i="21"/>
  <c r="G141" i="21" s="1"/>
  <c r="F133" i="7" s="1"/>
  <c r="F140" i="21"/>
  <c r="G140" i="21" s="1"/>
  <c r="F132" i="7" s="1"/>
  <c r="F139" i="21"/>
  <c r="G139" i="21" s="1"/>
  <c r="F131" i="7" s="1"/>
  <c r="F138" i="21"/>
  <c r="G138" i="21" s="1"/>
  <c r="F130" i="7" s="1"/>
  <c r="F137" i="21"/>
  <c r="G137" i="21" s="1"/>
  <c r="F129" i="7" s="1"/>
  <c r="F135" i="21"/>
  <c r="G135" i="21" s="1"/>
  <c r="F127" i="7" s="1"/>
  <c r="F134" i="21"/>
  <c r="G134" i="21" s="1"/>
  <c r="F126" i="7" s="1"/>
  <c r="F133" i="21"/>
  <c r="G133" i="21" s="1"/>
  <c r="F125" i="7" s="1"/>
  <c r="F132" i="21"/>
  <c r="G132" i="21" s="1"/>
  <c r="F124" i="7" s="1"/>
  <c r="F131" i="21"/>
  <c r="G131" i="21" s="1"/>
  <c r="F123" i="7" s="1"/>
  <c r="F130" i="21"/>
  <c r="G130" i="21" s="1"/>
  <c r="F122" i="7" s="1"/>
  <c r="F129" i="21"/>
  <c r="G129" i="21" s="1"/>
  <c r="F121" i="7" s="1"/>
  <c r="F127" i="21"/>
  <c r="G127" i="21" s="1"/>
  <c r="F119" i="7" s="1"/>
  <c r="F126" i="21"/>
  <c r="G126" i="21" s="1"/>
  <c r="F118" i="7" s="1"/>
  <c r="F125" i="21"/>
  <c r="G125" i="21" s="1"/>
  <c r="F117" i="7" s="1"/>
  <c r="F124" i="21"/>
  <c r="G124" i="21" s="1"/>
  <c r="F116" i="7" s="1"/>
  <c r="F123" i="21"/>
  <c r="G123" i="21" s="1"/>
  <c r="F115" i="7" s="1"/>
  <c r="F121" i="21"/>
  <c r="G121" i="21" s="1"/>
  <c r="F113" i="7" s="1"/>
  <c r="F120" i="21"/>
  <c r="G120" i="21" s="1"/>
  <c r="F112" i="7" s="1"/>
  <c r="F119" i="21"/>
  <c r="G119" i="21" s="1"/>
  <c r="F111" i="7" s="1"/>
  <c r="F118" i="21"/>
  <c r="G118" i="21" s="1"/>
  <c r="F110" i="7" s="1"/>
  <c r="F117" i="21"/>
  <c r="G117" i="21" s="1"/>
  <c r="F109" i="7" s="1"/>
  <c r="F116" i="21"/>
  <c r="G116" i="21" s="1"/>
  <c r="F108" i="7" s="1"/>
  <c r="F115" i="21"/>
  <c r="G115" i="21" s="1"/>
  <c r="F107" i="7" s="1"/>
  <c r="F114" i="21"/>
  <c r="G114" i="21" s="1"/>
  <c r="F106" i="7" s="1"/>
  <c r="F113" i="21"/>
  <c r="G113" i="21" s="1"/>
  <c r="F105" i="7" s="1"/>
  <c r="F112" i="21"/>
  <c r="G112" i="21" s="1"/>
  <c r="F104" i="7" s="1"/>
  <c r="F111" i="21"/>
  <c r="G111" i="21" s="1"/>
  <c r="F103" i="7" s="1"/>
  <c r="F110" i="21"/>
  <c r="G110" i="21" s="1"/>
  <c r="F102" i="7" s="1"/>
  <c r="F109" i="21"/>
  <c r="G109" i="21" s="1"/>
  <c r="F101" i="7" s="1"/>
  <c r="F108" i="21"/>
  <c r="G108" i="21" s="1"/>
  <c r="F100" i="7" s="1"/>
  <c r="F107" i="21"/>
  <c r="G107" i="21" s="1"/>
  <c r="F99" i="7" s="1"/>
  <c r="F106" i="21"/>
  <c r="G106" i="21" s="1"/>
  <c r="F98" i="7" s="1"/>
  <c r="F105" i="21"/>
  <c r="G105" i="21" s="1"/>
  <c r="F97" i="7" s="1"/>
  <c r="F104" i="21"/>
  <c r="G104" i="21" s="1"/>
  <c r="F96" i="7" s="1"/>
  <c r="F103" i="21"/>
  <c r="G103" i="21" s="1"/>
  <c r="F95" i="7" s="1"/>
  <c r="F102" i="21"/>
  <c r="G102" i="21" s="1"/>
  <c r="F94" i="7" s="1"/>
  <c r="F101" i="21"/>
  <c r="G101" i="21" s="1"/>
  <c r="F93" i="7" s="1"/>
  <c r="F100" i="21"/>
  <c r="G100" i="21" s="1"/>
  <c r="F92" i="7" s="1"/>
  <c r="F99" i="21"/>
  <c r="G99" i="21" s="1"/>
  <c r="F91" i="7" s="1"/>
  <c r="F98" i="21"/>
  <c r="G98" i="21" s="1"/>
  <c r="F90" i="7" s="1"/>
  <c r="F97" i="21"/>
  <c r="G97" i="21" s="1"/>
  <c r="F89" i="7" s="1"/>
  <c r="F96" i="21"/>
  <c r="G96" i="21" s="1"/>
  <c r="F88" i="7" s="1"/>
  <c r="F95" i="21"/>
  <c r="G95" i="21" s="1"/>
  <c r="F87" i="7" s="1"/>
  <c r="F94" i="21"/>
  <c r="G94" i="21" s="1"/>
  <c r="F86" i="7" s="1"/>
  <c r="F93" i="21"/>
  <c r="G93" i="21" s="1"/>
  <c r="F85" i="7" s="1"/>
  <c r="F92" i="21"/>
  <c r="G92" i="21" s="1"/>
  <c r="F84" i="7" s="1"/>
  <c r="F91" i="21"/>
  <c r="G91" i="21" s="1"/>
  <c r="F83" i="7" s="1"/>
  <c r="F90" i="21"/>
  <c r="G90" i="21" s="1"/>
  <c r="F82" i="7" s="1"/>
  <c r="F89" i="21"/>
  <c r="G89" i="21" s="1"/>
  <c r="F81" i="7" s="1"/>
  <c r="F88" i="21"/>
  <c r="G88" i="21" s="1"/>
  <c r="F80" i="7" s="1"/>
  <c r="F87" i="21"/>
  <c r="G87" i="21" s="1"/>
  <c r="F79" i="7" s="1"/>
  <c r="F86" i="21"/>
  <c r="G86" i="21" s="1"/>
  <c r="F78" i="7" s="1"/>
  <c r="F85" i="21"/>
  <c r="G85" i="21" s="1"/>
  <c r="F77" i="7" s="1"/>
  <c r="F84" i="21"/>
  <c r="G84" i="21" s="1"/>
  <c r="F76" i="7" s="1"/>
  <c r="F83" i="21"/>
  <c r="G83" i="21" s="1"/>
  <c r="F75" i="7" s="1"/>
  <c r="F82" i="21"/>
  <c r="G82" i="21" s="1"/>
  <c r="F74" i="7" s="1"/>
  <c r="F81" i="21"/>
  <c r="G81" i="21" s="1"/>
  <c r="F73" i="7" s="1"/>
  <c r="F80" i="21"/>
  <c r="G80" i="21" s="1"/>
  <c r="F72" i="7" s="1"/>
  <c r="F79" i="21"/>
  <c r="G79" i="21" s="1"/>
  <c r="F71" i="7" s="1"/>
  <c r="F78" i="21"/>
  <c r="G78" i="21" s="1"/>
  <c r="F70" i="7" s="1"/>
  <c r="F77" i="21"/>
  <c r="G77" i="21" s="1"/>
  <c r="F69" i="7" s="1"/>
  <c r="F76" i="21"/>
  <c r="G76" i="21" s="1"/>
  <c r="F68" i="7" s="1"/>
  <c r="F75" i="21"/>
  <c r="G75" i="21" s="1"/>
  <c r="F67" i="7" s="1"/>
  <c r="F74" i="21"/>
  <c r="G74" i="21" s="1"/>
  <c r="F66" i="7" s="1"/>
  <c r="F73" i="21"/>
  <c r="G73" i="21" s="1"/>
  <c r="F65" i="7" s="1"/>
  <c r="F72" i="21"/>
  <c r="G72" i="21" s="1"/>
  <c r="F64" i="7" s="1"/>
  <c r="F71" i="21"/>
  <c r="G71" i="21" s="1"/>
  <c r="F63" i="7" s="1"/>
  <c r="F70" i="21"/>
  <c r="G70" i="21" s="1"/>
  <c r="F62" i="7" s="1"/>
  <c r="F69" i="21"/>
  <c r="G69" i="21" s="1"/>
  <c r="F61" i="7" s="1"/>
  <c r="F68" i="21"/>
  <c r="G68" i="21" s="1"/>
  <c r="F60" i="7" s="1"/>
  <c r="F67" i="21"/>
  <c r="G67" i="21" s="1"/>
  <c r="F59" i="7" s="1"/>
  <c r="F66" i="21"/>
  <c r="G66" i="21" s="1"/>
  <c r="F58" i="7" s="1"/>
  <c r="F65" i="21"/>
  <c r="G65" i="21" s="1"/>
  <c r="F57" i="7" s="1"/>
  <c r="F64" i="21"/>
  <c r="G64" i="21" s="1"/>
  <c r="F56" i="7" s="1"/>
  <c r="F63" i="21"/>
  <c r="G63" i="21" s="1"/>
  <c r="F55" i="7" s="1"/>
  <c r="F61" i="21"/>
  <c r="G61" i="21" s="1"/>
  <c r="F53" i="7" s="1"/>
  <c r="F60" i="21"/>
  <c r="G60" i="21" s="1"/>
  <c r="F52" i="7" s="1"/>
  <c r="F59" i="21"/>
  <c r="G59" i="21" s="1"/>
  <c r="F51" i="7" s="1"/>
  <c r="F58" i="21"/>
  <c r="G58" i="21" s="1"/>
  <c r="F50" i="7" s="1"/>
  <c r="F57" i="21"/>
  <c r="G57" i="21" s="1"/>
  <c r="F49" i="7" s="1"/>
  <c r="F56" i="21"/>
  <c r="G56" i="21" s="1"/>
  <c r="F48" i="7" s="1"/>
  <c r="F55" i="21"/>
  <c r="G55" i="21" s="1"/>
  <c r="F47" i="7" s="1"/>
  <c r="F54" i="21"/>
  <c r="G54" i="21" s="1"/>
  <c r="F46" i="7" s="1"/>
  <c r="F53" i="21"/>
  <c r="G53" i="21" s="1"/>
  <c r="F45" i="7" s="1"/>
  <c r="F52" i="21"/>
  <c r="G52" i="21" s="1"/>
  <c r="F44" i="7" s="1"/>
  <c r="F51" i="21"/>
  <c r="G51" i="21" s="1"/>
  <c r="F43" i="7" s="1"/>
  <c r="F50" i="21"/>
  <c r="G50" i="21" s="1"/>
  <c r="F42" i="7" s="1"/>
  <c r="F49" i="21"/>
  <c r="G49" i="21" s="1"/>
  <c r="F41" i="7" s="1"/>
  <c r="F48" i="21"/>
  <c r="G48" i="21" s="1"/>
  <c r="F40" i="7" s="1"/>
  <c r="F47" i="21"/>
  <c r="G47" i="21" s="1"/>
  <c r="F39" i="7" s="1"/>
  <c r="F46" i="21"/>
  <c r="G46" i="21" s="1"/>
  <c r="F38" i="7" s="1"/>
  <c r="F45" i="21"/>
  <c r="G45" i="21" s="1"/>
  <c r="F37" i="7" s="1"/>
  <c r="F44" i="21"/>
  <c r="G44" i="21" s="1"/>
  <c r="F36" i="7" s="1"/>
  <c r="F42" i="21"/>
  <c r="G42" i="21" s="1"/>
  <c r="F34" i="7" s="1"/>
  <c r="F41" i="21"/>
  <c r="G41" i="21" s="1"/>
  <c r="F33" i="7" s="1"/>
  <c r="F40" i="21"/>
  <c r="G40" i="21" s="1"/>
  <c r="F32" i="7" s="1"/>
  <c r="F38" i="21"/>
  <c r="G38" i="21" s="1"/>
  <c r="F30" i="7" s="1"/>
  <c r="F36" i="21"/>
  <c r="G36" i="21" s="1"/>
  <c r="F28" i="7" s="1"/>
  <c r="F35" i="21"/>
  <c r="G35" i="21" s="1"/>
  <c r="F27" i="7" s="1"/>
  <c r="F34" i="21"/>
  <c r="G34" i="21" s="1"/>
  <c r="F26" i="7" s="1"/>
  <c r="F33" i="21"/>
  <c r="G33" i="21" s="1"/>
  <c r="F25" i="7" s="1"/>
  <c r="F32" i="21"/>
  <c r="G32" i="21" s="1"/>
  <c r="F24" i="7" s="1"/>
  <c r="F31" i="21"/>
  <c r="G31" i="21" s="1"/>
  <c r="F23" i="7" s="1"/>
  <c r="F30" i="21"/>
  <c r="G30" i="21" s="1"/>
  <c r="F22" i="7" s="1"/>
  <c r="F29" i="21"/>
  <c r="G29" i="21" s="1"/>
  <c r="F21" i="7" s="1"/>
  <c r="F28" i="21"/>
  <c r="G28" i="21" s="1"/>
  <c r="F20" i="7" s="1"/>
  <c r="F27" i="21"/>
  <c r="G27" i="21" s="1"/>
  <c r="F19" i="7" s="1"/>
  <c r="F26" i="21"/>
  <c r="G26" i="21" s="1"/>
  <c r="F18" i="7" s="1"/>
  <c r="F25" i="21"/>
  <c r="G25" i="21" s="1"/>
  <c r="F17" i="7" s="1"/>
  <c r="F24" i="21"/>
  <c r="G24" i="21" s="1"/>
  <c r="F16" i="7" s="1"/>
  <c r="F23" i="21"/>
  <c r="G23" i="21" s="1"/>
  <c r="F15" i="7" s="1"/>
  <c r="F22" i="21"/>
  <c r="G22" i="21" s="1"/>
  <c r="F14" i="7" s="1"/>
  <c r="F21" i="21"/>
  <c r="G21" i="21" s="1"/>
  <c r="F13" i="7" s="1"/>
  <c r="F20" i="21"/>
  <c r="G20" i="21" s="1"/>
  <c r="F12" i="7" s="1"/>
  <c r="F17" i="21"/>
  <c r="G17" i="21" s="1"/>
  <c r="F9" i="7" s="1"/>
  <c r="F16" i="21"/>
  <c r="G16" i="21" s="1"/>
  <c r="F8" i="7" s="1"/>
  <c r="F15" i="21"/>
  <c r="G15" i="21" s="1"/>
  <c r="F7" i="7" s="1"/>
  <c r="F13" i="21"/>
  <c r="G13" i="21" s="1"/>
  <c r="F5" i="7" s="1"/>
  <c r="F12" i="21"/>
  <c r="G12" i="21" s="1"/>
  <c r="F4" i="7" s="1"/>
  <c r="AM196" i="21"/>
  <c r="AL196" i="21"/>
  <c r="AK196" i="21"/>
  <c r="AJ196" i="21"/>
  <c r="AI196" i="21"/>
  <c r="AM14" i="11"/>
  <c r="AL14" i="11"/>
  <c r="AK14" i="11"/>
  <c r="AJ14" i="11"/>
  <c r="AI14" i="11"/>
  <c r="F16" i="1"/>
  <c r="G19" i="10"/>
  <c r="D171" i="7" s="1"/>
  <c r="F18" i="10"/>
  <c r="G18" i="10" s="1"/>
  <c r="D111" i="7" s="1"/>
  <c r="F17" i="10"/>
  <c r="G17" i="10" s="1"/>
  <c r="D93" i="7" s="1"/>
  <c r="F16" i="10"/>
  <c r="G16" i="10" s="1"/>
  <c r="D67" i="7" s="1"/>
  <c r="F13" i="10"/>
  <c r="G13" i="10" s="1"/>
  <c r="D53" i="7" s="1"/>
  <c r="F12" i="10"/>
  <c r="G12" i="10" s="1"/>
  <c r="D43" i="7" s="1"/>
  <c r="AM21" i="10"/>
  <c r="AL21" i="10"/>
  <c r="AK21" i="10"/>
  <c r="AJ21" i="10"/>
  <c r="AI21" i="10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Q196" i="1"/>
  <c r="P196" i="1"/>
  <c r="O196" i="1"/>
  <c r="K196" i="1"/>
  <c r="J196" i="1"/>
  <c r="I196" i="1"/>
  <c r="I127" i="7" l="1"/>
  <c r="I128" i="7"/>
  <c r="G12" i="4"/>
  <c r="H5" i="7" s="1"/>
  <c r="F168" i="7"/>
  <c r="F169" i="7"/>
  <c r="G15" i="4"/>
  <c r="H15" i="7" s="1"/>
  <c r="G18" i="4"/>
  <c r="H43" i="7" s="1"/>
  <c r="G13" i="4"/>
  <c r="H6" i="7" s="1"/>
  <c r="G19" i="4"/>
  <c r="H53" i="7" s="1"/>
  <c r="G102" i="24"/>
  <c r="I94" i="7" s="1"/>
  <c r="G53" i="22"/>
  <c r="G45" i="7" s="1"/>
  <c r="G156" i="22"/>
  <c r="G148" i="7" s="1"/>
  <c r="G125" i="22"/>
  <c r="G117" i="7" s="1"/>
  <c r="F19" i="21"/>
  <c r="G19" i="21" s="1"/>
  <c r="F11" i="7" s="1"/>
  <c r="F14" i="21"/>
  <c r="G14" i="21" s="1"/>
  <c r="F6" i="7" s="1"/>
  <c r="F19" i="24"/>
  <c r="G19" i="24" s="1"/>
  <c r="I11" i="7" s="1"/>
  <c r="N198" i="22" l="1"/>
  <c r="F13" i="22"/>
  <c r="N33" i="18"/>
  <c r="N196" i="1"/>
  <c r="G13" i="22" l="1"/>
  <c r="G5" i="7" s="1"/>
  <c r="F33" i="18"/>
  <c r="J11" i="7"/>
  <c r="G33" i="18" l="1"/>
  <c r="F37" i="22"/>
  <c r="F62" i="24"/>
  <c r="G62" i="24" s="1"/>
  <c r="I54" i="7" s="1"/>
  <c r="F145" i="21"/>
  <c r="G145" i="21" s="1"/>
  <c r="F137" i="7" s="1"/>
  <c r="F136" i="21"/>
  <c r="G136" i="21" s="1"/>
  <c r="F128" i="7" s="1"/>
  <c r="F122" i="21"/>
  <c r="G122" i="21" s="1"/>
  <c r="F114" i="7" s="1"/>
  <c r="F62" i="21"/>
  <c r="G62" i="21" s="1"/>
  <c r="F54" i="7" s="1"/>
  <c r="F43" i="21"/>
  <c r="G43" i="21" s="1"/>
  <c r="F35" i="7" s="1"/>
  <c r="F18" i="21"/>
  <c r="G18" i="21" s="1"/>
  <c r="F10" i="7" s="1"/>
  <c r="M196" i="1" l="1"/>
  <c r="G37" i="22"/>
  <c r="G29" i="7" s="1"/>
  <c r="F122" i="22"/>
  <c r="G122" i="22" s="1"/>
  <c r="G114" i="7" s="1"/>
  <c r="M198" i="22"/>
  <c r="F43" i="24"/>
  <c r="G43" i="24" s="1"/>
  <c r="I35" i="7" s="1"/>
  <c r="E21" i="10" l="1"/>
  <c r="F108" i="24" l="1"/>
  <c r="F194" i="24"/>
  <c r="G194" i="24" s="1"/>
  <c r="I186" i="7" s="1"/>
  <c r="Y196" i="24"/>
  <c r="Z196" i="24"/>
  <c r="AA196" i="24"/>
  <c r="AB196" i="24"/>
  <c r="AC196" i="24"/>
  <c r="AD196" i="24"/>
  <c r="AE196" i="24"/>
  <c r="AF196" i="24"/>
  <c r="AG196" i="24"/>
  <c r="AH196" i="24"/>
  <c r="G108" i="24" l="1"/>
  <c r="I100" i="7" s="1"/>
  <c r="F196" i="24"/>
  <c r="F128" i="22"/>
  <c r="L198" i="22"/>
  <c r="F39" i="21"/>
  <c r="G39" i="21" s="1"/>
  <c r="F31" i="7" s="1"/>
  <c r="F37" i="21"/>
  <c r="G37" i="21" s="1"/>
  <c r="F29" i="7" s="1"/>
  <c r="G196" i="24" l="1"/>
  <c r="G128" i="22"/>
  <c r="G120" i="7" s="1"/>
  <c r="F198" i="22"/>
  <c r="F128" i="21"/>
  <c r="G128" i="21" s="1"/>
  <c r="F120" i="7" s="1"/>
  <c r="F153" i="21"/>
  <c r="G153" i="21" s="1"/>
  <c r="F145" i="7" s="1"/>
  <c r="L196" i="1" l="1"/>
  <c r="AF2" i="24"/>
  <c r="AB2" i="24"/>
  <c r="V2" i="24"/>
  <c r="P2" i="24"/>
  <c r="J2" i="24"/>
  <c r="AF1" i="24"/>
  <c r="AB1" i="24"/>
  <c r="V1" i="24"/>
  <c r="P1" i="24"/>
  <c r="J1" i="24"/>
  <c r="I194" i="7" l="1"/>
  <c r="AB2" i="22"/>
  <c r="AG1" i="22"/>
  <c r="AB1" i="22"/>
  <c r="V1" i="22"/>
  <c r="P1" i="22"/>
  <c r="J1" i="22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T196" i="21"/>
  <c r="T201" i="21" s="1"/>
  <c r="S196" i="21"/>
  <c r="R196" i="21"/>
  <c r="P196" i="21"/>
  <c r="O196" i="21"/>
  <c r="N196" i="21"/>
  <c r="M196" i="21"/>
  <c r="L196" i="21"/>
  <c r="K196" i="21"/>
  <c r="J196" i="21"/>
  <c r="I196" i="21"/>
  <c r="H196" i="21"/>
  <c r="AG2" i="21"/>
  <c r="AG1" i="21"/>
  <c r="AB1" i="21"/>
  <c r="V1" i="21"/>
  <c r="P1" i="21"/>
  <c r="J1" i="21"/>
  <c r="G190" i="22" l="1"/>
  <c r="G182" i="7" s="1"/>
  <c r="AG2" i="22"/>
  <c r="J2" i="22"/>
  <c r="P2" i="21"/>
  <c r="P2" i="22"/>
  <c r="V2" i="22"/>
  <c r="F196" i="21"/>
  <c r="V2" i="21"/>
  <c r="AB2" i="21"/>
  <c r="J2" i="21"/>
  <c r="G198" i="22" l="1"/>
  <c r="G196" i="21"/>
  <c r="G194" i="7" l="1"/>
  <c r="F12" i="11" l="1"/>
  <c r="G12" i="11" s="1"/>
  <c r="E192" i="7" s="1"/>
  <c r="E194" i="7" s="1"/>
  <c r="G14" i="11" l="1"/>
  <c r="F14" i="11"/>
  <c r="H14" i="11" l="1"/>
  <c r="I14" i="11"/>
  <c r="J14" i="11"/>
  <c r="K14" i="11"/>
  <c r="L14" i="11"/>
  <c r="M14" i="11"/>
  <c r="N14" i="11"/>
  <c r="O14" i="11"/>
  <c r="P14" i="11"/>
  <c r="Q14" i="11"/>
  <c r="R14" i="11"/>
  <c r="C21" i="10"/>
  <c r="AF2" i="18" l="1"/>
  <c r="AB2" i="18"/>
  <c r="V2" i="18"/>
  <c r="P2" i="18"/>
  <c r="J2" i="18"/>
  <c r="AF1" i="18"/>
  <c r="AB1" i="18"/>
  <c r="V1" i="18"/>
  <c r="P1" i="18"/>
  <c r="J1" i="18"/>
  <c r="J194" i="7" l="1"/>
  <c r="AG2" i="4" l="1"/>
  <c r="AG1" i="4"/>
  <c r="AB2" i="4"/>
  <c r="AB1" i="4"/>
  <c r="V2" i="4"/>
  <c r="V1" i="4"/>
  <c r="P2" i="4"/>
  <c r="P1" i="4"/>
  <c r="J2" i="4"/>
  <c r="J1" i="4"/>
  <c r="AF1" i="11"/>
  <c r="Z1" i="11"/>
  <c r="R1" i="11"/>
  <c r="J1" i="11"/>
  <c r="AE1" i="10"/>
  <c r="X1" i="10"/>
  <c r="Q1" i="10"/>
  <c r="J1" i="10"/>
  <c r="AF2" i="1"/>
  <c r="AF1" i="1"/>
  <c r="AB2" i="1"/>
  <c r="AB1" i="1"/>
  <c r="V2" i="1"/>
  <c r="V1" i="1"/>
  <c r="P2" i="1"/>
  <c r="P1" i="1"/>
  <c r="J2" i="1"/>
  <c r="J1" i="1"/>
  <c r="C4" i="10" l="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AA21" i="10"/>
  <c r="AB21" i="10"/>
  <c r="AC21" i="10"/>
  <c r="AD21" i="10"/>
  <c r="AE21" i="10"/>
  <c r="AF21" i="10"/>
  <c r="AG21" i="10"/>
  <c r="AH21" i="10"/>
  <c r="AF2" i="11" l="1"/>
  <c r="Z2" i="11"/>
  <c r="R2" i="11"/>
  <c r="J2" i="11"/>
  <c r="AE2" i="10"/>
  <c r="Q2" i="10"/>
  <c r="X2" i="10"/>
  <c r="J2" i="10"/>
  <c r="F194" i="7" l="1"/>
  <c r="V21" i="10" l="1"/>
  <c r="K21" i="10"/>
  <c r="M21" i="10"/>
  <c r="T21" i="10"/>
  <c r="H21" i="10"/>
  <c r="P21" i="10"/>
  <c r="X21" i="10"/>
  <c r="U21" i="10"/>
  <c r="W21" i="10"/>
  <c r="S21" i="10"/>
  <c r="J21" i="10"/>
  <c r="Q21" i="10"/>
  <c r="O21" i="10"/>
  <c r="R21" i="10"/>
  <c r="Z21" i="10"/>
  <c r="N21" i="10"/>
  <c r="L21" i="10"/>
  <c r="I21" i="10"/>
  <c r="F14" i="10"/>
  <c r="G14" i="10" s="1"/>
  <c r="Y21" i="10"/>
  <c r="G21" i="10" l="1"/>
  <c r="D56" i="7"/>
  <c r="D194" i="7" s="1"/>
  <c r="F21" i="10"/>
  <c r="F57" i="1" l="1"/>
  <c r="G57" i="1" s="1"/>
  <c r="C49" i="7" s="1"/>
  <c r="F56" i="1"/>
  <c r="G56" i="1" s="1"/>
  <c r="C48" i="7" s="1"/>
  <c r="H196" i="1"/>
  <c r="F137" i="1"/>
  <c r="G137" i="1"/>
  <c r="C129" i="7" s="1"/>
  <c r="F94" i="1"/>
  <c r="G94" i="1"/>
  <c r="C86" i="7" s="1"/>
  <c r="F99" i="1"/>
  <c r="G99" i="1" s="1"/>
  <c r="C91" i="7" s="1"/>
  <c r="F37" i="1"/>
  <c r="G37" i="1" s="1"/>
  <c r="C29" i="7" s="1"/>
  <c r="F146" i="1"/>
  <c r="G146" i="1" s="1"/>
  <c r="C138" i="7" s="1"/>
  <c r="F98" i="1"/>
  <c r="G98" i="1" s="1"/>
  <c r="C90" i="7" s="1"/>
  <c r="F50" i="1"/>
  <c r="G50" i="1" s="1"/>
  <c r="C42" i="7" s="1"/>
  <c r="F147" i="1"/>
  <c r="G147" i="1" s="1"/>
  <c r="C139" i="7" s="1"/>
  <c r="F149" i="1"/>
  <c r="G149" i="1" s="1"/>
  <c r="C141" i="7" s="1"/>
  <c r="F183" i="1"/>
  <c r="G183" i="1"/>
  <c r="C175" i="7" s="1"/>
  <c r="F60" i="1"/>
  <c r="G60" i="1" s="1"/>
  <c r="C52" i="7" s="1"/>
  <c r="F17" i="1"/>
  <c r="G17" i="1" s="1"/>
  <c r="C9" i="7" s="1"/>
  <c r="F106" i="1"/>
  <c r="G106" i="1" s="1"/>
  <c r="C98" i="7" s="1"/>
  <c r="F129" i="1"/>
  <c r="G129" i="1" s="1"/>
  <c r="C121" i="7" s="1"/>
  <c r="F167" i="1"/>
  <c r="G167" i="1" s="1"/>
  <c r="C159" i="7" s="1"/>
  <c r="F151" i="1"/>
  <c r="G151" i="1" s="1"/>
  <c r="C143" i="7" s="1"/>
  <c r="F49" i="1"/>
  <c r="G49" i="1" s="1"/>
  <c r="C41" i="7" s="1"/>
  <c r="F155" i="1"/>
  <c r="G155" i="1"/>
  <c r="C147" i="7" s="1"/>
  <c r="F124" i="1"/>
  <c r="G124" i="1" s="1"/>
  <c r="C116" i="7" s="1"/>
  <c r="F84" i="1"/>
  <c r="G84" i="1" s="1"/>
  <c r="C76" i="7" s="1"/>
  <c r="F191" i="1"/>
  <c r="G191" i="1" s="1"/>
  <c r="C183" i="7" s="1"/>
  <c r="F95" i="1"/>
  <c r="G95" i="1" s="1"/>
  <c r="C87" i="7" s="1"/>
  <c r="F52" i="1"/>
  <c r="G52" i="1" s="1"/>
  <c r="C44" i="7" s="1"/>
  <c r="F159" i="1"/>
  <c r="G159" i="1" s="1"/>
  <c r="C151" i="7" s="1"/>
  <c r="F175" i="1"/>
  <c r="G175" i="1" s="1"/>
  <c r="C167" i="7" s="1"/>
  <c r="F69" i="1"/>
  <c r="G69" i="1" s="1"/>
  <c r="C61" i="7" s="1"/>
  <c r="F142" i="1"/>
  <c r="G142" i="1" s="1"/>
  <c r="C134" i="7" s="1"/>
  <c r="F190" i="1"/>
  <c r="G190" i="1" s="1"/>
  <c r="C182" i="7" s="1"/>
  <c r="F87" i="1"/>
  <c r="G87" i="1" s="1"/>
  <c r="C79" i="7" s="1"/>
  <c r="F162" i="1"/>
  <c r="G162" i="1" s="1"/>
  <c r="C154" i="7" s="1"/>
  <c r="F90" i="1"/>
  <c r="G90" i="1" s="1"/>
  <c r="C82" i="7" s="1"/>
  <c r="F148" i="1"/>
  <c r="G148" i="1" s="1"/>
  <c r="C140" i="7" s="1"/>
  <c r="F153" i="1"/>
  <c r="G153" i="1" s="1"/>
  <c r="C145" i="7" s="1"/>
  <c r="F41" i="1"/>
  <c r="G41" i="1" s="1"/>
  <c r="C33" i="7" s="1"/>
  <c r="F101" i="1"/>
  <c r="G101" i="1" s="1"/>
  <c r="C93" i="7" s="1"/>
  <c r="F55" i="1"/>
  <c r="G55" i="1" s="1"/>
  <c r="C47" i="7" s="1"/>
  <c r="F131" i="1"/>
  <c r="G131" i="1" s="1"/>
  <c r="C123" i="7" s="1"/>
  <c r="F123" i="1"/>
  <c r="G123" i="1" s="1"/>
  <c r="C115" i="7" s="1"/>
  <c r="F134" i="1"/>
  <c r="G134" i="1" s="1"/>
  <c r="C126" i="7" s="1"/>
  <c r="F158" i="1"/>
  <c r="G158" i="1" s="1"/>
  <c r="C150" i="7" s="1"/>
  <c r="F46" i="1"/>
  <c r="G46" i="1" s="1"/>
  <c r="C38" i="7" s="1"/>
  <c r="F85" i="1"/>
  <c r="G85" i="1" s="1"/>
  <c r="C77" i="7" s="1"/>
  <c r="F43" i="1"/>
  <c r="G43" i="1" s="1"/>
  <c r="C35" i="7" s="1"/>
  <c r="F117" i="1"/>
  <c r="G117" i="1" s="1"/>
  <c r="C109" i="7" s="1"/>
  <c r="F32" i="1"/>
  <c r="G32" i="1"/>
  <c r="C24" i="7" s="1"/>
  <c r="F178" i="1"/>
  <c r="G178" i="1" s="1"/>
  <c r="C170" i="7" s="1"/>
  <c r="F23" i="1"/>
  <c r="G23" i="1" s="1"/>
  <c r="C15" i="7" s="1"/>
  <c r="F187" i="1"/>
  <c r="G187" i="1" s="1"/>
  <c r="C179" i="7" s="1"/>
  <c r="F102" i="1"/>
  <c r="G102" i="1" s="1"/>
  <c r="C94" i="7" s="1"/>
  <c r="F115" i="1"/>
  <c r="G115" i="1" s="1"/>
  <c r="C107" i="7" s="1"/>
  <c r="F189" i="1"/>
  <c r="G189" i="1" s="1"/>
  <c r="C181" i="7" s="1"/>
  <c r="F184" i="1"/>
  <c r="G184" i="1" s="1"/>
  <c r="C176" i="7" s="1"/>
  <c r="F173" i="1"/>
  <c r="G173" i="1" s="1"/>
  <c r="C165" i="7" s="1"/>
  <c r="F58" i="1"/>
  <c r="G58" i="1" s="1"/>
  <c r="C50" i="7" s="1"/>
  <c r="F77" i="1"/>
  <c r="G77" i="1" s="1"/>
  <c r="C69" i="7" s="1"/>
  <c r="F31" i="1"/>
  <c r="G31" i="1" s="1"/>
  <c r="C23" i="7" s="1"/>
  <c r="F141" i="1"/>
  <c r="G141" i="1" s="1"/>
  <c r="C133" i="7" s="1"/>
  <c r="F119" i="1"/>
  <c r="G119" i="1" s="1"/>
  <c r="C111" i="7" s="1"/>
  <c r="F70" i="1"/>
  <c r="G70" i="1" s="1"/>
  <c r="C62" i="7" s="1"/>
  <c r="F109" i="1"/>
  <c r="G109" i="1" s="1"/>
  <c r="C101" i="7" s="1"/>
  <c r="F104" i="1"/>
  <c r="G104" i="1" s="1"/>
  <c r="C96" i="7" s="1"/>
  <c r="F82" i="1"/>
  <c r="G82" i="1" s="1"/>
  <c r="C74" i="7" s="1"/>
  <c r="F143" i="1"/>
  <c r="G143" i="1"/>
  <c r="C135" i="7" s="1"/>
  <c r="F177" i="1"/>
  <c r="G177" i="1" s="1"/>
  <c r="C169" i="7" s="1"/>
  <c r="F136" i="1"/>
  <c r="G136" i="1" s="1"/>
  <c r="C128" i="7" s="1"/>
  <c r="F59" i="1"/>
  <c r="G59" i="1"/>
  <c r="C51" i="7" s="1"/>
  <c r="F96" i="1"/>
  <c r="G96" i="1" s="1"/>
  <c r="C88" i="7" s="1"/>
  <c r="F89" i="1"/>
  <c r="G89" i="1" s="1"/>
  <c r="C81" i="7" s="1"/>
  <c r="F194" i="1"/>
  <c r="G194" i="1" s="1"/>
  <c r="C186" i="7" s="1"/>
  <c r="F150" i="1"/>
  <c r="G150" i="1" s="1"/>
  <c r="C142" i="7" s="1"/>
  <c r="F180" i="1"/>
  <c r="G180" i="1" s="1"/>
  <c r="C172" i="7" s="1"/>
  <c r="F62" i="1"/>
  <c r="G62" i="1" s="1"/>
  <c r="C54" i="7" s="1"/>
  <c r="F39" i="1"/>
  <c r="G39" i="1" s="1"/>
  <c r="C31" i="7" s="1"/>
  <c r="F111" i="1"/>
  <c r="G111" i="1"/>
  <c r="C103" i="7" s="1"/>
  <c r="F163" i="1"/>
  <c r="G163" i="1" s="1"/>
  <c r="C155" i="7" s="1"/>
  <c r="F91" i="1"/>
  <c r="G91" i="1" s="1"/>
  <c r="C83" i="7" s="1"/>
  <c r="F83" i="1"/>
  <c r="G83" i="1" s="1"/>
  <c r="C75" i="7" s="1"/>
  <c r="F81" i="1"/>
  <c r="G81" i="1" s="1"/>
  <c r="C73" i="7" s="1"/>
  <c r="F138" i="1"/>
  <c r="G138" i="1" s="1"/>
  <c r="C130" i="7" s="1"/>
  <c r="F126" i="1"/>
  <c r="G126" i="1" s="1"/>
  <c r="C118" i="7" s="1"/>
  <c r="F128" i="1"/>
  <c r="G128" i="1" s="1"/>
  <c r="C120" i="7" s="1"/>
  <c r="F164" i="1"/>
  <c r="G164" i="1" s="1"/>
  <c r="C156" i="7" s="1"/>
  <c r="F188" i="1"/>
  <c r="G188" i="1" s="1"/>
  <c r="C180" i="7" s="1"/>
  <c r="F170" i="1"/>
  <c r="G170" i="1" s="1"/>
  <c r="C162" i="7" s="1"/>
  <c r="F38" i="1"/>
  <c r="G38" i="1" s="1"/>
  <c r="C30" i="7" s="1"/>
  <c r="F25" i="1"/>
  <c r="G25" i="1" s="1"/>
  <c r="C17" i="7" s="1"/>
  <c r="F139" i="1"/>
  <c r="G139" i="1" s="1"/>
  <c r="C131" i="7" s="1"/>
  <c r="F36" i="1"/>
  <c r="G36" i="1" s="1"/>
  <c r="C28" i="7" s="1"/>
  <c r="F185" i="1"/>
  <c r="G185" i="1" s="1"/>
  <c r="C177" i="7" s="1"/>
  <c r="F34" i="1"/>
  <c r="G34" i="1" s="1"/>
  <c r="C26" i="7" s="1"/>
  <c r="F40" i="1"/>
  <c r="G40" i="1" s="1"/>
  <c r="C32" i="7" s="1"/>
  <c r="G165" i="1"/>
  <c r="C157" i="7" s="1"/>
  <c r="F165" i="1"/>
  <c r="F93" i="1"/>
  <c r="G93" i="1" s="1"/>
  <c r="C85" i="7" s="1"/>
  <c r="F97" i="1"/>
  <c r="G97" i="1" s="1"/>
  <c r="C89" i="7" s="1"/>
  <c r="F152" i="1"/>
  <c r="G152" i="1" s="1"/>
  <c r="C144" i="7" s="1"/>
  <c r="F105" i="1"/>
  <c r="G105" i="1" s="1"/>
  <c r="C97" i="7" s="1"/>
  <c r="F114" i="1"/>
  <c r="G114" i="1" s="1"/>
  <c r="C106" i="7" s="1"/>
  <c r="F110" i="1"/>
  <c r="G110" i="1" s="1"/>
  <c r="C102" i="7" s="1"/>
  <c r="F20" i="1"/>
  <c r="G20" i="1" s="1"/>
  <c r="C12" i="7" s="1"/>
  <c r="F156" i="1"/>
  <c r="G156" i="1" s="1"/>
  <c r="C148" i="7" s="1"/>
  <c r="F53" i="1"/>
  <c r="G53" i="1" s="1"/>
  <c r="C45" i="7" s="1"/>
  <c r="F12" i="1"/>
  <c r="G12" i="1" s="1"/>
  <c r="C4" i="7" s="1"/>
  <c r="F61" i="1"/>
  <c r="G61" i="1" s="1"/>
  <c r="C53" i="7" s="1"/>
  <c r="F133" i="1"/>
  <c r="G133" i="1" s="1"/>
  <c r="C125" i="7" s="1"/>
  <c r="F64" i="1"/>
  <c r="G64" i="1" s="1"/>
  <c r="C56" i="7" s="1"/>
  <c r="F26" i="1"/>
  <c r="G26" i="1" s="1"/>
  <c r="C18" i="7" s="1"/>
  <c r="F176" i="1"/>
  <c r="G176" i="1" s="1"/>
  <c r="C168" i="7" s="1"/>
  <c r="F120" i="1"/>
  <c r="G120" i="1" s="1"/>
  <c r="C112" i="7" s="1"/>
  <c r="F22" i="1"/>
  <c r="G22" i="1" s="1"/>
  <c r="C14" i="7" s="1"/>
  <c r="F72" i="1"/>
  <c r="G72" i="1" s="1"/>
  <c r="C64" i="7" s="1"/>
  <c r="F71" i="1"/>
  <c r="G71" i="1" s="1"/>
  <c r="C63" i="7" s="1"/>
  <c r="F47" i="1"/>
  <c r="G47" i="1" s="1"/>
  <c r="C39" i="7" s="1"/>
  <c r="F45" i="1"/>
  <c r="G45" i="1" s="1"/>
  <c r="C37" i="7" s="1"/>
  <c r="F13" i="1"/>
  <c r="G13" i="1" s="1"/>
  <c r="C5" i="7" s="1"/>
  <c r="F29" i="1"/>
  <c r="G29" i="1" s="1"/>
  <c r="C21" i="7" s="1"/>
  <c r="F186" i="1"/>
  <c r="G186" i="1" s="1"/>
  <c r="C178" i="7" s="1"/>
  <c r="F121" i="1"/>
  <c r="G121" i="1" s="1"/>
  <c r="C113" i="7" s="1"/>
  <c r="F18" i="1"/>
  <c r="G18" i="1" s="1"/>
  <c r="C10" i="7" s="1"/>
  <c r="F122" i="1"/>
  <c r="G122" i="1" s="1"/>
  <c r="C114" i="7" s="1"/>
  <c r="F66" i="1"/>
  <c r="G66" i="1" s="1"/>
  <c r="C58" i="7" s="1"/>
  <c r="F30" i="1"/>
  <c r="G30" i="1"/>
  <c r="C22" i="7" s="1"/>
  <c r="F168" i="1"/>
  <c r="G168" i="1" s="1"/>
  <c r="C160" i="7" s="1"/>
  <c r="F100" i="1"/>
  <c r="G100" i="1" s="1"/>
  <c r="C92" i="7" s="1"/>
  <c r="F21" i="1"/>
  <c r="G21" i="1" s="1"/>
  <c r="C13" i="7" s="1"/>
  <c r="F73" i="1"/>
  <c r="G73" i="1" s="1"/>
  <c r="C65" i="7" s="1"/>
  <c r="F78" i="1"/>
  <c r="G78" i="1" s="1"/>
  <c r="C70" i="7" s="1"/>
  <c r="F19" i="1"/>
  <c r="G19" i="1" s="1"/>
  <c r="C11" i="7" s="1"/>
  <c r="F107" i="1"/>
  <c r="G107" i="1" s="1"/>
  <c r="C99" i="7" s="1"/>
  <c r="F28" i="1"/>
  <c r="G28" i="1" s="1"/>
  <c r="C20" i="7" s="1"/>
  <c r="F65" i="1"/>
  <c r="G65" i="1" s="1"/>
  <c r="C57" i="7" s="1"/>
  <c r="F54" i="1"/>
  <c r="G54" i="1" s="1"/>
  <c r="C46" i="7" s="1"/>
  <c r="F27" i="1"/>
  <c r="G27" i="1" s="1"/>
  <c r="C19" i="7" s="1"/>
  <c r="F113" i="1"/>
  <c r="G113" i="1" s="1"/>
  <c r="C105" i="7" s="1"/>
  <c r="F157" i="1"/>
  <c r="G157" i="1" s="1"/>
  <c r="C149" i="7" s="1"/>
  <c r="F103" i="1"/>
  <c r="G103" i="1" s="1"/>
  <c r="C95" i="7" s="1"/>
  <c r="F108" i="1"/>
  <c r="G108" i="1" s="1"/>
  <c r="C100" i="7" s="1"/>
  <c r="F179" i="1"/>
  <c r="G179" i="1" s="1"/>
  <c r="C171" i="7" s="1"/>
  <c r="F118" i="1"/>
  <c r="G118" i="1" s="1"/>
  <c r="C110" i="7" s="1"/>
  <c r="F161" i="1"/>
  <c r="G161" i="1" s="1"/>
  <c r="C153" i="7" s="1"/>
  <c r="F154" i="1"/>
  <c r="G154" i="1" s="1"/>
  <c r="C146" i="7" s="1"/>
  <c r="F75" i="1"/>
  <c r="G75" i="1" s="1"/>
  <c r="C67" i="7" s="1"/>
  <c r="F169" i="1"/>
  <c r="G169" i="1" s="1"/>
  <c r="C161" i="7" s="1"/>
  <c r="F48" i="1"/>
  <c r="G48" i="1" s="1"/>
  <c r="C40" i="7" s="1"/>
  <c r="F127" i="1"/>
  <c r="G127" i="1" s="1"/>
  <c r="C119" i="7" s="1"/>
  <c r="F15" i="1"/>
  <c r="G15" i="1" s="1"/>
  <c r="C7" i="7" s="1"/>
  <c r="F42" i="1"/>
  <c r="G42" i="1" s="1"/>
  <c r="C34" i="7" s="1"/>
  <c r="F74" i="1"/>
  <c r="G74" i="1" s="1"/>
  <c r="C66" i="7" s="1"/>
  <c r="F14" i="1"/>
  <c r="G14" i="1" s="1"/>
  <c r="C6" i="7" s="1"/>
  <c r="F130" i="1"/>
  <c r="G130" i="1"/>
  <c r="C122" i="7" s="1"/>
  <c r="F145" i="1"/>
  <c r="G145" i="1" s="1"/>
  <c r="C137" i="7" s="1"/>
  <c r="F76" i="1"/>
  <c r="G76" i="1" s="1"/>
  <c r="C68" i="7" s="1"/>
  <c r="F160" i="1"/>
  <c r="G160" i="1" s="1"/>
  <c r="C152" i="7" s="1"/>
  <c r="F86" i="1"/>
  <c r="G86" i="1" s="1"/>
  <c r="C78" i="7" s="1"/>
  <c r="F112" i="1"/>
  <c r="G112" i="1" s="1"/>
  <c r="C104" i="7" s="1"/>
  <c r="F35" i="1"/>
  <c r="G35" i="1" s="1"/>
  <c r="C27" i="7" s="1"/>
  <c r="F172" i="1"/>
  <c r="G172" i="1" s="1"/>
  <c r="C164" i="7" s="1"/>
  <c r="F192" i="1"/>
  <c r="G192" i="1" s="1"/>
  <c r="C184" i="7" s="1"/>
  <c r="F171" i="1"/>
  <c r="G171" i="1" s="1"/>
  <c r="C163" i="7" s="1"/>
  <c r="F132" i="1"/>
  <c r="G132" i="1" s="1"/>
  <c r="C124" i="7" s="1"/>
  <c r="F140" i="1"/>
  <c r="G140" i="1" s="1"/>
  <c r="C132" i="7" s="1"/>
  <c r="F166" i="1"/>
  <c r="G166" i="1" s="1"/>
  <c r="C158" i="7" s="1"/>
  <c r="F63" i="1"/>
  <c r="G63" i="1" s="1"/>
  <c r="C55" i="7" s="1"/>
  <c r="F125" i="1"/>
  <c r="G125" i="1" s="1"/>
  <c r="C117" i="7" s="1"/>
  <c r="F80" i="1"/>
  <c r="G80" i="1" s="1"/>
  <c r="C72" i="7" s="1"/>
  <c r="F67" i="1"/>
  <c r="G67" i="1" s="1"/>
  <c r="C59" i="7" s="1"/>
  <c r="F68" i="1"/>
  <c r="G68" i="1" s="1"/>
  <c r="C60" i="7" s="1"/>
  <c r="F144" i="1"/>
  <c r="G144" i="1" s="1"/>
  <c r="C136" i="7" s="1"/>
  <c r="F51" i="1"/>
  <c r="G51" i="1" s="1"/>
  <c r="C43" i="7" s="1"/>
  <c r="F116" i="1"/>
  <c r="G116" i="1" s="1"/>
  <c r="C108" i="7" s="1"/>
  <c r="F44" i="1"/>
  <c r="G44" i="1" s="1"/>
  <c r="C36" i="7" s="1"/>
  <c r="F92" i="1"/>
  <c r="G92" i="1" s="1"/>
  <c r="C84" i="7" s="1"/>
  <c r="F174" i="1"/>
  <c r="G174" i="1" s="1"/>
  <c r="C166" i="7" s="1"/>
  <c r="F24" i="1"/>
  <c r="G24" i="1" s="1"/>
  <c r="C16" i="7" s="1"/>
  <c r="F182" i="1"/>
  <c r="G182" i="1" s="1"/>
  <c r="C174" i="7" s="1"/>
  <c r="F181" i="1"/>
  <c r="G181" i="1" s="1"/>
  <c r="C173" i="7" s="1"/>
  <c r="F193" i="1"/>
  <c r="G193" i="1" s="1"/>
  <c r="C185" i="7" s="1"/>
  <c r="F79" i="1"/>
  <c r="G79" i="1" s="1"/>
  <c r="C71" i="7" s="1"/>
  <c r="F88" i="1"/>
  <c r="G88" i="1" s="1"/>
  <c r="C80" i="7" s="1"/>
  <c r="F135" i="1"/>
  <c r="G135" i="1" s="1"/>
  <c r="C127" i="7" s="1"/>
  <c r="C194" i="7" l="1"/>
  <c r="G196" i="1"/>
  <c r="F196" i="1"/>
  <c r="F46" i="4"/>
  <c r="G46" i="4" l="1"/>
  <c r="F49" i="4"/>
  <c r="H184" i="7"/>
  <c r="H194" i="7" s="1"/>
  <c r="G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L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  <author>tc={6B81C6C1-8C68-4126-88B5-CE46379A2EEE}</author>
  </authors>
  <commentList>
    <comment ref="E28" authorId="0" shapeId="0" xr:uid="{A410C683-C97C-43B7-9B06-29DC4EC67DD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Telluride</t>
        </r>
      </text>
    </comment>
    <comment ref="C32" authorId="0" shapeId="0" xr:uid="{07994D08-5DBD-4F70-81B8-D7F60EE15F25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38" authorId="0" shapeId="0" xr:uid="{3BDD8961-43DC-44E4-8C50-6EFACD8E052A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42" authorId="0" shapeId="0" xr:uid="{8C663453-1674-4442-933F-91B9B181795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48" authorId="0" shapeId="0" xr:uid="{7563D0AD-5812-4341-91FF-E1ECF8EA8AE7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53" authorId="0" shapeId="0" xr:uid="{BC2AF180-0622-44BA-942E-977F84A6338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#0920 Elizabeth C-1</t>
        </r>
      </text>
    </comment>
    <comment ref="C60" authorId="0" shapeId="0" xr:uid="{D06680F9-FAD3-401E-8486-E343FF2C559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65" authorId="0" shapeId="0" xr:uid="{F65113D5-3CBF-4E91-9981-BE44E8A4040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Woodland Park #3020</t>
        </r>
      </text>
    </comment>
    <comment ref="C66" authorId="0" shapeId="0" xr:uid="{53E0542D-A69D-4134-93E2-27B25F75B0A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69" authorId="0" shapeId="0" xr:uid="{E113AF28-A488-4256-9CBC-0F4D5978FE2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0" authorId="0" shapeId="0" xr:uid="{F7BB10EB-466E-448D-8B8C-0BB01269222D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3" authorId="0" shapeId="0" xr:uid="{E21A0C8E-C1D3-49B1-89F0-F1B8FC161F1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4" authorId="0" shapeId="0" xr:uid="{E38E1086-4E44-423C-80DE-559C7D33203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5" authorId="0" shapeId="0" xr:uid="{87DEF508-51E1-42C1-8F6A-D6F8283A368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6" authorId="0" shapeId="0" xr:uid="{365C9CA4-BA25-433F-A036-2BECFCCCD3F5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7" authorId="0" shapeId="0" xr:uid="{3C755DFA-B77F-4C14-86F3-94916119171B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1" authorId="0" shapeId="0" xr:uid="{88CD5A61-6819-405D-AF95-1A452399243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5" authorId="0" shapeId="0" xr:uid="{D6D349A0-301C-47C5-8597-0866222DD41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6" authorId="0" shapeId="0" xr:uid="{538DA419-6C44-4A23-9B9A-219D0619350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D100" authorId="1" shapeId="0" xr:uid="{6B81C6C1-8C68-4126-88B5-CE46379A2EEE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decided to sign over funds to BOCES during PAR process</t>
      </text>
    </comment>
    <comment ref="C104" authorId="0" shapeId="0" xr:uid="{9765A3DD-10FE-413E-98FA-894FAE37F7B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5" authorId="0" shapeId="0" xr:uid="{D0E0F9D9-95BF-4DF8-AD29-E9F9494F2EB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6" authorId="0" shapeId="0" xr:uid="{6277BC3F-8760-483A-9355-9308F050F2AD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7" authorId="0" shapeId="0" xr:uid="{5239C780-01DF-4430-A9D4-38730E14A4A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5" authorId="0" shapeId="0" xr:uid="{26970EF5-82D2-4E9E-9AF5-BA8D7A8F78A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7" authorId="0" shapeId="0" xr:uid="{122D6E0A-81C9-46D6-9D8E-87F8D291DD67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8" authorId="0" shapeId="0" xr:uid="{4750AB0D-272F-431F-8D0C-55FAF5AD2A7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3" authorId="0" shapeId="0" xr:uid="{C578F595-00D5-423B-B3E8-D08C00EC82A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4" authorId="0" shapeId="0" xr:uid="{EC8836F1-9CB5-4DA3-9B45-F06EE9608A1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6" authorId="0" shapeId="0" xr:uid="{1B4B0280-C9E7-48E8-8EB5-06618CBCFC2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4" authorId="0" shapeId="0" xr:uid="{9E407C98-0938-424B-8AE2-321C822D295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7" authorId="0" shapeId="0" xr:uid="{A159BA07-86ED-4303-AB62-8B79D495AB3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8" authorId="0" shapeId="0" xr:uid="{7BA432FC-A7B3-42EE-B7BD-F3104CFF226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9" authorId="0" shapeId="0" xr:uid="{BC867116-F3C8-473B-9464-AD43959C75C4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0" authorId="0" shapeId="0" xr:uid="{F6C21A53-5C47-4600-A6E6-4652BC91411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2" authorId="0" shapeId="0" xr:uid="{A45F78BA-C6F7-4A35-A551-AB10469D4A2C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3" authorId="0" shapeId="0" xr:uid="{57DB8634-121F-4FE0-8840-2753AFFC5B67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  <comment ref="C151" authorId="0" shapeId="0" xr:uid="{6FDE693F-11B6-48B3-BFD8-8A7D26AF144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156" authorId="0" shapeId="0" xr:uid="{BE07EC08-23A4-41E1-93AB-1D947AA97252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#2780 South Routt</t>
        </r>
      </text>
    </comment>
    <comment ref="C161" authorId="0" shapeId="0" xr:uid="{7C9D50F7-DA4D-408B-BB20-609BA2BD0F09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3" authorId="0" shapeId="0" xr:uid="{658DF2FB-219C-4737-BB3E-60DD6197EC4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9" authorId="0" shapeId="0" xr:uid="{462A438A-BE31-43AB-8719-27CD4660CB13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72" authorId="0" shapeId="0" xr:uid="{933F9B08-38A0-4367-A83C-102ACBB0ABF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  <comment ref="E198" authorId="0" shapeId="0" xr:uid="{EE5449A4-C2F1-4BC6-863D-3D7534FAC18D}">
      <text>
        <r>
          <rPr>
            <b/>
            <sz val="9"/>
            <color indexed="81"/>
            <rFont val="Tahoma"/>
            <family val="2"/>
          </rPr>
          <t xml:space="preserve">Kaleda, Steven
See "Declines" in Assignments Column for difference in allocation amount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E34" authorId="0" shapeId="0" xr:uid="{BB7D5E26-66DA-4EBA-8CEC-FE13D72E7DE5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The preliminary allocation of $13,138 has been reverted back to the CDE after corrected student count was submitted to the CDE by LEA.  Re-ran formula indiacate that LEA is no longer eligible for SAI
</t>
        </r>
      </text>
    </comment>
  </commentList>
</comments>
</file>

<file path=xl/sharedStrings.xml><?xml version="1.0" encoding="utf-8"?>
<sst xmlns="http://schemas.openxmlformats.org/spreadsheetml/2006/main" count="3132" uniqueCount="670">
  <si>
    <t>Grant:</t>
  </si>
  <si>
    <t>CFDA #</t>
  </si>
  <si>
    <t>FISCAL YEAR:</t>
  </si>
  <si>
    <t>GRANT NUMBER:</t>
  </si>
  <si>
    <t xml:space="preserve">Questions regarding grant: 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</si>
  <si>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</si>
  <si>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</si>
  <si>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</si>
  <si>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</si>
  <si>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</si>
  <si>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</si>
  <si>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</si>
  <si>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</si>
  <si>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</si>
  <si>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</si>
  <si>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</si>
  <si>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</si>
  <si>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</si>
  <si>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</si>
  <si>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</si>
  <si>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</si>
  <si>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</si>
  <si>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</si>
  <si>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</si>
  <si>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</si>
  <si>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</si>
  <si>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</si>
  <si>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</si>
  <si>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</si>
  <si>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</si>
  <si>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</si>
  <si>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</si>
  <si>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</si>
  <si>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</si>
  <si>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</si>
  <si>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</si>
  <si>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</si>
  <si>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</si>
  <si>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</si>
  <si>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</si>
  <si>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</si>
  <si>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</si>
  <si>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</si>
  <si>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</si>
  <si>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</si>
  <si>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</si>
  <si>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</si>
  <si>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</si>
  <si>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</si>
  <si>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</si>
  <si>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</si>
  <si>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</si>
  <si>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</si>
  <si>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</si>
  <si>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</si>
  <si>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</si>
  <si>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</si>
  <si>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</si>
  <si>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</si>
  <si>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</si>
  <si>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</si>
  <si>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</si>
  <si>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</si>
  <si>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</si>
  <si>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</si>
  <si>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</si>
  <si>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</si>
  <si>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</si>
  <si>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</si>
  <si>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</si>
  <si>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</si>
  <si>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</si>
  <si>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</si>
  <si>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</si>
  <si>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</si>
  <si>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</si>
  <si>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</si>
  <si>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</si>
  <si>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</si>
  <si>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</si>
  <si>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</si>
  <si>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</si>
  <si>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</si>
  <si>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</si>
  <si>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</si>
  <si>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</si>
  <si>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</si>
  <si>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</si>
  <si>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</si>
  <si>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</si>
  <si>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</si>
  <si>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</si>
  <si>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</si>
  <si>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</si>
  <si>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</si>
  <si>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</si>
  <si>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</si>
  <si>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</si>
  <si>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</si>
  <si>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</si>
  <si>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</si>
  <si>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</si>
  <si>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</si>
  <si>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</si>
  <si>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</si>
  <si>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</si>
  <si>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</si>
  <si>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</si>
  <si>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</si>
  <si>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</si>
  <si>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</si>
  <si>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</si>
  <si>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</si>
  <si>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</si>
  <si>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</si>
  <si>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</si>
  <si>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</si>
  <si>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</si>
  <si>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</si>
  <si>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</si>
  <si>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</si>
  <si>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</si>
  <si>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</si>
  <si>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</si>
  <si>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</si>
  <si>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</si>
  <si>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</si>
  <si>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</si>
  <si>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</si>
  <si>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</si>
  <si>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</si>
  <si>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</si>
  <si>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</si>
  <si>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</si>
  <si>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</si>
  <si>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</si>
  <si>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</si>
  <si>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</si>
  <si>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</si>
  <si>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</si>
  <si>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</si>
  <si>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</si>
  <si>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</si>
  <si>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</si>
  <si>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</si>
  <si>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</si>
  <si>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</si>
  <si>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</si>
  <si>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</si>
  <si>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</si>
  <si>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</si>
  <si>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</si>
  <si>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</si>
  <si>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</si>
  <si>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</si>
  <si>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</si>
  <si>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</si>
  <si>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</si>
  <si>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</si>
  <si>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</si>
  <si>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</si>
  <si>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</si>
  <si>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</si>
  <si>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</si>
  <si>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</si>
  <si>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</si>
  <si>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</si>
  <si>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</si>
  <si>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</si>
  <si>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</si>
  <si>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</si>
  <si>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</si>
  <si>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</si>
  <si>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</si>
  <si>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</si>
  <si>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</si>
  <si>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</si>
  <si>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</si>
  <si>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</si>
  <si>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</si>
  <si>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</si>
  <si>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</si>
  <si>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</si>
  <si>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</si>
  <si>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</si>
  <si>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</si>
  <si>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</si>
  <si>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</si>
  <si>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</si>
  <si>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</si>
  <si>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</si>
  <si>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</si>
  <si>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</si>
  <si>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</si>
  <si>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</si>
  <si>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</si>
  <si>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</si>
  <si>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</si>
  <si>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</si>
  <si>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</si>
  <si>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</si>
  <si>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</si>
  <si>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</si>
  <si>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</si>
  <si>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</si>
  <si>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</si>
  <si>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</si>
  <si>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</si>
  <si>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</si>
  <si>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</si>
  <si>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</si>
  <si>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</si>
  <si>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</si>
  <si>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</si>
  <si>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</si>
  <si>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</si>
  <si>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</si>
  <si>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</si>
  <si>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</si>
  <si>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</si>
  <si>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</si>
  <si>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</si>
  <si>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</si>
  <si>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</si>
  <si>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</si>
  <si>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</si>
  <si>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</si>
  <si>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</si>
  <si>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</si>
  <si>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</si>
  <si>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</si>
  <si>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</si>
  <si>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</si>
  <si>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</si>
  <si>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</si>
  <si>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</si>
  <si>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</si>
  <si>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</si>
  <si>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</si>
  <si>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</si>
  <si>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</si>
  <si>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</si>
  <si>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</si>
  <si>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</si>
  <si>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</si>
  <si>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</si>
  <si>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</si>
  <si>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</si>
  <si>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</si>
  <si>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</si>
  <si>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</si>
  <si>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</si>
  <si>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</si>
  <si>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</si>
  <si>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</si>
  <si>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</si>
  <si>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</si>
  <si>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</si>
  <si>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</si>
  <si>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</si>
  <si>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</si>
  <si>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</si>
  <si>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</si>
  <si>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</si>
  <si>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</si>
  <si>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</si>
  <si>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</si>
  <si>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</si>
  <si>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</si>
  <si>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</si>
  <si>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</si>
  <si>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</si>
  <si>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</si>
  <si>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</si>
  <si>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</si>
  <si>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</si>
  <si>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</si>
  <si>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</si>
  <si>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</si>
  <si>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</si>
  <si>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</si>
  <si>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</si>
  <si>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</si>
  <si>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</si>
  <si>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</si>
  <si>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</si>
  <si>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</si>
  <si>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</si>
  <si>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</si>
  <si>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</si>
  <si>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</si>
  <si>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</si>
  <si>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</si>
  <si>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</si>
  <si>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</si>
  <si>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</si>
  <si>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</si>
  <si>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</si>
  <si>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</si>
  <si>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</si>
  <si>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</si>
  <si>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</si>
  <si>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</si>
  <si>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</si>
  <si>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</si>
  <si>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</si>
  <si>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</si>
  <si>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</si>
  <si>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</si>
  <si>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</si>
  <si>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</si>
  <si>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</si>
  <si>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</si>
  <si>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</si>
  <si>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</si>
  <si>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</si>
  <si>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</si>
  <si>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</si>
  <si>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</si>
  <si>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</si>
  <si>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</si>
  <si>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</si>
  <si>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</si>
  <si>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</si>
  <si>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</si>
  <si>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</si>
  <si>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</si>
  <si>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</si>
  <si>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</si>
  <si>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</si>
  <si>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</si>
  <si>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</si>
  <si>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</si>
  <si>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</si>
  <si>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</si>
  <si>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</si>
  <si>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</si>
  <si>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</si>
  <si>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</si>
  <si>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</si>
  <si>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</si>
  <si>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</si>
  <si>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</si>
  <si>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</si>
  <si>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</si>
  <si>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</si>
  <si>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</si>
  <si>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</si>
  <si>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</si>
  <si>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</si>
  <si>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</si>
  <si>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</si>
  <si>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</si>
  <si>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</si>
  <si>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</si>
  <si>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</si>
  <si>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</si>
  <si>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</si>
  <si>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</si>
  <si>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</si>
  <si>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</si>
  <si>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</si>
  <si>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</si>
  <si>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</si>
  <si>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</si>
  <si>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</si>
  <si>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</si>
  <si>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</si>
  <si>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</si>
  <si>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</si>
  <si>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</si>
  <si>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</si>
  <si>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</si>
  <si>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</si>
  <si>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</si>
  <si>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</si>
  <si>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</si>
  <si>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</si>
  <si>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</si>
  <si>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</si>
  <si>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</si>
  <si>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 xml:space="preserve">7010 for LEA   </t>
  </si>
  <si>
    <t xml:space="preserve"> </t>
  </si>
  <si>
    <t>84.365</t>
  </si>
  <si>
    <t>Title I-Delinquent</t>
  </si>
  <si>
    <t>Title II-A</t>
  </si>
  <si>
    <t>Title III-SAI</t>
  </si>
  <si>
    <t>Title VI</t>
  </si>
  <si>
    <t>San Juan BOCES</t>
  </si>
  <si>
    <t>San Luis Valley BOCES</t>
  </si>
  <si>
    <t>South Central BOCES</t>
  </si>
  <si>
    <t>Southeastern BOCES</t>
  </si>
  <si>
    <t>Questions regarding payments:</t>
  </si>
  <si>
    <t>GRANT PERIOD:</t>
  </si>
  <si>
    <t>District Name</t>
  </si>
  <si>
    <t>84.031A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</si>
  <si>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</si>
  <si>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</si>
  <si>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</si>
  <si>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</si>
  <si>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</si>
  <si>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</si>
  <si>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</si>
  <si>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</si>
  <si>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</si>
  <si>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</si>
  <si>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</si>
  <si>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</si>
  <si>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</si>
  <si>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</si>
  <si>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</si>
  <si>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</si>
  <si>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</si>
  <si>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</si>
  <si>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</si>
  <si>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</si>
  <si>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</si>
  <si>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</si>
  <si>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</si>
  <si>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</si>
  <si>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</si>
  <si>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</si>
  <si>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</si>
  <si>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</si>
  <si>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</si>
  <si>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</si>
  <si>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</si>
  <si>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</si>
  <si>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</si>
  <si>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</si>
  <si>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</si>
  <si>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</si>
  <si>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</si>
  <si>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</si>
  <si>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</si>
  <si>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</si>
  <si>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</si>
  <si>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</si>
  <si>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</si>
  <si>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</si>
  <si>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</si>
  <si>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</si>
  <si>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</si>
  <si>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</si>
  <si>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</si>
  <si>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</si>
  <si>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</si>
  <si>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</si>
  <si>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</si>
  <si>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</si>
  <si>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</si>
  <si>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</si>
  <si>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</si>
  <si>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</si>
  <si>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</si>
  <si>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</si>
  <si>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</si>
  <si>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</si>
  <si>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</si>
  <si>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</si>
  <si>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</si>
  <si>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</si>
  <si>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</si>
  <si>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</si>
  <si>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</si>
  <si>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</si>
  <si>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</si>
  <si>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</si>
  <si>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</si>
  <si>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</si>
  <si>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</si>
  <si>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</si>
  <si>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</si>
  <si>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</si>
  <si>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</si>
  <si>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</si>
  <si>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</si>
  <si>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</si>
  <si>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</si>
  <si>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</si>
  <si>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</si>
  <si>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</si>
  <si>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</si>
  <si>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</si>
  <si>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</si>
  <si>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</si>
  <si>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</si>
  <si>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</si>
  <si>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</si>
  <si>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</si>
  <si>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</si>
  <si>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</si>
  <si>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</si>
  <si>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</si>
  <si>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</si>
  <si>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</si>
  <si>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</si>
  <si>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</si>
  <si>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</si>
  <si>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</si>
  <si>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</si>
  <si>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</si>
  <si>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</si>
  <si>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</si>
  <si>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</si>
  <si>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</si>
  <si>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</si>
  <si>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</si>
  <si>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</si>
  <si>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</si>
  <si>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</si>
  <si>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</si>
  <si>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</si>
  <si>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</si>
  <si>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</si>
  <si>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</si>
  <si>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</si>
  <si>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</si>
  <si>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</si>
  <si>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</si>
  <si>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</si>
  <si>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</si>
  <si>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</si>
  <si>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</si>
  <si>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</si>
  <si>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</si>
  <si>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</si>
  <si>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</si>
  <si>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</si>
  <si>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</si>
  <si>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</si>
  <si>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</si>
  <si>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</si>
  <si>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</si>
  <si>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</si>
  <si>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</si>
  <si>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</si>
  <si>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</si>
  <si>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</si>
  <si>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</si>
  <si>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</si>
  <si>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</si>
  <si>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</si>
  <si>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</si>
  <si>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</si>
  <si>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</si>
  <si>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</si>
  <si>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</si>
  <si>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</si>
  <si>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</si>
  <si>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</si>
  <si>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</si>
  <si>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</si>
  <si>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</si>
  <si>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</si>
  <si>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</si>
  <si>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</si>
  <si>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</si>
  <si>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</si>
  <si>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</si>
  <si>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</si>
  <si>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</si>
  <si>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</si>
  <si>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</si>
  <si>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</si>
  <si>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</si>
  <si>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</si>
  <si>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</si>
  <si>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</si>
  <si>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</si>
  <si>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</si>
  <si>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</si>
  <si>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</si>
  <si>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</si>
  <si>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</si>
  <si>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</si>
  <si>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</si>
  <si>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>70XA-7000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</si>
  <si>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</si>
  <si>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</si>
  <si>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</si>
  <si>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</si>
  <si>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</si>
  <si>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</si>
  <si>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</si>
  <si>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</si>
  <si>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</si>
  <si>
    <t>August
2020</t>
  </si>
  <si>
    <t>September
2020</t>
  </si>
  <si>
    <t>Westminster Public Schools</t>
  </si>
  <si>
    <t>Dolores County RE NO.2</t>
  </si>
  <si>
    <t>Miami/yoder 60 JT</t>
  </si>
  <si>
    <t>Moffat County Re:no 1</t>
  </si>
  <si>
    <t>Dolores RE-4a</t>
  </si>
  <si>
    <t>Colorado School for the Deaf and Blind</t>
  </si>
  <si>
    <t>Centennial BOCES</t>
  </si>
  <si>
    <t>Fremont - Canon City</t>
  </si>
  <si>
    <t>Larimer Poudre R-1</t>
  </si>
  <si>
    <t>Mesa 51</t>
  </si>
  <si>
    <t>X010</t>
  </si>
  <si>
    <t>Division of Youth Corrections</t>
  </si>
  <si>
    <t>Platte Valley Re-3</t>
  </si>
  <si>
    <t>Keenesburg Re-3(J)</t>
  </si>
  <si>
    <t>Total</t>
  </si>
  <si>
    <t>Title ID-Youth</t>
  </si>
  <si>
    <t xml:space="preserve">Title III ELL </t>
  </si>
  <si>
    <t>Title IV</t>
  </si>
  <si>
    <t>Title V-B</t>
  </si>
  <si>
    <t>Declined</t>
  </si>
  <si>
    <t>Total  with Signover and Declines</t>
  </si>
  <si>
    <t>Signed Overs and Declines</t>
  </si>
  <si>
    <t>84.424A</t>
  </si>
  <si>
    <t>October
2020</t>
  </si>
  <si>
    <t>November
2020</t>
  </si>
  <si>
    <t>December
2020</t>
  </si>
  <si>
    <t>Revert</t>
  </si>
  <si>
    <t>Carry Forward</t>
  </si>
  <si>
    <t>Assignments</t>
  </si>
  <si>
    <t>Decline</t>
  </si>
  <si>
    <t>Joe Shields 303-866-6034 or Shields_J@cde.state.co.us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</si>
  <si>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</si>
  <si>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</si>
  <si>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</si>
  <si>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</si>
  <si>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</si>
  <si>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</si>
  <si>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</si>
  <si>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</si>
  <si>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</si>
  <si>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</si>
  <si>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Steven Kaleda 303-866-6724 or kaleda_s@cde.state.co.us</t>
  </si>
  <si>
    <t>December
2021</t>
  </si>
  <si>
    <t>Steven Kaleda  303-866-6724 or kaleda_s@cde.state.co.us</t>
  </si>
  <si>
    <t>Sherdian 2</t>
  </si>
  <si>
    <t xml:space="preserve">1500 </t>
  </si>
  <si>
    <t>Delores Re-4A</t>
  </si>
  <si>
    <t>Silverton</t>
  </si>
  <si>
    <t>Steven Kaleda 303-866-6724 or kaleda_S@cde.state.co.us</t>
  </si>
  <si>
    <t>Robert Hawkins 303-866-6775 or Hawkins_R@cde.state.co.us</t>
  </si>
  <si>
    <t>Steven Kaleda 303-866-6724 or Kaleda_S@cde.state.co.us</t>
  </si>
  <si>
    <t>Colorado Springs D-11</t>
  </si>
  <si>
    <t>2020-2021</t>
  </si>
  <si>
    <t>7/1/20 THROUGH 9/30/22 -  This grant does have carryover restrictions</t>
  </si>
  <si>
    <t>July 
2020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</si>
  <si>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</si>
  <si>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</si>
  <si>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</si>
  <si>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</si>
  <si>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</si>
  <si>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</si>
  <si>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</si>
  <si>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</si>
  <si>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</si>
  <si>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October
2022</t>
  </si>
  <si>
    <t>November
2022</t>
  </si>
  <si>
    <t>December
2022</t>
  </si>
  <si>
    <t>7/1/20 THROUGH 9/30/22</t>
  </si>
  <si>
    <t>Cheyenne Mountain</t>
  </si>
  <si>
    <t>Pourde R-1</t>
  </si>
  <si>
    <t>Delta County 50-J</t>
  </si>
  <si>
    <t>Estes Park Re-3</t>
  </si>
  <si>
    <t>Montezuma Cortez Re-1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</si>
  <si>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2020-2021</t>
    </r>
  </si>
  <si>
    <t>Title I-A Formula  (Revised Final)</t>
  </si>
  <si>
    <t>Title I-D Delinquent (Revised Final)</t>
  </si>
  <si>
    <t>Title II-A Formula  (Revised Final)</t>
  </si>
  <si>
    <t>Title III-A Formula (Revised Final)</t>
  </si>
  <si>
    <t>Title III-A SAI Formula (Revised Final)</t>
  </si>
  <si>
    <t>Title IV Formula (Revised Final)</t>
  </si>
  <si>
    <t>November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</si>
</sst>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1"/>
      <color rgb="FFFF339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5" applyNumberFormat="0" applyAlignment="0" applyProtection="0"/>
    <xf numFmtId="0" fontId="39" fillId="10" borderId="26" applyNumberFormat="0" applyAlignment="0" applyProtection="0"/>
    <xf numFmtId="0" fontId="40" fillId="10" borderId="25" applyNumberFormat="0" applyAlignment="0" applyProtection="0"/>
    <xf numFmtId="0" fontId="41" fillId="0" borderId="27" applyNumberFormat="0" applyFill="0" applyAlignment="0" applyProtection="0"/>
    <xf numFmtId="0" fontId="42" fillId="11" borderId="28" applyNumberFormat="0" applyAlignment="0" applyProtection="0"/>
    <xf numFmtId="0" fontId="43" fillId="0" borderId="0" applyNumberFormat="0" applyFill="0" applyBorder="0" applyAlignment="0" applyProtection="0"/>
    <xf numFmtId="0" fontId="1" fillId="12" borderId="29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16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/>
    <xf numFmtId="0" fontId="10" fillId="2" borderId="9" xfId="0" applyFont="1" applyFill="1" applyBorder="1"/>
    <xf numFmtId="0" fontId="9" fillId="2" borderId="7" xfId="0" applyFont="1" applyFill="1" applyBorder="1"/>
    <xf numFmtId="164" fontId="9" fillId="2" borderId="9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Border="1"/>
    <xf numFmtId="0" fontId="9" fillId="3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7" fillId="0" borderId="0" xfId="0" applyFont="1"/>
    <xf numFmtId="38" fontId="17" fillId="0" borderId="0" xfId="0" applyNumberFormat="1" applyFont="1"/>
    <xf numFmtId="0" fontId="4" fillId="0" borderId="6" xfId="0" applyFont="1" applyFill="1" applyBorder="1"/>
    <xf numFmtId="38" fontId="4" fillId="0" borderId="0" xfId="0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2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0" fillId="0" borderId="0" xfId="2" applyNumberFormat="1" applyFont="1" applyFill="1"/>
    <xf numFmtId="166" fontId="6" fillId="2" borderId="18" xfId="2" applyNumberFormat="1" applyFont="1" applyFill="1" applyBorder="1"/>
    <xf numFmtId="166" fontId="9" fillId="2" borderId="18" xfId="2" applyNumberFormat="1" applyFont="1" applyFill="1" applyBorder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166" fontId="10" fillId="2" borderId="8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38" fontId="4" fillId="0" borderId="0" xfId="0" applyNumberFormat="1" applyFont="1" applyFill="1" applyBorder="1"/>
    <xf numFmtId="166" fontId="10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9" xfId="0" quotePrefix="1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10" fillId="2" borderId="7" xfId="2" applyNumberFormat="1" applyFont="1" applyFill="1" applyBorder="1"/>
    <xf numFmtId="49" fontId="0" fillId="0" borderId="0" xfId="0" applyNumberFormat="1"/>
    <xf numFmtId="43" fontId="10" fillId="2" borderId="7" xfId="2" applyNumberFormat="1" applyFont="1" applyFill="1" applyBorder="1" applyAlignment="1">
      <alignment horizontal="center"/>
    </xf>
    <xf numFmtId="43" fontId="10" fillId="2" borderId="7" xfId="2" applyNumberFormat="1" applyFont="1" applyFill="1" applyBorder="1"/>
    <xf numFmtId="166" fontId="10" fillId="0" borderId="32" xfId="2" applyNumberFormat="1" applyFont="1" applyFill="1" applyBorder="1"/>
    <xf numFmtId="0" fontId="0" fillId="0" borderId="0" xfId="0" applyFill="1" applyBorder="1"/>
    <xf numFmtId="49" fontId="9" fillId="2" borderId="7" xfId="0" applyNumberFormat="1" applyFont="1" applyFill="1" applyBorder="1" applyAlignment="1">
      <alignment horizontal="left"/>
    </xf>
    <xf numFmtId="49" fontId="10" fillId="2" borderId="7" xfId="2" applyNumberFormat="1" applyFont="1" applyFill="1" applyBorder="1" applyAlignment="1">
      <alignment horizontal="left"/>
    </xf>
    <xf numFmtId="49" fontId="10" fillId="0" borderId="32" xfId="2" applyNumberFormat="1" applyFont="1" applyFill="1" applyBorder="1" applyAlignment="1">
      <alignment horizontal="left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166" fontId="6" fillId="0" borderId="31" xfId="2" applyNumberFormat="1" applyFont="1" applyFill="1" applyBorder="1"/>
    <xf numFmtId="0" fontId="12" fillId="0" borderId="31" xfId="0" quotePrefix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166" fontId="6" fillId="0" borderId="17" xfId="2" applyNumberFormat="1" applyFont="1" applyFill="1" applyBorder="1"/>
    <xf numFmtId="49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66" fontId="3" fillId="0" borderId="0" xfId="2" applyNumberFormat="1" applyFont="1" applyFill="1" applyBorder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11" fillId="2" borderId="0" xfId="0" quotePrefix="1" applyNumberFormat="1" applyFont="1" applyFill="1" applyAlignment="1">
      <alignment horizontal="center"/>
    </xf>
    <xf numFmtId="43" fontId="0" fillId="0" borderId="0" xfId="0" applyNumberFormat="1"/>
    <xf numFmtId="44" fontId="6" fillId="2" borderId="0" xfId="0" applyNumberFormat="1" applyFont="1" applyFill="1"/>
    <xf numFmtId="0" fontId="0" fillId="37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1" fontId="0" fillId="0" borderId="0" xfId="1" applyNumberFormat="1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49" fontId="14" fillId="2" borderId="0" xfId="2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0" fillId="0" borderId="0" xfId="0" applyNumberFormat="1" applyFill="1"/>
    <xf numFmtId="49" fontId="20" fillId="2" borderId="0" xfId="0" applyNumberFormat="1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0" fillId="0" borderId="32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3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6" fontId="0" fillId="0" borderId="0" xfId="0" applyNumberFormat="1" applyFont="1"/>
    <xf numFmtId="4" fontId="10" fillId="2" borderId="7" xfId="2" applyNumberFormat="1" applyFont="1" applyFill="1" applyBorder="1"/>
    <xf numFmtId="4" fontId="10" fillId="0" borderId="32" xfId="2" applyNumberFormat="1" applyFont="1" applyFill="1" applyBorder="1"/>
    <xf numFmtId="4" fontId="14" fillId="2" borderId="7" xfId="2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2" borderId="18" xfId="2" applyNumberFormat="1" applyFont="1" applyFill="1" applyBorder="1"/>
    <xf numFmtId="4" fontId="6" fillId="2" borderId="9" xfId="2" applyNumberFormat="1" applyFont="1" applyFill="1" applyBorder="1"/>
    <xf numFmtId="4" fontId="6" fillId="2" borderId="10" xfId="2" applyNumberFormat="1" applyFont="1" applyFill="1" applyBorder="1"/>
    <xf numFmtId="4" fontId="0" fillId="0" borderId="0" xfId="2" applyNumberFormat="1" applyFont="1"/>
    <xf numFmtId="4" fontId="6" fillId="0" borderId="0" xfId="2" applyNumberFormat="1" applyFont="1"/>
    <xf numFmtId="4" fontId="0" fillId="0" borderId="0" xfId="0" applyNumberFormat="1"/>
    <xf numFmtId="4" fontId="6" fillId="0" borderId="31" xfId="2" applyNumberFormat="1" applyFont="1" applyFill="1" applyBorder="1"/>
    <xf numFmtId="4" fontId="0" fillId="0" borderId="0" xfId="2" applyNumberFormat="1" applyFont="1" applyFill="1" applyBorder="1"/>
    <xf numFmtId="4" fontId="6" fillId="0" borderId="0" xfId="2" applyNumberFormat="1" applyFont="1" applyFill="1" applyBorder="1"/>
    <xf numFmtId="4" fontId="0" fillId="0" borderId="0" xfId="0" applyNumberFormat="1" applyFill="1" applyBorder="1"/>
    <xf numFmtId="4" fontId="9" fillId="2" borderId="18" xfId="2" applyNumberFormat="1" applyFont="1" applyFill="1" applyBorder="1"/>
    <xf numFmtId="39" fontId="6" fillId="2" borderId="18" xfId="2" applyNumberFormat="1" applyFont="1" applyFill="1" applyBorder="1"/>
    <xf numFmtId="39" fontId="6" fillId="0" borderId="31" xfId="2" applyNumberFormat="1" applyFont="1" applyFill="1" applyBorder="1"/>
    <xf numFmtId="39" fontId="9" fillId="2" borderId="18" xfId="2" applyNumberFormat="1" applyFont="1" applyFill="1" applyBorder="1"/>
    <xf numFmtId="4" fontId="6" fillId="0" borderId="17" xfId="2" applyNumberFormat="1" applyFont="1" applyFill="1" applyBorder="1"/>
    <xf numFmtId="39" fontId="6" fillId="0" borderId="17" xfId="2" applyNumberFormat="1" applyFont="1" applyFill="1" applyBorder="1"/>
    <xf numFmtId="39" fontId="10" fillId="0" borderId="32" xfId="2" applyNumberFormat="1" applyFont="1" applyFill="1" applyBorder="1"/>
    <xf numFmtId="39" fontId="9" fillId="2" borderId="7" xfId="2" applyNumberFormat="1" applyFont="1" applyFill="1" applyBorder="1"/>
    <xf numFmtId="4" fontId="3" fillId="0" borderId="0" xfId="2" applyNumberFormat="1" applyFont="1" applyBorder="1"/>
    <xf numFmtId="4" fontId="6" fillId="0" borderId="0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Fill="1" applyBorder="1"/>
    <xf numFmtId="4" fontId="9" fillId="2" borderId="9" xfId="2" applyNumberFormat="1" applyFont="1" applyFill="1" applyBorder="1"/>
    <xf numFmtId="4" fontId="0" fillId="0" borderId="0" xfId="0" applyNumberFormat="1" applyFont="1" applyAlignment="1">
      <alignment horizontal="right"/>
    </xf>
    <xf numFmtId="4" fontId="14" fillId="2" borderId="7" xfId="2" applyNumberFormat="1" applyFont="1" applyFill="1" applyBorder="1" applyAlignment="1">
      <alignment horizontal="center"/>
    </xf>
    <xf numFmtId="4" fontId="10" fillId="2" borderId="7" xfId="2" applyNumberFormat="1" applyFont="1" applyFill="1" applyBorder="1" applyAlignment="1">
      <alignment horizontal="right"/>
    </xf>
    <xf numFmtId="4" fontId="14" fillId="2" borderId="7" xfId="2" applyNumberFormat="1" applyFont="1" applyFill="1" applyBorder="1" applyAlignment="1">
      <alignment horizontal="right"/>
    </xf>
    <xf numFmtId="4" fontId="6" fillId="37" borderId="0" xfId="2" applyNumberFormat="1" applyFont="1" applyFill="1" applyBorder="1" applyAlignment="1">
      <alignment horizontal="right"/>
    </xf>
    <xf numFmtId="4" fontId="6" fillId="0" borderId="0" xfId="0" applyNumberFormat="1" applyFont="1"/>
    <xf numFmtId="4" fontId="0" fillId="0" borderId="0" xfId="0" applyNumberFormat="1" applyFont="1"/>
    <xf numFmtId="39" fontId="10" fillId="2" borderId="7" xfId="2" applyNumberFormat="1" applyFont="1" applyFill="1" applyBorder="1" applyAlignment="1">
      <alignment horizontal="right"/>
    </xf>
    <xf numFmtId="39" fontId="0" fillId="0" borderId="0" xfId="0" applyNumberFormat="1" applyFill="1"/>
    <xf numFmtId="39" fontId="2" fillId="2" borderId="0" xfId="1" applyNumberFormat="1" applyFont="1" applyFill="1" applyAlignment="1">
      <alignment horizontal="right"/>
    </xf>
    <xf numFmtId="4" fontId="10" fillId="37" borderId="7" xfId="2" applyNumberFormat="1" applyFont="1" applyFill="1" applyBorder="1"/>
    <xf numFmtId="4" fontId="0" fillId="0" borderId="0" xfId="0" applyNumberFormat="1" applyFill="1"/>
    <xf numFmtId="4" fontId="0" fillId="0" borderId="0" xfId="2" applyNumberFormat="1" applyFont="1" applyFill="1"/>
    <xf numFmtId="4" fontId="2" fillId="2" borderId="0" xfId="1" applyNumberFormat="1" applyFont="1" applyFill="1" applyAlignment="1">
      <alignment horizontal="left"/>
    </xf>
    <xf numFmtId="4" fontId="2" fillId="2" borderId="0" xfId="0" applyNumberFormat="1" applyFont="1" applyFill="1"/>
    <xf numFmtId="4" fontId="10" fillId="2" borderId="8" xfId="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2" applyNumberFormat="1" applyFont="1" applyFill="1"/>
    <xf numFmtId="4" fontId="0" fillId="0" borderId="0" xfId="0" applyNumberFormat="1" applyBorder="1"/>
    <xf numFmtId="4" fontId="10" fillId="37" borderId="8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4" fontId="10" fillId="37" borderId="7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2" applyNumberFormat="1" applyFont="1" applyFill="1"/>
    <xf numFmtId="2" fontId="10" fillId="2" borderId="7" xfId="2" applyNumberFormat="1" applyFont="1" applyFill="1" applyBorder="1"/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2" borderId="0" xfId="0" applyFont="1" applyFill="1" applyAlignment="1"/>
    <xf numFmtId="0" fontId="13" fillId="2" borderId="0" xfId="0" applyFont="1" applyFill="1" applyAlignment="1"/>
    <xf numFmtId="4" fontId="0" fillId="0" borderId="0" xfId="0" applyNumberFormat="1" applyFill="1" applyAlignment="1"/>
    <xf numFmtId="0" fontId="0" fillId="0" borderId="0" xfId="0" applyFill="1" applyAlignment="1"/>
    <xf numFmtId="49" fontId="10" fillId="2" borderId="7" xfId="2" quotePrefix="1" applyNumberFormat="1" applyFont="1" applyFill="1" applyBorder="1" applyAlignment="1">
      <alignment horizontal="center"/>
    </xf>
    <xf numFmtId="167" fontId="0" fillId="0" borderId="0" xfId="0" applyNumberFormat="1" applyBorder="1"/>
    <xf numFmtId="44" fontId="0" fillId="0" borderId="0" xfId="0" applyNumberFormat="1" applyFill="1"/>
    <xf numFmtId="4" fontId="10" fillId="37" borderId="38" xfId="2" applyNumberFormat="1" applyFont="1" applyFill="1" applyBorder="1" applyAlignment="1">
      <alignment horizontal="right"/>
    </xf>
    <xf numFmtId="4" fontId="10" fillId="37" borderId="39" xfId="2" applyNumberFormat="1" applyFont="1" applyFill="1" applyBorder="1" applyAlignment="1">
      <alignment horizontal="right"/>
    </xf>
    <xf numFmtId="4" fontId="10" fillId="37" borderId="40" xfId="2" applyNumberFormat="1" applyFont="1" applyFill="1" applyBorder="1" applyAlignment="1">
      <alignment horizontal="right"/>
    </xf>
    <xf numFmtId="4" fontId="10" fillId="37" borderId="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37" borderId="9" xfId="0" applyFont="1" applyFill="1" applyBorder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3" fillId="3" borderId="0" xfId="2" applyNumberFormat="1" applyFont="1" applyFill="1" applyBorder="1"/>
    <xf numFmtId="4" fontId="12" fillId="2" borderId="7" xfId="2" applyNumberFormat="1" applyFont="1" applyFill="1" applyBorder="1" applyAlignment="1">
      <alignment horizontal="right"/>
    </xf>
    <xf numFmtId="49" fontId="47" fillId="2" borderId="7" xfId="2" applyNumberFormat="1" applyFont="1" applyFill="1" applyBorder="1" applyAlignment="1">
      <alignment horizontal="center"/>
    </xf>
    <xf numFmtId="39" fontId="12" fillId="2" borderId="0" xfId="1" applyNumberFormat="1" applyFont="1" applyFill="1" applyBorder="1"/>
    <xf numFmtId="4" fontId="10" fillId="0" borderId="8" xfId="2" applyNumberFormat="1" applyFont="1" applyFill="1" applyBorder="1" applyAlignment="1">
      <alignment horizontal="right"/>
    </xf>
    <xf numFmtId="4" fontId="6" fillId="0" borderId="0" xfId="0" applyNumberFormat="1" applyFont="1" applyBorder="1"/>
    <xf numFmtId="0" fontId="6" fillId="2" borderId="18" xfId="2" applyNumberFormat="1" applyFont="1" applyFill="1" applyBorder="1" applyAlignment="1">
      <alignment horizontal="center"/>
    </xf>
    <xf numFmtId="166" fontId="6" fillId="2" borderId="18" xfId="2" quotePrefix="1" applyNumberFormat="1" applyFont="1" applyFill="1" applyBorder="1" applyAlignment="1">
      <alignment horizontal="center"/>
    </xf>
    <xf numFmtId="49" fontId="10" fillId="2" borderId="8" xfId="2" quotePrefix="1" applyNumberFormat="1" applyFont="1" applyFill="1" applyBorder="1" applyAlignment="1">
      <alignment horizontal="center"/>
    </xf>
    <xf numFmtId="4" fontId="10" fillId="2" borderId="8" xfId="2" applyNumberFormat="1" applyFont="1" applyFill="1" applyBorder="1" applyAlignment="1">
      <alignment horizontal="center"/>
    </xf>
    <xf numFmtId="4" fontId="12" fillId="2" borderId="7" xfId="2" applyNumberFormat="1" applyFont="1" applyFill="1" applyBorder="1"/>
    <xf numFmtId="0" fontId="48" fillId="0" borderId="0" xfId="0" applyFont="1" applyAlignment="1">
      <alignment horizontal="right"/>
    </xf>
    <xf numFmtId="49" fontId="6" fillId="2" borderId="7" xfId="2" applyNumberFormat="1" applyFont="1" applyFill="1" applyBorder="1" applyAlignment="1">
      <alignment horizontal="center"/>
    </xf>
    <xf numFmtId="39" fontId="12" fillId="2" borderId="7" xfId="2" applyNumberFormat="1" applyFont="1" applyFill="1" applyBorder="1" applyAlignment="1">
      <alignment horizontal="right"/>
    </xf>
    <xf numFmtId="38" fontId="4" fillId="3" borderId="0" xfId="0" applyNumberFormat="1" applyFont="1" applyFill="1" applyBorder="1"/>
    <xf numFmtId="49" fontId="10" fillId="0" borderId="7" xfId="2" applyNumberFormat="1" applyFont="1" applyFill="1" applyBorder="1"/>
    <xf numFmtId="43" fontId="10" fillId="0" borderId="7" xfId="2" applyNumberFormat="1" applyFont="1" applyFill="1" applyBorder="1"/>
    <xf numFmtId="4" fontId="10" fillId="0" borderId="7" xfId="2" applyNumberFormat="1" applyFont="1" applyFill="1" applyBorder="1"/>
    <xf numFmtId="49" fontId="10" fillId="0" borderId="7" xfId="2" applyNumberFormat="1" applyFont="1" applyFill="1" applyBorder="1" applyAlignment="1">
      <alignment horizontal="center"/>
    </xf>
    <xf numFmtId="166" fontId="10" fillId="2" borderId="42" xfId="2" applyNumberFormat="1" applyFont="1" applyFill="1" applyBorder="1"/>
    <xf numFmtId="49" fontId="10" fillId="2" borderId="43" xfId="2" applyNumberFormat="1" applyFont="1" applyFill="1" applyBorder="1" applyAlignment="1">
      <alignment horizontal="center"/>
    </xf>
    <xf numFmtId="39" fontId="6" fillId="2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4" fontId="10" fillId="0" borderId="44" xfId="2" applyNumberFormat="1" applyFont="1" applyFill="1" applyBorder="1"/>
    <xf numFmtId="39" fontId="6" fillId="2" borderId="45" xfId="0" applyNumberFormat="1" applyFont="1" applyFill="1" applyBorder="1" applyAlignment="1">
      <alignment horizontal="right" vertical="center"/>
    </xf>
    <xf numFmtId="39" fontId="6" fillId="2" borderId="46" xfId="0" applyNumberFormat="1" applyFont="1" applyFill="1" applyBorder="1" applyAlignment="1">
      <alignment horizontal="right" vertical="center"/>
    </xf>
    <xf numFmtId="39" fontId="12" fillId="2" borderId="46" xfId="1" applyNumberFormat="1" applyFont="1" applyFill="1" applyBorder="1"/>
    <xf numFmtId="4" fontId="12" fillId="2" borderId="47" xfId="2" applyNumberFormat="1" applyFont="1" applyFill="1" applyBorder="1"/>
    <xf numFmtId="4" fontId="12" fillId="2" borderId="48" xfId="2" applyNumberFormat="1" applyFont="1" applyFill="1" applyBorder="1"/>
    <xf numFmtId="4" fontId="12" fillId="2" borderId="49" xfId="2" applyNumberFormat="1" applyFont="1" applyFill="1" applyBorder="1"/>
    <xf numFmtId="39" fontId="12" fillId="2" borderId="0" xfId="2" applyNumberFormat="1" applyFont="1" applyFill="1" applyBorder="1"/>
    <xf numFmtId="4" fontId="12" fillId="2" borderId="0" xfId="2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/>
    <xf numFmtId="4" fontId="6" fillId="0" borderId="0" xfId="2" applyNumberFormat="1" applyFont="1" applyBorder="1"/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 xr:uid="{00000000-0005-0000-0000-00001C000000}"/>
    <cellStyle name="Comma 2 2" xfId="6" xr:uid="{00000000-0005-0000-0000-00001D000000}"/>
    <cellStyle name="Comma 2 2 2" xfId="29" xr:uid="{00000000-0005-0000-0000-00001E000000}"/>
    <cellStyle name="Comma 3" xfId="14" xr:uid="{00000000-0005-0000-0000-00001F000000}"/>
    <cellStyle name="Comma 3 2" xfId="35" xr:uid="{00000000-0005-0000-0000-000020000000}"/>
    <cellStyle name="Comma 4" xfId="21" xr:uid="{00000000-0005-0000-0000-000021000000}"/>
    <cellStyle name="Comma 4 2" xfId="38" xr:uid="{00000000-0005-0000-0000-000022000000}"/>
    <cellStyle name="Comma 5" xfId="5" xr:uid="{00000000-0005-0000-0000-000023000000}"/>
    <cellStyle name="Comma 5 2" xfId="28" xr:uid="{00000000-0005-0000-0000-000024000000}"/>
    <cellStyle name="Comma 6" xfId="83" xr:uid="{00000000-0005-0000-0000-000025000000}"/>
    <cellStyle name="Currency" xfId="1" builtinId="4"/>
    <cellStyle name="Currency 2" xfId="8" xr:uid="{00000000-0005-0000-0000-000027000000}"/>
    <cellStyle name="Currency 2 2" xfId="31" xr:uid="{00000000-0005-0000-0000-000028000000}"/>
    <cellStyle name="Currency 3" xfId="7" xr:uid="{00000000-0005-0000-0000-000029000000}"/>
    <cellStyle name="Currency 3 2" xfId="30" xr:uid="{00000000-0005-0000-0000-00002A000000}"/>
    <cellStyle name="Currency 4" xfId="82" xr:uid="{00000000-0005-0000-0000-00002B000000}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 xr:uid="{00000000-0005-0000-0000-000032000000}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 xr:uid="{00000000-0005-0000-0000-000037000000}"/>
    <cellStyle name="Normal 10 2" xfId="26" xr:uid="{00000000-0005-0000-0000-000038000000}"/>
    <cellStyle name="Normal 11" xfId="4" xr:uid="{00000000-0005-0000-0000-000039000000}"/>
    <cellStyle name="Normal 12" xfId="27" xr:uid="{00000000-0005-0000-0000-00003A000000}"/>
    <cellStyle name="Normal 12 2" xfId="84" xr:uid="{00000000-0005-0000-0000-00003B000000}"/>
    <cellStyle name="Normal 13" xfId="81" xr:uid="{00000000-0005-0000-0000-00003C000000}"/>
    <cellStyle name="Normal 14" xfId="79" xr:uid="{00000000-0005-0000-0000-00003D000000}"/>
    <cellStyle name="Normal 2" xfId="9" xr:uid="{00000000-0005-0000-0000-00003E000000}"/>
    <cellStyle name="Normal 2 2" xfId="24" xr:uid="{00000000-0005-0000-0000-00003F000000}"/>
    <cellStyle name="Normal 3" xfId="10" xr:uid="{00000000-0005-0000-0000-000040000000}"/>
    <cellStyle name="Normal 3 2" xfId="11" xr:uid="{00000000-0005-0000-0000-000041000000}"/>
    <cellStyle name="Normal 3 2 2" xfId="32" xr:uid="{00000000-0005-0000-0000-000042000000}"/>
    <cellStyle name="Normal 4" xfId="16" xr:uid="{00000000-0005-0000-0000-000043000000}"/>
    <cellStyle name="Normal 4 2" xfId="37" xr:uid="{00000000-0005-0000-0000-000044000000}"/>
    <cellStyle name="Normal 5" xfId="17" xr:uid="{00000000-0005-0000-0000-000045000000}"/>
    <cellStyle name="Normal 6" xfId="18" xr:uid="{00000000-0005-0000-0000-000046000000}"/>
    <cellStyle name="Normal 7" xfId="19" xr:uid="{00000000-0005-0000-0000-000047000000}"/>
    <cellStyle name="Normal 8" xfId="22" xr:uid="{00000000-0005-0000-0000-000048000000}"/>
    <cellStyle name="Normal 9" xfId="23" xr:uid="{00000000-0005-0000-0000-000049000000}"/>
    <cellStyle name="Note" xfId="52" builtinId="10" customBuiltin="1"/>
    <cellStyle name="Output" xfId="47" builtinId="21" customBuiltin="1"/>
    <cellStyle name="Percent 2" xfId="13" xr:uid="{00000000-0005-0000-0000-00004C000000}"/>
    <cellStyle name="Percent 2 2" xfId="34" xr:uid="{00000000-0005-0000-0000-00004D000000}"/>
    <cellStyle name="Percent 3" xfId="15" xr:uid="{00000000-0005-0000-0000-00004E000000}"/>
    <cellStyle name="Percent 3 2" xfId="36" xr:uid="{00000000-0005-0000-0000-00004F000000}"/>
    <cellStyle name="Percent 4" xfId="12" xr:uid="{00000000-0005-0000-0000-000050000000}"/>
    <cellStyle name="Percent 4 2" xfId="33" xr:uid="{00000000-0005-0000-0000-000051000000}"/>
    <cellStyle name="Title 2" xfId="80" xr:uid="{00000000-0005-0000-0000-000052000000}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99CCFF"/>
      <color rgb="FFCCE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leda_S\Desktop\ESSA%20Allocations\FY20-21\Granted%20Final\ESSA%20Preliminary%20Allocations%20FY2021%20-%20J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A Title I-A Formula"/>
      <sheetName val="ESSA Title I-Delinquent"/>
      <sheetName val="StateAgenciesTitle I-Delinquent"/>
      <sheetName val="ESSA Title II-A Formula"/>
      <sheetName val="ESSA Title III-ELL "/>
      <sheetName val="ESSA Title III SAI"/>
      <sheetName val="ESSA Title IV"/>
      <sheetName val="ESSA Title V-B"/>
      <sheetName val="NCLB Allocations"/>
    </sheetNames>
    <sheetDataSet>
      <sheetData sheetId="0">
        <row r="4">
          <cell r="C4" t="str">
            <v>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aleda, Steven" id="{44760C6B-D23E-4DA0-B580-7875779202EB}" userId="S::Kaleda_S@cde.state.co.us::82821ed9-8443-4f71-b561-533ecbb727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0" dT="2021-02-17T19:25:53.69" personId="{44760C6B-D23E-4DA0-B580-7875779202EB}" id="{6B81C6C1-8C68-4126-88B5-CE46379A2EEE}">
    <text>District decided to sign over funds to BOCES during PAR process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66FF"/>
    <pageSetUpPr fitToPage="1"/>
  </sheetPr>
  <dimension ref="A1:J225"/>
  <sheetViews>
    <sheetView tabSelected="1" zoomScale="85" zoomScaleNormal="85" workbookViewId="0">
      <pane ySplit="3" topLeftCell="A174" activePane="bottomLeft" state="frozen"/>
      <selection activeCell="G13" sqref="G13:G135"/>
      <selection pane="bottomLeft" activeCell="D12" sqref="D12"/>
    </sheetView>
  </sheetViews>
  <sheetFormatPr defaultColWidth="9.140625" defaultRowHeight="15" x14ac:dyDescent="0.25"/>
  <cols>
    <col min="1" max="1" width="9.140625" style="254"/>
    <col min="2" max="2" width="30.85546875" style="51" customWidth="1"/>
    <col min="3" max="3" width="20.42578125" style="51" customWidth="1"/>
    <col min="4" max="4" width="21.7109375" style="51" customWidth="1"/>
    <col min="5" max="5" width="24.42578125" style="51" customWidth="1"/>
    <col min="6" max="6" width="17.7109375" style="51" customWidth="1"/>
    <col min="7" max="7" width="15" style="51" customWidth="1"/>
    <col min="8" max="8" width="15.85546875" style="51" customWidth="1"/>
    <col min="9" max="9" width="19.85546875" style="51" customWidth="1"/>
    <col min="10" max="10" width="18.140625" style="51" customWidth="1"/>
    <col min="11" max="16384" width="9.140625" style="51"/>
  </cols>
  <sheetData>
    <row r="1" spans="1:10" ht="15.75" customHeight="1" x14ac:dyDescent="0.25">
      <c r="A1" s="310" t="s">
        <v>662</v>
      </c>
      <c r="B1" s="311"/>
      <c r="C1" s="311"/>
      <c r="D1" s="311"/>
      <c r="E1" s="311"/>
      <c r="F1" s="311"/>
      <c r="G1" s="311"/>
      <c r="H1" s="311"/>
      <c r="I1" s="312"/>
      <c r="J1" s="166"/>
    </row>
    <row r="2" spans="1:10" ht="15.75" customHeight="1" thickBot="1" x14ac:dyDescent="0.3">
      <c r="A2" s="313"/>
      <c r="B2" s="314"/>
      <c r="C2" s="314"/>
      <c r="D2" s="314"/>
      <c r="E2" s="314"/>
      <c r="F2" s="314"/>
      <c r="G2" s="314"/>
      <c r="H2" s="314"/>
      <c r="I2" s="315"/>
      <c r="J2" s="166"/>
    </row>
    <row r="3" spans="1:10" ht="19.5" thickBot="1" x14ac:dyDescent="0.35">
      <c r="A3" s="167" t="s">
        <v>365</v>
      </c>
      <c r="B3" s="168" t="s">
        <v>394</v>
      </c>
      <c r="C3" s="168" t="s">
        <v>5</v>
      </c>
      <c r="D3" s="168" t="s">
        <v>384</v>
      </c>
      <c r="E3" s="168" t="s">
        <v>604</v>
      </c>
      <c r="F3" s="168" t="s">
        <v>385</v>
      </c>
      <c r="G3" s="168" t="s">
        <v>605</v>
      </c>
      <c r="H3" s="168" t="s">
        <v>386</v>
      </c>
      <c r="I3" s="168" t="s">
        <v>606</v>
      </c>
      <c r="J3" s="169" t="s">
        <v>607</v>
      </c>
    </row>
    <row r="4" spans="1:10" ht="18.75" x14ac:dyDescent="0.3">
      <c r="A4" s="247" t="s">
        <v>6</v>
      </c>
      <c r="B4" s="53" t="s">
        <v>184</v>
      </c>
      <c r="C4" s="54">
        <f>VLOOKUP(A4,'ESSA Title I-A Formula'!A12:G194,7,FALSE)</f>
        <v>0</v>
      </c>
      <c r="D4" s="54">
        <v>0</v>
      </c>
      <c r="E4" s="134">
        <v>0</v>
      </c>
      <c r="F4" s="54">
        <f>VLOOKUP(A4,'ESSA Title II-A Formula'!A12:G194,7,FALSE)</f>
        <v>0</v>
      </c>
      <c r="G4" s="54">
        <f>VLOOKUP(A4,'ESSA Title III-ELL '!A12:G196,7,FALSE)</f>
        <v>0</v>
      </c>
      <c r="H4" s="54">
        <v>0</v>
      </c>
      <c r="I4" s="54">
        <f>VLOOKUP(A4,'ESSA Title IV'!A12:G194,7,FALSE)</f>
        <v>0</v>
      </c>
      <c r="J4" s="134">
        <v>0</v>
      </c>
    </row>
    <row r="5" spans="1:10" ht="18.75" x14ac:dyDescent="0.3">
      <c r="A5" s="248" t="s">
        <v>7</v>
      </c>
      <c r="B5" s="55" t="s">
        <v>185</v>
      </c>
      <c r="C5" s="134">
        <f>VLOOKUP(A5,'ESSA Title I-A Formula'!A13:G195,7,FALSE)</f>
        <v>0</v>
      </c>
      <c r="D5" s="134">
        <v>0</v>
      </c>
      <c r="E5" s="134">
        <v>0</v>
      </c>
      <c r="F5" s="134">
        <f>VLOOKUP(A5,'ESSA Title II-A Formula'!A13:G195,7,FALSE)</f>
        <v>0</v>
      </c>
      <c r="G5" s="134">
        <f>VLOOKUP(A5,'ESSA Title III-ELL '!A13:G197,7,FALSE)</f>
        <v>0</v>
      </c>
      <c r="H5" s="134">
        <f>'ESSA Title III SAI'!G12</f>
        <v>0</v>
      </c>
      <c r="I5" s="134">
        <f>VLOOKUP(A5,'ESSA Title IV'!A13:G195,7,FALSE)</f>
        <v>0</v>
      </c>
      <c r="J5" s="134">
        <v>0</v>
      </c>
    </row>
    <row r="6" spans="1:10" ht="18.75" x14ac:dyDescent="0.3">
      <c r="A6" s="248" t="s">
        <v>8</v>
      </c>
      <c r="B6" s="55" t="s">
        <v>186</v>
      </c>
      <c r="C6" s="134">
        <f>VLOOKUP(A6,'ESSA Title I-A Formula'!A14:G196,7,FALSE)</f>
        <v>0</v>
      </c>
      <c r="D6" s="134">
        <v>0</v>
      </c>
      <c r="E6" s="134">
        <v>0</v>
      </c>
      <c r="F6" s="134">
        <f>VLOOKUP(A6,'ESSA Title II-A Formula'!A14:G196,7,FALSE)</f>
        <v>0</v>
      </c>
      <c r="G6" s="134">
        <f>VLOOKUP(A6,'ESSA Title III-ELL '!A14:G198,7,FALSE)</f>
        <v>0</v>
      </c>
      <c r="H6" s="134">
        <f>'ESSA Title III SAI'!G13</f>
        <v>0</v>
      </c>
      <c r="I6" s="134">
        <f>VLOOKUP(A6,'ESSA Title IV'!A14:G196,7,FALSE)</f>
        <v>0</v>
      </c>
      <c r="J6" s="134">
        <v>0</v>
      </c>
    </row>
    <row r="7" spans="1:10" ht="18.75" x14ac:dyDescent="0.3">
      <c r="A7" s="248" t="s">
        <v>9</v>
      </c>
      <c r="B7" s="55" t="s">
        <v>187</v>
      </c>
      <c r="C7" s="134">
        <f>VLOOKUP(A7,'ESSA Title I-A Formula'!A15:G197,7,FALSE)</f>
        <v>0</v>
      </c>
      <c r="D7" s="134">
        <v>0</v>
      </c>
      <c r="E7" s="134">
        <v>0</v>
      </c>
      <c r="F7" s="134">
        <f>VLOOKUP(A7,'ESSA Title II-A Formula'!A15:G197,7,FALSE)</f>
        <v>0</v>
      </c>
      <c r="G7" s="134">
        <f>VLOOKUP(A7,'ESSA Title III-ELL '!A15:G199,7,FALSE)</f>
        <v>1154.570000000007</v>
      </c>
      <c r="H7" s="134">
        <v>0</v>
      </c>
      <c r="I7" s="134">
        <f>VLOOKUP(A7,'ESSA Title IV'!A15:G197,7,FALSE)</f>
        <v>1857.1000000000058</v>
      </c>
      <c r="J7" s="134">
        <v>0</v>
      </c>
    </row>
    <row r="8" spans="1:10" ht="18.75" x14ac:dyDescent="0.3">
      <c r="A8" s="248" t="s">
        <v>10</v>
      </c>
      <c r="B8" s="55" t="s">
        <v>188</v>
      </c>
      <c r="C8" s="134">
        <f>VLOOKUP(A8,'ESSA Title I-A Formula'!A16:G198,7,FALSE)</f>
        <v>0</v>
      </c>
      <c r="D8" s="134">
        <v>0</v>
      </c>
      <c r="E8" s="134">
        <v>0</v>
      </c>
      <c r="F8" s="134">
        <f>VLOOKUP(A8,'ESSA Title II-A Formula'!A16:G198,7,FALSE)</f>
        <v>0</v>
      </c>
      <c r="G8" s="134">
        <f>VLOOKUP(A8,'ESSA Title III-ELL '!A16:G200,7,FALSE)</f>
        <v>0</v>
      </c>
      <c r="H8" s="134">
        <v>0</v>
      </c>
      <c r="I8" s="134">
        <f>VLOOKUP(A8,'ESSA Title IV'!A16:G198,7,FALSE)</f>
        <v>0</v>
      </c>
      <c r="J8" s="134">
        <v>0</v>
      </c>
    </row>
    <row r="9" spans="1:10" ht="18.75" x14ac:dyDescent="0.3">
      <c r="A9" s="248" t="s">
        <v>11</v>
      </c>
      <c r="B9" s="55" t="s">
        <v>189</v>
      </c>
      <c r="C9" s="134">
        <f>VLOOKUP(A9,'ESSA Title I-A Formula'!A17:G199,7,FALSE)</f>
        <v>0</v>
      </c>
      <c r="D9" s="134">
        <v>0</v>
      </c>
      <c r="E9" s="134">
        <v>0</v>
      </c>
      <c r="F9" s="134">
        <f>VLOOKUP(A9,'ESSA Title II-A Formula'!A17:G199,7,FALSE)</f>
        <v>0</v>
      </c>
      <c r="G9" s="134">
        <f>VLOOKUP(A9,'ESSA Title III-ELL '!A17:G201,7,FALSE)</f>
        <v>0</v>
      </c>
      <c r="H9" s="134">
        <v>0</v>
      </c>
      <c r="I9" s="134">
        <f>VLOOKUP(A9,'ESSA Title IV'!A17:G199,7,FALSE)</f>
        <v>0</v>
      </c>
      <c r="J9" s="134">
        <v>0</v>
      </c>
    </row>
    <row r="10" spans="1:10" ht="18.75" x14ac:dyDescent="0.3">
      <c r="A10" s="248" t="s">
        <v>12</v>
      </c>
      <c r="B10" s="55" t="s">
        <v>190</v>
      </c>
      <c r="C10" s="134">
        <f>VLOOKUP(A10,'ESSA Title I-A Formula'!A18:G200,7,FALSE)</f>
        <v>0</v>
      </c>
      <c r="D10" s="134">
        <v>0</v>
      </c>
      <c r="E10" s="134">
        <v>0</v>
      </c>
      <c r="F10" s="134">
        <f>VLOOKUP(A10,'ESSA Title II-A Formula'!A18:G200,7,FALSE)</f>
        <v>0</v>
      </c>
      <c r="G10" s="134">
        <f>VLOOKUP(A10,'ESSA Title III-ELL '!A18:G202,7,FALSE)</f>
        <v>0</v>
      </c>
      <c r="H10" s="134">
        <v>0</v>
      </c>
      <c r="I10" s="134">
        <f>VLOOKUP(A10,'ESSA Title IV'!A18:G200,7,FALSE)</f>
        <v>0</v>
      </c>
      <c r="J10" s="134">
        <v>0</v>
      </c>
    </row>
    <row r="11" spans="1:10" ht="18.75" x14ac:dyDescent="0.3">
      <c r="A11" s="248" t="s">
        <v>13</v>
      </c>
      <c r="B11" s="55" t="s">
        <v>191</v>
      </c>
      <c r="C11" s="134">
        <f>VLOOKUP(A11,'ESSA Title I-A Formula'!A19:G201,7,FALSE)</f>
        <v>0</v>
      </c>
      <c r="D11" s="134">
        <v>0</v>
      </c>
      <c r="E11" s="134">
        <v>0</v>
      </c>
      <c r="F11" s="134">
        <f>VLOOKUP(A11,'ESSA Title II-A Formula'!A19:G201,7,FALSE)</f>
        <v>0</v>
      </c>
      <c r="G11" s="134">
        <f>VLOOKUP(A11,'ESSA Title III-ELL '!A19:G203,7,FALSE)</f>
        <v>4838.0500000000029</v>
      </c>
      <c r="H11" s="134">
        <v>0</v>
      </c>
      <c r="I11" s="134">
        <f>VLOOKUP(A11,'ESSA Title IV'!A19:G201,7,FALSE)</f>
        <v>0</v>
      </c>
      <c r="J11" s="134">
        <f>VLOOKUP(A11,'ESSA Title V-B'!$A$12:$G$31,7,FALSE)</f>
        <v>0</v>
      </c>
    </row>
    <row r="12" spans="1:10" ht="18.75" x14ac:dyDescent="0.3">
      <c r="A12" s="248" t="s">
        <v>14</v>
      </c>
      <c r="B12" s="55" t="s">
        <v>192</v>
      </c>
      <c r="C12" s="134">
        <f>VLOOKUP(A12,'ESSA Title I-A Formula'!A20:G202,7,FALSE)</f>
        <v>0</v>
      </c>
      <c r="D12" s="134">
        <v>0</v>
      </c>
      <c r="E12" s="134">
        <v>0</v>
      </c>
      <c r="F12" s="134">
        <f>VLOOKUP(A12,'ESSA Title II-A Formula'!A20:G202,7,FALSE)</f>
        <v>0</v>
      </c>
      <c r="G12" s="134">
        <f>VLOOKUP(A12,'ESSA Title III-ELL '!A20:G204,7,FALSE)</f>
        <v>0</v>
      </c>
      <c r="H12" s="134">
        <v>0</v>
      </c>
      <c r="I12" s="134">
        <f>VLOOKUP(A12,'ESSA Title IV'!A20:G202,7,FALSE)</f>
        <v>0</v>
      </c>
      <c r="J12" s="134">
        <v>0</v>
      </c>
    </row>
    <row r="13" spans="1:10" ht="18.75" x14ac:dyDescent="0.3">
      <c r="A13" s="248" t="s">
        <v>15</v>
      </c>
      <c r="B13" s="55" t="s">
        <v>193</v>
      </c>
      <c r="C13" s="134">
        <f>VLOOKUP(A13,'ESSA Title I-A Formula'!A21:G203,7,FALSE)</f>
        <v>0</v>
      </c>
      <c r="D13" s="134">
        <v>0</v>
      </c>
      <c r="E13" s="134">
        <v>0</v>
      </c>
      <c r="F13" s="134">
        <f>VLOOKUP(A13,'ESSA Title II-A Formula'!A21:G203,7,FALSE)</f>
        <v>0</v>
      </c>
      <c r="G13" s="134">
        <f>VLOOKUP(A13,'ESSA Title III-ELL '!A21:G205,7,FALSE)</f>
        <v>0</v>
      </c>
      <c r="H13" s="134">
        <v>0</v>
      </c>
      <c r="I13" s="134">
        <f>VLOOKUP(A13,'ESSA Title IV'!A21:G203,7,FALSE)</f>
        <v>0</v>
      </c>
      <c r="J13" s="134">
        <v>0</v>
      </c>
    </row>
    <row r="14" spans="1:10" ht="18.75" x14ac:dyDescent="0.3">
      <c r="A14" s="248" t="s">
        <v>16</v>
      </c>
      <c r="B14" s="55" t="s">
        <v>194</v>
      </c>
      <c r="C14" s="134">
        <f>VLOOKUP(A14,'ESSA Title I-A Formula'!A22:G204,7,FALSE)</f>
        <v>0</v>
      </c>
      <c r="D14" s="134">
        <v>0</v>
      </c>
      <c r="E14" s="134">
        <v>0</v>
      </c>
      <c r="F14" s="134">
        <f>VLOOKUP(A14,'ESSA Title II-A Formula'!A22:G204,7,FALSE)</f>
        <v>0</v>
      </c>
      <c r="G14" s="134">
        <f>VLOOKUP(A14,'ESSA Title III-ELL '!A22:G206,7,FALSE)</f>
        <v>0</v>
      </c>
      <c r="H14" s="134">
        <f>'ESSA Title III SAI'!G14</f>
        <v>537.40999999999985</v>
      </c>
      <c r="I14" s="134">
        <f>VLOOKUP(A14,'ESSA Title IV'!A22:G204,7,FALSE)</f>
        <v>0</v>
      </c>
      <c r="J14" s="134">
        <v>0</v>
      </c>
    </row>
    <row r="15" spans="1:10" ht="18.75" x14ac:dyDescent="0.3">
      <c r="A15" s="248" t="s">
        <v>17</v>
      </c>
      <c r="B15" s="55" t="s">
        <v>195</v>
      </c>
      <c r="C15" s="134">
        <f>VLOOKUP(A15,'ESSA Title I-A Formula'!A23:G205,7,FALSE)</f>
        <v>0</v>
      </c>
      <c r="D15" s="134">
        <v>0</v>
      </c>
      <c r="E15" s="134">
        <v>0</v>
      </c>
      <c r="F15" s="134">
        <f>VLOOKUP(A15,'ESSA Title II-A Formula'!A23:G205,7,FALSE)</f>
        <v>548537.90999999992</v>
      </c>
      <c r="G15" s="134">
        <f>VLOOKUP(A15,'ESSA Title III-ELL '!A23:G207,7,FALSE)</f>
        <v>0</v>
      </c>
      <c r="H15" s="134">
        <f>'ESSA Title III SAI'!G15</f>
        <v>0</v>
      </c>
      <c r="I15" s="134">
        <f>VLOOKUP(A15,'ESSA Title IV'!A23:G205,7,FALSE)</f>
        <v>38984.410000000003</v>
      </c>
      <c r="J15" s="134">
        <v>0</v>
      </c>
    </row>
    <row r="16" spans="1:10" ht="18.75" x14ac:dyDescent="0.3">
      <c r="A16" s="248" t="s">
        <v>18</v>
      </c>
      <c r="B16" s="55" t="s">
        <v>196</v>
      </c>
      <c r="C16" s="134">
        <f>VLOOKUP(A16,'ESSA Title I-A Formula'!A24:G206,7,FALSE)</f>
        <v>9.9999999511055648E-3</v>
      </c>
      <c r="D16" s="134">
        <v>0</v>
      </c>
      <c r="E16" s="134">
        <v>0</v>
      </c>
      <c r="F16" s="134">
        <f>VLOOKUP(A16,'ESSA Title II-A Formula'!A24:G206,7,FALSE)</f>
        <v>0</v>
      </c>
      <c r="G16" s="134">
        <f>VLOOKUP(A16,'ESSA Title III-ELL '!A24:G208,7,FALSE)</f>
        <v>0</v>
      </c>
      <c r="H16" s="134">
        <f>'ESSA Title III SAI'!G16</f>
        <v>138.45000000000005</v>
      </c>
      <c r="I16" s="134">
        <f>VLOOKUP(A16,'ESSA Title IV'!A24:G206,7,FALSE)</f>
        <v>10935.739999999994</v>
      </c>
      <c r="J16" s="134">
        <v>0</v>
      </c>
    </row>
    <row r="17" spans="1:10" ht="18.75" x14ac:dyDescent="0.3">
      <c r="A17" s="248" t="s">
        <v>19</v>
      </c>
      <c r="B17" s="55" t="s">
        <v>197</v>
      </c>
      <c r="C17" s="134">
        <f>VLOOKUP(A17,'ESSA Title I-A Formula'!A25:G207,7,FALSE)</f>
        <v>0</v>
      </c>
      <c r="D17" s="134">
        <v>0</v>
      </c>
      <c r="E17" s="134">
        <v>0</v>
      </c>
      <c r="F17" s="134">
        <f>VLOOKUP(A17,'ESSA Title II-A Formula'!A25:G207,7,FALSE)</f>
        <v>0</v>
      </c>
      <c r="G17" s="134">
        <f>VLOOKUP(A17,'ESSA Title III-ELL '!A25:G209,7,FALSE)</f>
        <v>0</v>
      </c>
      <c r="H17" s="134">
        <f>'ESSA Title III SAI'!G17</f>
        <v>0</v>
      </c>
      <c r="I17" s="134">
        <f>VLOOKUP(A17,'ESSA Title IV'!A25:G207,7,FALSE)</f>
        <v>0</v>
      </c>
      <c r="J17" s="134">
        <v>0</v>
      </c>
    </row>
    <row r="18" spans="1:10" ht="18.75" x14ac:dyDescent="0.3">
      <c r="A18" s="248" t="s">
        <v>20</v>
      </c>
      <c r="B18" s="55" t="s">
        <v>198</v>
      </c>
      <c r="C18" s="134">
        <f>VLOOKUP(A18,'ESSA Title I-A Formula'!A26:G208,7,FALSE)</f>
        <v>-3</v>
      </c>
      <c r="D18" s="134">
        <v>0</v>
      </c>
      <c r="E18" s="134">
        <v>0</v>
      </c>
      <c r="F18" s="134">
        <f>VLOOKUP(A18,'ESSA Title II-A Formula'!A26:G208,7,FALSE)</f>
        <v>0</v>
      </c>
      <c r="G18" s="134">
        <f>VLOOKUP(A18,'ESSA Title III-ELL '!A26:G210,7,FALSE)</f>
        <v>0</v>
      </c>
      <c r="H18" s="134">
        <v>0</v>
      </c>
      <c r="I18" s="134">
        <f>VLOOKUP(A18,'ESSA Title IV'!A26:G208,7,FALSE)</f>
        <v>0</v>
      </c>
      <c r="J18" s="134">
        <v>0</v>
      </c>
    </row>
    <row r="19" spans="1:10" ht="18.75" x14ac:dyDescent="0.3">
      <c r="A19" s="248" t="s">
        <v>21</v>
      </c>
      <c r="B19" s="55" t="s">
        <v>199</v>
      </c>
      <c r="C19" s="134">
        <f>VLOOKUP(A19,'ESSA Title I-A Formula'!A27:G209,7,FALSE)</f>
        <v>0</v>
      </c>
      <c r="D19" s="134">
        <v>0</v>
      </c>
      <c r="E19" s="134">
        <v>0</v>
      </c>
      <c r="F19" s="134">
        <f>VLOOKUP(A19,'ESSA Title II-A Formula'!A27:G209,7,FALSE)</f>
        <v>0</v>
      </c>
      <c r="G19" s="134">
        <f>VLOOKUP(A19,'ESSA Title III-ELL '!A27:G211,7,FALSE)</f>
        <v>0</v>
      </c>
      <c r="H19" s="134">
        <v>0</v>
      </c>
      <c r="I19" s="134">
        <f>VLOOKUP(A19,'ESSA Title IV'!A27:G209,7,FALSE)</f>
        <v>0</v>
      </c>
      <c r="J19" s="134">
        <v>0</v>
      </c>
    </row>
    <row r="20" spans="1:10" ht="18.75" x14ac:dyDescent="0.3">
      <c r="A20" s="248" t="s">
        <v>22</v>
      </c>
      <c r="B20" s="55" t="s">
        <v>200</v>
      </c>
      <c r="C20" s="134">
        <f>VLOOKUP(A20,'ESSA Title I-A Formula'!A28:G210,7,FALSE)</f>
        <v>0</v>
      </c>
      <c r="D20" s="134">
        <v>0</v>
      </c>
      <c r="E20" s="134">
        <v>0</v>
      </c>
      <c r="F20" s="134">
        <f>VLOOKUP(A20,'ESSA Title II-A Formula'!A28:G210,7,FALSE)</f>
        <v>0</v>
      </c>
      <c r="G20" s="134">
        <f>VLOOKUP(A20,'ESSA Title III-ELL '!A28:G212,7,FALSE)</f>
        <v>2026.2600000000002</v>
      </c>
      <c r="H20" s="134">
        <v>0</v>
      </c>
      <c r="I20" s="134">
        <f>VLOOKUP(A20,'ESSA Title IV'!A28:G210,7,FALSE)</f>
        <v>0</v>
      </c>
      <c r="J20" s="134">
        <f>VLOOKUP(A20,'ESSA Title V-B'!$A$12:$G$31,7,FALSE)</f>
        <v>0</v>
      </c>
    </row>
    <row r="21" spans="1:10" ht="18.75" x14ac:dyDescent="0.3">
      <c r="A21" s="248" t="s">
        <v>23</v>
      </c>
      <c r="B21" s="55" t="s">
        <v>201</v>
      </c>
      <c r="C21" s="134">
        <f>VLOOKUP(A21,'ESSA Title I-A Formula'!A29:G211,7,FALSE)</f>
        <v>0</v>
      </c>
      <c r="D21" s="134">
        <v>0</v>
      </c>
      <c r="E21" s="134">
        <v>0</v>
      </c>
      <c r="F21" s="134">
        <f>VLOOKUP(A21,'ESSA Title II-A Formula'!A29:G211,7,FALSE)</f>
        <v>0</v>
      </c>
      <c r="G21" s="134">
        <f>VLOOKUP(A21,'ESSA Title III-ELL '!A29:G213,7,FALSE)</f>
        <v>0</v>
      </c>
      <c r="H21" s="134">
        <v>0</v>
      </c>
      <c r="I21" s="134">
        <f>VLOOKUP(A21,'ESSA Title IV'!A29:G211,7,FALSE)</f>
        <v>0</v>
      </c>
      <c r="J21" s="134">
        <v>0</v>
      </c>
    </row>
    <row r="22" spans="1:10" ht="18.75" x14ac:dyDescent="0.3">
      <c r="A22" s="248" t="s">
        <v>24</v>
      </c>
      <c r="B22" s="55" t="s">
        <v>202</v>
      </c>
      <c r="C22" s="134">
        <f>VLOOKUP(A22,'ESSA Title I-A Formula'!A30:G212,7,FALSE)</f>
        <v>13606</v>
      </c>
      <c r="D22" s="134">
        <v>0</v>
      </c>
      <c r="E22" s="134">
        <v>0</v>
      </c>
      <c r="F22" s="134">
        <f>VLOOKUP(A22,'ESSA Title II-A Formula'!A30:G212,7,FALSE)</f>
        <v>2311</v>
      </c>
      <c r="G22" s="134">
        <f>VLOOKUP(A22,'ESSA Title III-ELL '!A30:G214,7,FALSE)</f>
        <v>0</v>
      </c>
      <c r="H22" s="134">
        <v>0</v>
      </c>
      <c r="I22" s="134">
        <f>VLOOKUP(A22,'ESSA Title IV'!A30:G212,7,FALSE)</f>
        <v>10000</v>
      </c>
      <c r="J22" s="134">
        <v>0</v>
      </c>
    </row>
    <row r="23" spans="1:10" ht="18.75" x14ac:dyDescent="0.3">
      <c r="A23" s="248" t="s">
        <v>25</v>
      </c>
      <c r="B23" s="55" t="s">
        <v>203</v>
      </c>
      <c r="C23" s="134">
        <f>VLOOKUP(A23,'ESSA Title I-A Formula'!A31:G213,7,FALSE)</f>
        <v>0</v>
      </c>
      <c r="D23" s="134">
        <v>0</v>
      </c>
      <c r="E23" s="134">
        <v>0</v>
      </c>
      <c r="F23" s="134">
        <f>VLOOKUP(A23,'ESSA Title II-A Formula'!A31:G213,7,FALSE)</f>
        <v>0</v>
      </c>
      <c r="G23" s="134">
        <f>VLOOKUP(A23,'ESSA Title III-ELL '!A31:G215,7,FALSE)</f>
        <v>0</v>
      </c>
      <c r="H23" s="134">
        <v>0</v>
      </c>
      <c r="I23" s="134">
        <f>VLOOKUP(A23,'ESSA Title IV'!A31:G213,7,FALSE)</f>
        <v>0</v>
      </c>
      <c r="J23" s="134">
        <v>0</v>
      </c>
    </row>
    <row r="24" spans="1:10" ht="18.75" x14ac:dyDescent="0.3">
      <c r="A24" s="248" t="s">
        <v>26</v>
      </c>
      <c r="B24" s="55" t="s">
        <v>204</v>
      </c>
      <c r="C24" s="134">
        <f>VLOOKUP(A24,'ESSA Title I-A Formula'!A32:G214,7,FALSE)</f>
        <v>0</v>
      </c>
      <c r="D24" s="134">
        <v>0</v>
      </c>
      <c r="E24" s="134">
        <v>0</v>
      </c>
      <c r="F24" s="134">
        <f>VLOOKUP(A24,'ESSA Title II-A Formula'!A32:G214,7,FALSE)</f>
        <v>0</v>
      </c>
      <c r="G24" s="134">
        <f>VLOOKUP(A24,'ESSA Title III-ELL '!A32:G216,7,FALSE)</f>
        <v>0</v>
      </c>
      <c r="H24" s="134">
        <v>0</v>
      </c>
      <c r="I24" s="134">
        <f>VLOOKUP(A24,'ESSA Title IV'!A32:G214,7,FALSE)</f>
        <v>0</v>
      </c>
      <c r="J24" s="134">
        <v>0</v>
      </c>
    </row>
    <row r="25" spans="1:10" ht="18.75" x14ac:dyDescent="0.3">
      <c r="A25" s="248" t="s">
        <v>27</v>
      </c>
      <c r="B25" s="55" t="s">
        <v>205</v>
      </c>
      <c r="C25" s="134">
        <f>VLOOKUP(A25,'ESSA Title I-A Formula'!A33:G215,7,FALSE)</f>
        <v>0</v>
      </c>
      <c r="D25" s="134">
        <v>0</v>
      </c>
      <c r="E25" s="134">
        <v>0</v>
      </c>
      <c r="F25" s="134">
        <f>VLOOKUP(A25,'ESSA Title II-A Formula'!A33:G215,7,FALSE)</f>
        <v>0</v>
      </c>
      <c r="G25" s="134">
        <f>VLOOKUP(A25,'ESSA Title III-ELL '!A33:G217,7,FALSE)</f>
        <v>0</v>
      </c>
      <c r="H25" s="134">
        <v>0</v>
      </c>
      <c r="I25" s="134">
        <f>VLOOKUP(A25,'ESSA Title IV'!A33:G215,7,FALSE)</f>
        <v>0</v>
      </c>
      <c r="J25" s="134">
        <v>0</v>
      </c>
    </row>
    <row r="26" spans="1:10" ht="18.75" x14ac:dyDescent="0.3">
      <c r="A26" s="248" t="s">
        <v>28</v>
      </c>
      <c r="B26" s="55" t="s">
        <v>206</v>
      </c>
      <c r="C26" s="134">
        <f>VLOOKUP(A26,'ESSA Title I-A Formula'!A34:G216,7,FALSE)</f>
        <v>0</v>
      </c>
      <c r="D26" s="134">
        <v>0</v>
      </c>
      <c r="E26" s="134">
        <v>0</v>
      </c>
      <c r="F26" s="134">
        <f>VLOOKUP(A26,'ESSA Title II-A Formula'!A34:G216,7,FALSE)</f>
        <v>0</v>
      </c>
      <c r="G26" s="134">
        <f>VLOOKUP(A26,'ESSA Title III-ELL '!A34:G218,7,FALSE)</f>
        <v>0</v>
      </c>
      <c r="H26" s="134">
        <v>0</v>
      </c>
      <c r="I26" s="134">
        <f>VLOOKUP(A26,'ESSA Title IV'!A34:G216,7,FALSE)</f>
        <v>7575.8499999999985</v>
      </c>
      <c r="J26" s="134">
        <f>VLOOKUP(A26,'ESSA Title V-B'!$A$12:$G$31,7,FALSE)</f>
        <v>0</v>
      </c>
    </row>
    <row r="27" spans="1:10" ht="18.75" x14ac:dyDescent="0.3">
      <c r="A27" s="248" t="s">
        <v>29</v>
      </c>
      <c r="B27" s="55" t="s">
        <v>207</v>
      </c>
      <c r="C27" s="134">
        <f>VLOOKUP(A27,'ESSA Title I-A Formula'!A35:G217,7,FALSE)</f>
        <v>0</v>
      </c>
      <c r="D27" s="134">
        <v>0</v>
      </c>
      <c r="E27" s="134">
        <v>0</v>
      </c>
      <c r="F27" s="134">
        <f>VLOOKUP(A27,'ESSA Title II-A Formula'!A35:G217,7,FALSE)</f>
        <v>0</v>
      </c>
      <c r="G27" s="134">
        <f>VLOOKUP(A27,'ESSA Title III-ELL '!A35:G219,7,FALSE)</f>
        <v>0</v>
      </c>
      <c r="H27" s="134">
        <v>0</v>
      </c>
      <c r="I27" s="134">
        <f>VLOOKUP(A27,'ESSA Title IV'!A35:G217,7,FALSE)</f>
        <v>0</v>
      </c>
      <c r="J27" s="134">
        <v>0</v>
      </c>
    </row>
    <row r="28" spans="1:10" ht="18.75" x14ac:dyDescent="0.3">
      <c r="A28" s="248" t="s">
        <v>30</v>
      </c>
      <c r="B28" s="55" t="s">
        <v>208</v>
      </c>
      <c r="C28" s="134">
        <f>VLOOKUP(A28,'ESSA Title I-A Formula'!A36:G218,7,FALSE)</f>
        <v>0</v>
      </c>
      <c r="D28" s="134">
        <v>0</v>
      </c>
      <c r="E28" s="134">
        <v>0</v>
      </c>
      <c r="F28" s="134">
        <f>VLOOKUP(A28,'ESSA Title II-A Formula'!A36:G218,7,FALSE)</f>
        <v>0</v>
      </c>
      <c r="G28" s="134">
        <f>VLOOKUP(A28,'ESSA Title III-ELL '!A36:G220,7,FALSE)</f>
        <v>0</v>
      </c>
      <c r="H28" s="134">
        <v>0</v>
      </c>
      <c r="I28" s="134">
        <f>VLOOKUP(A28,'ESSA Title IV'!A36:G218,7,FALSE)</f>
        <v>91413.669999999984</v>
      </c>
      <c r="J28" s="134">
        <v>0</v>
      </c>
    </row>
    <row r="29" spans="1:10" ht="18.75" x14ac:dyDescent="0.3">
      <c r="A29" s="248" t="s">
        <v>31</v>
      </c>
      <c r="B29" s="55" t="s">
        <v>209</v>
      </c>
      <c r="C29" s="134">
        <f>VLOOKUP(A29,'ESSA Title I-A Formula'!A37:G219,7,FALSE)</f>
        <v>0</v>
      </c>
      <c r="D29" s="134">
        <v>0</v>
      </c>
      <c r="E29" s="134">
        <v>0</v>
      </c>
      <c r="F29" s="134">
        <f>VLOOKUP(A29,'ESSA Title II-A Formula'!A37:G219,7,FALSE)</f>
        <v>47261.5</v>
      </c>
      <c r="G29" s="134">
        <f>VLOOKUP(A29,'ESSA Title III-ELL '!A37:G221,7,FALSE)</f>
        <v>0</v>
      </c>
      <c r="H29" s="134">
        <v>0</v>
      </c>
      <c r="I29" s="134">
        <f>VLOOKUP(A29,'ESSA Title IV'!A37:G219,7,FALSE)</f>
        <v>0</v>
      </c>
      <c r="J29" s="134">
        <v>0</v>
      </c>
    </row>
    <row r="30" spans="1:10" ht="18.75" x14ac:dyDescent="0.3">
      <c r="A30" s="248" t="s">
        <v>32</v>
      </c>
      <c r="B30" s="55" t="s">
        <v>210</v>
      </c>
      <c r="C30" s="134">
        <f>VLOOKUP(A30,'ESSA Title I-A Formula'!A38:G220,7,FALSE)</f>
        <v>0</v>
      </c>
      <c r="D30" s="134">
        <v>0</v>
      </c>
      <c r="E30" s="134">
        <v>0</v>
      </c>
      <c r="F30" s="134">
        <f>VLOOKUP(A30,'ESSA Title II-A Formula'!A38:G220,7,FALSE)</f>
        <v>0</v>
      </c>
      <c r="G30" s="134">
        <f>VLOOKUP(A30,'ESSA Title III-ELL '!A38:G222,7,FALSE)</f>
        <v>0</v>
      </c>
      <c r="H30" s="134">
        <v>0</v>
      </c>
      <c r="I30" s="134">
        <f>VLOOKUP(A30,'ESSA Title IV'!A38:G220,7,FALSE)</f>
        <v>0</v>
      </c>
      <c r="J30" s="134">
        <v>0</v>
      </c>
    </row>
    <row r="31" spans="1:10" ht="18.75" x14ac:dyDescent="0.3">
      <c r="A31" s="248" t="s">
        <v>33</v>
      </c>
      <c r="B31" s="55" t="s">
        <v>211</v>
      </c>
      <c r="C31" s="134">
        <f>VLOOKUP(A31,'ESSA Title I-A Formula'!A39:G221,7,FALSE)</f>
        <v>0</v>
      </c>
      <c r="D31" s="134">
        <v>0</v>
      </c>
      <c r="E31" s="134">
        <v>0</v>
      </c>
      <c r="F31" s="134">
        <f>VLOOKUP(A31,'ESSA Title II-A Formula'!A39:G221,7,FALSE)</f>
        <v>0</v>
      </c>
      <c r="G31" s="134">
        <f>VLOOKUP(A31,'ESSA Title III-ELL '!A39:G223,7,FALSE)</f>
        <v>0</v>
      </c>
      <c r="H31" s="134">
        <v>0</v>
      </c>
      <c r="I31" s="134">
        <f>VLOOKUP(A31,'ESSA Title IV'!A39:G221,7,FALSE)</f>
        <v>0</v>
      </c>
      <c r="J31" s="134">
        <v>0</v>
      </c>
    </row>
    <row r="32" spans="1:10" ht="18.75" x14ac:dyDescent="0.3">
      <c r="A32" s="248" t="s">
        <v>34</v>
      </c>
      <c r="B32" s="55" t="s">
        <v>212</v>
      </c>
      <c r="C32" s="134">
        <f>VLOOKUP(A32,'ESSA Title I-A Formula'!A40:G222,7,FALSE)</f>
        <v>0</v>
      </c>
      <c r="D32" s="134">
        <v>0</v>
      </c>
      <c r="E32" s="134">
        <v>0</v>
      </c>
      <c r="F32" s="134">
        <f>VLOOKUP(A32,'ESSA Title II-A Formula'!A40:G222,7,FALSE)</f>
        <v>0</v>
      </c>
      <c r="G32" s="134">
        <f>VLOOKUP(A32,'ESSA Title III-ELL '!A40:G224,7,FALSE)</f>
        <v>0</v>
      </c>
      <c r="H32" s="134">
        <v>0</v>
      </c>
      <c r="I32" s="134">
        <f>VLOOKUP(A32,'ESSA Title IV'!A40:G222,7,FALSE)</f>
        <v>0</v>
      </c>
      <c r="J32" s="134">
        <v>0</v>
      </c>
    </row>
    <row r="33" spans="1:10" ht="18.75" x14ac:dyDescent="0.3">
      <c r="A33" s="248" t="s">
        <v>35</v>
      </c>
      <c r="B33" s="55" t="s">
        <v>213</v>
      </c>
      <c r="C33" s="134">
        <f>VLOOKUP(A33,'ESSA Title I-A Formula'!A41:G223,7,FALSE)</f>
        <v>0</v>
      </c>
      <c r="D33" s="134">
        <v>0</v>
      </c>
      <c r="E33" s="134">
        <v>0</v>
      </c>
      <c r="F33" s="134">
        <f>VLOOKUP(A33,'ESSA Title II-A Formula'!A41:G223,7,FALSE)</f>
        <v>0</v>
      </c>
      <c r="G33" s="134">
        <f>VLOOKUP(A33,'ESSA Title III-ELL '!A41:G225,7,FALSE)</f>
        <v>0</v>
      </c>
      <c r="H33" s="134">
        <v>0</v>
      </c>
      <c r="I33" s="134">
        <f>VLOOKUP(A33,'ESSA Title IV'!A41:G223,7,FALSE)</f>
        <v>0</v>
      </c>
      <c r="J33" s="134">
        <v>0</v>
      </c>
    </row>
    <row r="34" spans="1:10" ht="18.75" x14ac:dyDescent="0.3">
      <c r="A34" s="248" t="s">
        <v>36</v>
      </c>
      <c r="B34" s="55" t="s">
        <v>214</v>
      </c>
      <c r="C34" s="134">
        <f>VLOOKUP(A34,'ESSA Title I-A Formula'!A42:G224,7,FALSE)</f>
        <v>0</v>
      </c>
      <c r="D34" s="134">
        <v>0</v>
      </c>
      <c r="E34" s="134">
        <v>0</v>
      </c>
      <c r="F34" s="134">
        <f>VLOOKUP(A34,'ESSA Title II-A Formula'!A42:G224,7,FALSE)</f>
        <v>0</v>
      </c>
      <c r="G34" s="134">
        <f>VLOOKUP(A34,'ESSA Title III-ELL '!A42:G226,7,FALSE)</f>
        <v>0</v>
      </c>
      <c r="H34" s="134">
        <v>0</v>
      </c>
      <c r="I34" s="134">
        <f>VLOOKUP(A34,'ESSA Title IV'!A42:G224,7,FALSE)</f>
        <v>0</v>
      </c>
      <c r="J34" s="134">
        <v>0</v>
      </c>
    </row>
    <row r="35" spans="1:10" ht="18.75" x14ac:dyDescent="0.3">
      <c r="A35" s="248" t="s">
        <v>37</v>
      </c>
      <c r="B35" s="55" t="s">
        <v>215</v>
      </c>
      <c r="C35" s="134">
        <f>VLOOKUP(A35,'ESSA Title I-A Formula'!A43:G225,7,FALSE)</f>
        <v>0</v>
      </c>
      <c r="D35" s="134">
        <v>0</v>
      </c>
      <c r="E35" s="134">
        <v>0</v>
      </c>
      <c r="F35" s="134">
        <f>VLOOKUP(A35,'ESSA Title II-A Formula'!A43:G225,7,FALSE)</f>
        <v>0</v>
      </c>
      <c r="G35" s="134">
        <f>VLOOKUP(A35,'ESSA Title III-ELL '!A43:G227,7,FALSE)</f>
        <v>0</v>
      </c>
      <c r="H35" s="134">
        <v>0</v>
      </c>
      <c r="I35" s="134">
        <f>VLOOKUP(A35,'ESSA Title IV'!A43:G225,7,FALSE)</f>
        <v>0</v>
      </c>
      <c r="J35" s="134">
        <f>VLOOKUP(A35,'ESSA Title V-B'!$A$12:$G$31,7,FALSE)</f>
        <v>0</v>
      </c>
    </row>
    <row r="36" spans="1:10" ht="18.75" x14ac:dyDescent="0.3">
      <c r="A36" s="248" t="s">
        <v>38</v>
      </c>
      <c r="B36" s="55" t="s">
        <v>216</v>
      </c>
      <c r="C36" s="134">
        <f>VLOOKUP(A36,'ESSA Title I-A Formula'!A44:G226,7,FALSE)</f>
        <v>0</v>
      </c>
      <c r="D36" s="134">
        <v>0</v>
      </c>
      <c r="E36" s="134">
        <v>0</v>
      </c>
      <c r="F36" s="134">
        <f>VLOOKUP(A36,'ESSA Title II-A Formula'!A44:G226,7,FALSE)</f>
        <v>0</v>
      </c>
      <c r="G36" s="134">
        <f>VLOOKUP(A36,'ESSA Title III-ELL '!A44:G228,7,FALSE)</f>
        <v>0</v>
      </c>
      <c r="H36" s="134">
        <v>0</v>
      </c>
      <c r="I36" s="134">
        <f>VLOOKUP(A36,'ESSA Title IV'!A44:G226,7,FALSE)</f>
        <v>0</v>
      </c>
      <c r="J36" s="134">
        <v>0</v>
      </c>
    </row>
    <row r="37" spans="1:10" ht="18.75" x14ac:dyDescent="0.3">
      <c r="A37" s="248" t="s">
        <v>39</v>
      </c>
      <c r="B37" s="55" t="s">
        <v>217</v>
      </c>
      <c r="C37" s="134">
        <f>VLOOKUP(A37,'ESSA Title I-A Formula'!A45:G227,7,FALSE)</f>
        <v>0</v>
      </c>
      <c r="D37" s="134">
        <v>0</v>
      </c>
      <c r="E37" s="134">
        <v>0</v>
      </c>
      <c r="F37" s="134">
        <f>VLOOKUP(A37,'ESSA Title II-A Formula'!A45:G227,7,FALSE)</f>
        <v>7269.67</v>
      </c>
      <c r="G37" s="134">
        <f>VLOOKUP(A37,'ESSA Title III-ELL '!A45:G229,7,FALSE)</f>
        <v>0</v>
      </c>
      <c r="H37" s="134">
        <v>0</v>
      </c>
      <c r="I37" s="134">
        <f>VLOOKUP(A37,'ESSA Title IV'!A45:G227,7,FALSE)</f>
        <v>1910.1499999999996</v>
      </c>
      <c r="J37" s="134">
        <f>VLOOKUP(A37,'ESSA Title V-B'!$A$12:$G$31,7,FALSE)</f>
        <v>0</v>
      </c>
    </row>
    <row r="38" spans="1:10" ht="18.75" x14ac:dyDescent="0.3">
      <c r="A38" s="248" t="s">
        <v>40</v>
      </c>
      <c r="B38" s="55" t="s">
        <v>218</v>
      </c>
      <c r="C38" s="134">
        <f>VLOOKUP(A38,'ESSA Title I-A Formula'!A46:G228,7,FALSE)</f>
        <v>0</v>
      </c>
      <c r="D38" s="134">
        <v>0</v>
      </c>
      <c r="E38" s="134">
        <v>0</v>
      </c>
      <c r="F38" s="134">
        <f>VLOOKUP(A38,'ESSA Title II-A Formula'!A46:G228,7,FALSE)</f>
        <v>0</v>
      </c>
      <c r="G38" s="134">
        <f>VLOOKUP(A38,'ESSA Title III-ELL '!A46:G230,7,FALSE)</f>
        <v>0</v>
      </c>
      <c r="H38" s="134">
        <v>0</v>
      </c>
      <c r="I38" s="134">
        <f>VLOOKUP(A38,'ESSA Title IV'!A46:G228,7,FALSE)</f>
        <v>0</v>
      </c>
      <c r="J38" s="134">
        <v>0</v>
      </c>
    </row>
    <row r="39" spans="1:10" ht="18.75" x14ac:dyDescent="0.3">
      <c r="A39" s="248" t="s">
        <v>41</v>
      </c>
      <c r="B39" s="55" t="s">
        <v>219</v>
      </c>
      <c r="C39" s="134">
        <f>VLOOKUP(A39,'ESSA Title I-A Formula'!A47:G229,7,FALSE)</f>
        <v>0</v>
      </c>
      <c r="D39" s="134">
        <v>0</v>
      </c>
      <c r="E39" s="134">
        <v>0</v>
      </c>
      <c r="F39" s="134">
        <f>VLOOKUP(A39,'ESSA Title II-A Formula'!A47:G229,7,FALSE)</f>
        <v>0</v>
      </c>
      <c r="G39" s="134">
        <f>VLOOKUP(A39,'ESSA Title III-ELL '!A47:G231,7,FALSE)</f>
        <v>0</v>
      </c>
      <c r="H39" s="134">
        <v>0</v>
      </c>
      <c r="I39" s="134">
        <f>VLOOKUP(A39,'ESSA Title IV'!A47:G229,7,FALSE)</f>
        <v>0</v>
      </c>
      <c r="J39" s="134">
        <v>0</v>
      </c>
    </row>
    <row r="40" spans="1:10" ht="18.75" x14ac:dyDescent="0.3">
      <c r="A40" s="248" t="s">
        <v>42</v>
      </c>
      <c r="B40" s="55" t="s">
        <v>220</v>
      </c>
      <c r="C40" s="134">
        <f>VLOOKUP(A40,'ESSA Title I-A Formula'!A48:G230,7,FALSE)</f>
        <v>0</v>
      </c>
      <c r="D40" s="134">
        <v>0</v>
      </c>
      <c r="E40" s="134">
        <v>0</v>
      </c>
      <c r="F40" s="134">
        <f>VLOOKUP(A40,'ESSA Title II-A Formula'!A48:G230,7,FALSE)</f>
        <v>6588.4199999999983</v>
      </c>
      <c r="G40" s="134">
        <f>VLOOKUP(A40,'ESSA Title III-ELL '!A48:G232,7,FALSE)</f>
        <v>0</v>
      </c>
      <c r="H40" s="134">
        <v>0</v>
      </c>
      <c r="I40" s="134">
        <f>VLOOKUP(A40,'ESSA Title IV'!A48:G230,7,FALSE)</f>
        <v>0</v>
      </c>
      <c r="J40" s="134">
        <v>0</v>
      </c>
    </row>
    <row r="41" spans="1:10" ht="18.75" x14ac:dyDescent="0.3">
      <c r="A41" s="248" t="s">
        <v>43</v>
      </c>
      <c r="B41" s="55" t="s">
        <v>221</v>
      </c>
      <c r="C41" s="134">
        <f>VLOOKUP(A41,'ESSA Title I-A Formula'!A49:G231,7,FALSE)</f>
        <v>0</v>
      </c>
      <c r="D41" s="134">
        <v>0</v>
      </c>
      <c r="E41" s="134">
        <v>0</v>
      </c>
      <c r="F41" s="134">
        <f>VLOOKUP(A41,'ESSA Title II-A Formula'!A49:G231,7,FALSE)</f>
        <v>0</v>
      </c>
      <c r="G41" s="134">
        <f>VLOOKUP(A41,'ESSA Title III-ELL '!A49:G233,7,FALSE)</f>
        <v>0</v>
      </c>
      <c r="H41" s="134">
        <v>0</v>
      </c>
      <c r="I41" s="134">
        <f>VLOOKUP(A41,'ESSA Title IV'!A49:G231,7,FALSE)</f>
        <v>0</v>
      </c>
      <c r="J41" s="134">
        <v>0</v>
      </c>
    </row>
    <row r="42" spans="1:10" ht="18.75" x14ac:dyDescent="0.3">
      <c r="A42" s="248" t="s">
        <v>44</v>
      </c>
      <c r="B42" s="55" t="s">
        <v>222</v>
      </c>
      <c r="C42" s="134">
        <f>VLOOKUP(A42,'ESSA Title I-A Formula'!A50:G232,7,FALSE)</f>
        <v>0</v>
      </c>
      <c r="D42" s="134">
        <v>0</v>
      </c>
      <c r="E42" s="134">
        <v>0</v>
      </c>
      <c r="F42" s="134">
        <f>VLOOKUP(A42,'ESSA Title II-A Formula'!A50:G232,7,FALSE)</f>
        <v>0</v>
      </c>
      <c r="G42" s="134">
        <f>VLOOKUP(A42,'ESSA Title III-ELL '!A50:G234,7,FALSE)</f>
        <v>0</v>
      </c>
      <c r="H42" s="134">
        <v>0</v>
      </c>
      <c r="I42" s="134">
        <f>VLOOKUP(A42,'ESSA Title IV'!A50:G232,7,FALSE)</f>
        <v>0</v>
      </c>
      <c r="J42" s="134">
        <f>VLOOKUP(A42,'ESSA Title V-B'!$A$12:$G$31,7,FALSE)</f>
        <v>0</v>
      </c>
    </row>
    <row r="43" spans="1:10" ht="18.75" x14ac:dyDescent="0.3">
      <c r="A43" s="248" t="s">
        <v>45</v>
      </c>
      <c r="B43" s="55" t="s">
        <v>223</v>
      </c>
      <c r="C43" s="134">
        <f>VLOOKUP(A43,'ESSA Title I-A Formula'!A51:G233,7,FALSE)</f>
        <v>-4</v>
      </c>
      <c r="D43" s="134">
        <f>'ESSA Title I-Delinquent'!G12</f>
        <v>0</v>
      </c>
      <c r="E43" s="134">
        <v>0</v>
      </c>
      <c r="F43" s="134">
        <f>VLOOKUP(A43,'ESSA Title II-A Formula'!A51:G233,7,FALSE)</f>
        <v>0</v>
      </c>
      <c r="G43" s="134">
        <f>VLOOKUP(A43,'ESSA Title III-ELL '!A51:G235,7,FALSE)</f>
        <v>0</v>
      </c>
      <c r="H43" s="134">
        <f>'ESSA Title III SAI'!G18</f>
        <v>64567.080000000016</v>
      </c>
      <c r="I43" s="134">
        <f>VLOOKUP(A43,'ESSA Title IV'!A51:G233,7,FALSE)</f>
        <v>721770.81</v>
      </c>
      <c r="J43" s="134">
        <v>0</v>
      </c>
    </row>
    <row r="44" spans="1:10" ht="18.75" x14ac:dyDescent="0.3">
      <c r="A44" s="248" t="s">
        <v>46</v>
      </c>
      <c r="B44" s="55" t="s">
        <v>224</v>
      </c>
      <c r="C44" s="134">
        <f>VLOOKUP(A44,'ESSA Title I-A Formula'!A52:G234,7,FALSE)</f>
        <v>0</v>
      </c>
      <c r="D44" s="134">
        <v>0</v>
      </c>
      <c r="E44" s="134">
        <v>0</v>
      </c>
      <c r="F44" s="134">
        <f>VLOOKUP(A44,'ESSA Title II-A Formula'!A52:G234,7,FALSE)</f>
        <v>0</v>
      </c>
      <c r="G44" s="134">
        <f>VLOOKUP(A44,'ESSA Title III-ELL '!A52:G236,7,FALSE)</f>
        <v>0</v>
      </c>
      <c r="H44" s="134">
        <v>0</v>
      </c>
      <c r="I44" s="134">
        <f>VLOOKUP(A44,'ESSA Title IV'!A52:G234,7,FALSE)</f>
        <v>0</v>
      </c>
      <c r="J44" s="134">
        <v>0</v>
      </c>
    </row>
    <row r="45" spans="1:10" ht="18.75" x14ac:dyDescent="0.3">
      <c r="A45" s="248" t="s">
        <v>47</v>
      </c>
      <c r="B45" s="55" t="s">
        <v>225</v>
      </c>
      <c r="C45" s="134">
        <f>VLOOKUP(A45,'ESSA Title I-A Formula'!A53:G235,7,FALSE)</f>
        <v>0</v>
      </c>
      <c r="D45" s="134">
        <v>0</v>
      </c>
      <c r="E45" s="134">
        <v>0</v>
      </c>
      <c r="F45" s="134">
        <f>VLOOKUP(A45,'ESSA Title II-A Formula'!A53:G235,7,FALSE)</f>
        <v>0</v>
      </c>
      <c r="G45" s="134">
        <f>VLOOKUP(A45,'ESSA Title III-ELL '!A53:G237,7,FALSE)</f>
        <v>0</v>
      </c>
      <c r="H45" s="134">
        <v>0</v>
      </c>
      <c r="I45" s="134">
        <f>VLOOKUP(A45,'ESSA Title IV'!A53:G235,7,FALSE)</f>
        <v>55255.770000000004</v>
      </c>
      <c r="J45" s="134">
        <v>0</v>
      </c>
    </row>
    <row r="46" spans="1:10" ht="18.75" x14ac:dyDescent="0.3">
      <c r="A46" s="248" t="s">
        <v>48</v>
      </c>
      <c r="B46" s="55" t="s">
        <v>226</v>
      </c>
      <c r="C46" s="134">
        <f>VLOOKUP(A46,'ESSA Title I-A Formula'!A54:G236,7,FALSE)</f>
        <v>0</v>
      </c>
      <c r="D46" s="134">
        <v>0</v>
      </c>
      <c r="E46" s="134">
        <v>0</v>
      </c>
      <c r="F46" s="134">
        <f>VLOOKUP(A46,'ESSA Title II-A Formula'!A54:G236,7,FALSE)</f>
        <v>0</v>
      </c>
      <c r="G46" s="134">
        <f>VLOOKUP(A46,'ESSA Title III-ELL '!A54:G238,7,FALSE)</f>
        <v>0</v>
      </c>
      <c r="H46" s="285">
        <v>0</v>
      </c>
      <c r="I46" s="134">
        <f>VLOOKUP(A46,'ESSA Title IV'!A54:G236,7,FALSE)</f>
        <v>0</v>
      </c>
      <c r="J46" s="134">
        <v>0</v>
      </c>
    </row>
    <row r="47" spans="1:10" ht="18.75" x14ac:dyDescent="0.3">
      <c r="A47" s="248" t="s">
        <v>49</v>
      </c>
      <c r="B47" s="55" t="s">
        <v>227</v>
      </c>
      <c r="C47" s="134">
        <f>VLOOKUP(A47,'ESSA Title I-A Formula'!A55:G237,7,FALSE)</f>
        <v>0</v>
      </c>
      <c r="D47" s="134">
        <v>0</v>
      </c>
      <c r="E47" s="134">
        <v>0</v>
      </c>
      <c r="F47" s="134">
        <f>VLOOKUP(A47,'ESSA Title II-A Formula'!A55:G237,7,FALSE)</f>
        <v>-2.0000000004074536E-2</v>
      </c>
      <c r="G47" s="134">
        <f>VLOOKUP(A47,'ESSA Title III-ELL '!A55:G239,7,FALSE)</f>
        <v>0</v>
      </c>
      <c r="H47" s="134">
        <v>0</v>
      </c>
      <c r="I47" s="134">
        <f>VLOOKUP(A47,'ESSA Title IV'!A55:G237,7,FALSE)</f>
        <v>0</v>
      </c>
      <c r="J47" s="134">
        <v>0</v>
      </c>
    </row>
    <row r="48" spans="1:10" ht="18.75" x14ac:dyDescent="0.3">
      <c r="A48" s="248" t="s">
        <v>50</v>
      </c>
      <c r="B48" s="55" t="s">
        <v>228</v>
      </c>
      <c r="C48" s="134">
        <f>VLOOKUP(A48,'ESSA Title I-A Formula'!A56:G238,7,FALSE)</f>
        <v>0</v>
      </c>
      <c r="D48" s="134">
        <v>0</v>
      </c>
      <c r="E48" s="134">
        <v>0</v>
      </c>
      <c r="F48" s="134">
        <f>VLOOKUP(A48,'ESSA Title II-A Formula'!A56:G238,7,FALSE)</f>
        <v>0</v>
      </c>
      <c r="G48" s="134">
        <f>VLOOKUP(A48,'ESSA Title III-ELL '!A56:G240,7,FALSE)</f>
        <v>0</v>
      </c>
      <c r="H48" s="134">
        <v>0</v>
      </c>
      <c r="I48" s="134">
        <f>VLOOKUP(A48,'ESSA Title IV'!A56:G238,7,FALSE)</f>
        <v>0</v>
      </c>
      <c r="J48" s="134">
        <v>0</v>
      </c>
    </row>
    <row r="49" spans="1:10" ht="18.75" x14ac:dyDescent="0.3">
      <c r="A49" s="248" t="s">
        <v>51</v>
      </c>
      <c r="B49" s="55" t="s">
        <v>229</v>
      </c>
      <c r="C49" s="134">
        <f>VLOOKUP(A49,'ESSA Title I-A Formula'!A57:G239,7,FALSE)</f>
        <v>0</v>
      </c>
      <c r="D49" s="134">
        <v>0</v>
      </c>
      <c r="E49" s="134">
        <v>0</v>
      </c>
      <c r="F49" s="134">
        <f>VLOOKUP(A49,'ESSA Title II-A Formula'!A57:G239,7,FALSE)</f>
        <v>0</v>
      </c>
      <c r="G49" s="134">
        <f>VLOOKUP(A49,'ESSA Title III-ELL '!A57:G241,7,FALSE)</f>
        <v>0</v>
      </c>
      <c r="H49" s="134">
        <v>0</v>
      </c>
      <c r="I49" s="134">
        <f>VLOOKUP(A49,'ESSA Title IV'!A57:G239,7,FALSE)</f>
        <v>0</v>
      </c>
      <c r="J49" s="134">
        <v>0</v>
      </c>
    </row>
    <row r="50" spans="1:10" ht="18.75" x14ac:dyDescent="0.3">
      <c r="A50" s="248" t="s">
        <v>52</v>
      </c>
      <c r="B50" s="55" t="s">
        <v>230</v>
      </c>
      <c r="C50" s="134">
        <f>VLOOKUP(A50,'ESSA Title I-A Formula'!A58:G240,7,FALSE)</f>
        <v>0</v>
      </c>
      <c r="D50" s="134">
        <v>0</v>
      </c>
      <c r="E50" s="134">
        <v>0</v>
      </c>
      <c r="F50" s="134">
        <f>VLOOKUP(A50,'ESSA Title II-A Formula'!A58:G240,7,FALSE)</f>
        <v>0</v>
      </c>
      <c r="G50" s="134">
        <f>VLOOKUP(A50,'ESSA Title III-ELL '!A58:G242,7,FALSE)</f>
        <v>0</v>
      </c>
      <c r="H50" s="134">
        <v>0</v>
      </c>
      <c r="I50" s="134">
        <f>VLOOKUP(A50,'ESSA Title IV'!A58:G240,7,FALSE)</f>
        <v>0</v>
      </c>
      <c r="J50" s="134">
        <v>0</v>
      </c>
    </row>
    <row r="51" spans="1:10" ht="18.75" x14ac:dyDescent="0.3">
      <c r="A51" s="248" t="s">
        <v>53</v>
      </c>
      <c r="B51" s="55" t="s">
        <v>231</v>
      </c>
      <c r="C51" s="134">
        <f>VLOOKUP(A51,'ESSA Title I-A Formula'!A59:G241,7,FALSE)</f>
        <v>0</v>
      </c>
      <c r="D51" s="134">
        <v>0</v>
      </c>
      <c r="E51" s="134">
        <v>0</v>
      </c>
      <c r="F51" s="134">
        <f>VLOOKUP(A51,'ESSA Title II-A Formula'!A59:G241,7,FALSE)</f>
        <v>0</v>
      </c>
      <c r="G51" s="134">
        <f>VLOOKUP(A51,'ESSA Title III-ELL '!A59:G243,7,FALSE)</f>
        <v>0</v>
      </c>
      <c r="H51" s="134">
        <v>0</v>
      </c>
      <c r="I51" s="134">
        <f>VLOOKUP(A51,'ESSA Title IV'!A59:G241,7,FALSE)</f>
        <v>0</v>
      </c>
      <c r="J51" s="134">
        <v>0</v>
      </c>
    </row>
    <row r="52" spans="1:10" ht="18.75" x14ac:dyDescent="0.3">
      <c r="A52" s="248" t="s">
        <v>54</v>
      </c>
      <c r="B52" s="55" t="s">
        <v>232</v>
      </c>
      <c r="C52" s="134">
        <f>VLOOKUP(A52,'ESSA Title I-A Formula'!A60:G242,7,FALSE)</f>
        <v>0</v>
      </c>
      <c r="D52" s="134">
        <v>0</v>
      </c>
      <c r="E52" s="134">
        <v>0</v>
      </c>
      <c r="F52" s="134">
        <f>VLOOKUP(A52,'ESSA Title II-A Formula'!A60:G242,7,FALSE)</f>
        <v>0</v>
      </c>
      <c r="G52" s="134">
        <f>VLOOKUP(A52,'ESSA Title III-ELL '!A60:G244,7,FALSE)</f>
        <v>0</v>
      </c>
      <c r="H52" s="134">
        <v>0</v>
      </c>
      <c r="I52" s="134">
        <f>VLOOKUP(A52,'ESSA Title IV'!A60:G242,7,FALSE)</f>
        <v>0</v>
      </c>
      <c r="J52" s="134">
        <v>0</v>
      </c>
    </row>
    <row r="53" spans="1:10" ht="18.75" x14ac:dyDescent="0.3">
      <c r="A53" s="248" t="s">
        <v>55</v>
      </c>
      <c r="B53" s="55" t="s">
        <v>233</v>
      </c>
      <c r="C53" s="134">
        <f>VLOOKUP(A53,'ESSA Title I-A Formula'!A61:G243,7,FALSE)</f>
        <v>0</v>
      </c>
      <c r="D53" s="134">
        <f>'ESSA Title I-Delinquent'!G13</f>
        <v>0</v>
      </c>
      <c r="E53" s="134">
        <v>0</v>
      </c>
      <c r="F53" s="134">
        <f>VLOOKUP(A53,'ESSA Title II-A Formula'!A61:G243,7,FALSE)</f>
        <v>0</v>
      </c>
      <c r="G53" s="134">
        <f>VLOOKUP(A53,'ESSA Title III-ELL '!A61:G245,7,FALSE)</f>
        <v>0</v>
      </c>
      <c r="H53" s="134">
        <f>'ESSA Title III SAI'!G19</f>
        <v>23355.91</v>
      </c>
      <c r="I53" s="134">
        <f>VLOOKUP(A53,'ESSA Title IV'!A61:G243,7,FALSE)</f>
        <v>0</v>
      </c>
      <c r="J53" s="134">
        <v>0</v>
      </c>
    </row>
    <row r="54" spans="1:10" ht="18.75" x14ac:dyDescent="0.3">
      <c r="A54" s="248" t="s">
        <v>56</v>
      </c>
      <c r="B54" s="55" t="s">
        <v>234</v>
      </c>
      <c r="C54" s="134">
        <f>VLOOKUP(A54,'ESSA Title I-A Formula'!A62:G244,7,FALSE)</f>
        <v>0</v>
      </c>
      <c r="D54" s="134">
        <v>0</v>
      </c>
      <c r="E54" s="134">
        <v>0</v>
      </c>
      <c r="F54" s="134">
        <f>VLOOKUP(A54,'ESSA Title II-A Formula'!A62:G244,7,FALSE)</f>
        <v>0</v>
      </c>
      <c r="G54" s="134">
        <f>VLOOKUP(A54,'ESSA Title III-ELL '!A62:G246,7,FALSE)</f>
        <v>16456</v>
      </c>
      <c r="H54" s="134">
        <v>0</v>
      </c>
      <c r="I54" s="134">
        <f>VLOOKUP(A54,'ESSA Title IV'!A62:G244,7,FALSE)</f>
        <v>0</v>
      </c>
      <c r="J54" s="134">
        <v>0</v>
      </c>
    </row>
    <row r="55" spans="1:10" ht="18.75" x14ac:dyDescent="0.3">
      <c r="A55" s="248" t="s">
        <v>57</v>
      </c>
      <c r="B55" s="55" t="s">
        <v>235</v>
      </c>
      <c r="C55" s="134">
        <f>VLOOKUP(A55,'ESSA Title I-A Formula'!A63:G245,7,FALSE)</f>
        <v>0</v>
      </c>
      <c r="D55" s="134">
        <v>0</v>
      </c>
      <c r="E55" s="134">
        <v>0</v>
      </c>
      <c r="F55" s="134">
        <f>VLOOKUP(A55,'ESSA Title II-A Formula'!A63:G245,7,FALSE)</f>
        <v>0</v>
      </c>
      <c r="G55" s="134">
        <f>VLOOKUP(A55,'ESSA Title III-ELL '!A63:G247,7,FALSE)</f>
        <v>0</v>
      </c>
      <c r="H55" s="134">
        <v>0</v>
      </c>
      <c r="I55" s="134">
        <f>VLOOKUP(A55,'ESSA Title IV'!A63:G245,7,FALSE)</f>
        <v>0</v>
      </c>
      <c r="J55" s="134">
        <v>0</v>
      </c>
    </row>
    <row r="56" spans="1:10" ht="18.75" x14ac:dyDescent="0.3">
      <c r="A56" s="248" t="s">
        <v>58</v>
      </c>
      <c r="B56" s="55" t="s">
        <v>236</v>
      </c>
      <c r="C56" s="134">
        <f>VLOOKUP(A56,'ESSA Title I-A Formula'!A64:G246,7,FALSE)</f>
        <v>0</v>
      </c>
      <c r="D56" s="134">
        <f>'ESSA Title I-Delinquent'!G14</f>
        <v>0</v>
      </c>
      <c r="E56" s="134">
        <v>0</v>
      </c>
      <c r="F56" s="134">
        <f>VLOOKUP(A56,'ESSA Title II-A Formula'!A64:G246,7,FALSE)</f>
        <v>0</v>
      </c>
      <c r="G56" s="134">
        <f>VLOOKUP(A56,'ESSA Title III-ELL '!A64:G248,7,FALSE)</f>
        <v>0</v>
      </c>
      <c r="H56" s="134">
        <f>'ESSA Title III SAI'!G20</f>
        <v>6434.91</v>
      </c>
      <c r="I56" s="134">
        <f>VLOOKUP(A56,'ESSA Title IV'!A64:G246,7,FALSE)</f>
        <v>0</v>
      </c>
      <c r="J56" s="134">
        <v>0</v>
      </c>
    </row>
    <row r="57" spans="1:10" ht="18.75" x14ac:dyDescent="0.3">
      <c r="A57" s="248" t="s">
        <v>59</v>
      </c>
      <c r="B57" s="55" t="s">
        <v>237</v>
      </c>
      <c r="C57" s="134">
        <f>VLOOKUP(A57,'ESSA Title I-A Formula'!A65:G247,7,FALSE)</f>
        <v>0</v>
      </c>
      <c r="D57" s="134">
        <f>'ESSA Title I-Delinquent'!G15</f>
        <v>0</v>
      </c>
      <c r="E57" s="134">
        <v>0</v>
      </c>
      <c r="F57" s="134">
        <f>VLOOKUP(A57,'ESSA Title II-A Formula'!A65:G247,7,FALSE)</f>
        <v>21098.519999999997</v>
      </c>
      <c r="G57" s="134">
        <f>VLOOKUP(A57,'ESSA Title III-ELL '!A65:G249,7,FALSE)</f>
        <v>0</v>
      </c>
      <c r="H57" s="134">
        <f>'ESSA Title III SAI'!G21</f>
        <v>0</v>
      </c>
      <c r="I57" s="134">
        <f>VLOOKUP(A57,'ESSA Title IV'!A65:G247,7,FALSE)</f>
        <v>0</v>
      </c>
      <c r="J57" s="134">
        <v>0</v>
      </c>
    </row>
    <row r="58" spans="1:10" ht="18.75" x14ac:dyDescent="0.3">
      <c r="A58" s="248" t="s">
        <v>60</v>
      </c>
      <c r="B58" s="55" t="s">
        <v>238</v>
      </c>
      <c r="C58" s="134">
        <f>VLOOKUP(A58,'ESSA Title I-A Formula'!A66:G248,7,FALSE)</f>
        <v>0</v>
      </c>
      <c r="D58" s="134">
        <v>0</v>
      </c>
      <c r="E58" s="134">
        <v>0</v>
      </c>
      <c r="F58" s="134">
        <f>VLOOKUP(A58,'ESSA Title II-A Formula'!A66:G248,7,FALSE)</f>
        <v>0</v>
      </c>
      <c r="G58" s="134">
        <f>VLOOKUP(A58,'ESSA Title III-ELL '!A66:G250,7,FALSE)</f>
        <v>0</v>
      </c>
      <c r="H58" s="134">
        <v>0</v>
      </c>
      <c r="I58" s="134">
        <f>VLOOKUP(A58,'ESSA Title IV'!A66:G248,7,FALSE)</f>
        <v>11438</v>
      </c>
      <c r="J58" s="134">
        <v>0</v>
      </c>
    </row>
    <row r="59" spans="1:10" ht="18.75" x14ac:dyDescent="0.3">
      <c r="A59" s="248" t="s">
        <v>61</v>
      </c>
      <c r="B59" s="55" t="s">
        <v>239</v>
      </c>
      <c r="C59" s="134">
        <f>VLOOKUP(A59,'ESSA Title I-A Formula'!A67:G249,7,FALSE)</f>
        <v>0</v>
      </c>
      <c r="D59" s="134">
        <v>0</v>
      </c>
      <c r="E59" s="134">
        <v>0</v>
      </c>
      <c r="F59" s="134">
        <f>VLOOKUP(A59,'ESSA Title II-A Formula'!A67:G249,7,FALSE)</f>
        <v>0</v>
      </c>
      <c r="G59" s="134">
        <f>VLOOKUP(A59,'ESSA Title III-ELL '!A67:G251,7,FALSE)</f>
        <v>25135.019999999997</v>
      </c>
      <c r="H59" s="134">
        <v>0</v>
      </c>
      <c r="I59" s="134">
        <f>VLOOKUP(A59,'ESSA Title IV'!A67:G249,7,FALSE)</f>
        <v>0</v>
      </c>
      <c r="J59" s="134">
        <v>0</v>
      </c>
    </row>
    <row r="60" spans="1:10" ht="18.75" x14ac:dyDescent="0.3">
      <c r="A60" s="248" t="s">
        <v>62</v>
      </c>
      <c r="B60" s="55" t="s">
        <v>240</v>
      </c>
      <c r="C60" s="134">
        <f>VLOOKUP(A60,'ESSA Title I-A Formula'!A68:G250,7,FALSE)</f>
        <v>0</v>
      </c>
      <c r="D60" s="134">
        <v>0</v>
      </c>
      <c r="E60" s="134">
        <v>0</v>
      </c>
      <c r="F60" s="134">
        <f>VLOOKUP(A60,'ESSA Title II-A Formula'!A68:G250,7,FALSE)</f>
        <v>0</v>
      </c>
      <c r="G60" s="134">
        <f>VLOOKUP(A60,'ESSA Title III-ELL '!A68:G252,7,FALSE)</f>
        <v>0</v>
      </c>
      <c r="H60" s="134">
        <v>0</v>
      </c>
      <c r="I60" s="134">
        <f>VLOOKUP(A60,'ESSA Title IV'!A68:G250,7,FALSE)</f>
        <v>0</v>
      </c>
      <c r="J60" s="134">
        <v>0</v>
      </c>
    </row>
    <row r="61" spans="1:10" ht="18.75" x14ac:dyDescent="0.3">
      <c r="A61" s="248" t="s">
        <v>63</v>
      </c>
      <c r="B61" s="55" t="s">
        <v>241</v>
      </c>
      <c r="C61" s="134">
        <f>VLOOKUP(A61,'ESSA Title I-A Formula'!A69:G251,7,FALSE)</f>
        <v>0</v>
      </c>
      <c r="D61" s="134">
        <v>0</v>
      </c>
      <c r="E61" s="134">
        <v>0</v>
      </c>
      <c r="F61" s="134">
        <f>VLOOKUP(A61,'ESSA Title II-A Formula'!A69:G251,7,FALSE)</f>
        <v>0</v>
      </c>
      <c r="G61" s="134">
        <f>VLOOKUP(A61,'ESSA Title III-ELL '!A69:G253,7,FALSE)</f>
        <v>0</v>
      </c>
      <c r="H61" s="134">
        <v>0</v>
      </c>
      <c r="I61" s="134">
        <f>VLOOKUP(A61,'ESSA Title IV'!A69:G251,7,FALSE)</f>
        <v>8433.0400000000009</v>
      </c>
      <c r="J61" s="134">
        <v>0</v>
      </c>
    </row>
    <row r="62" spans="1:10" ht="18.75" x14ac:dyDescent="0.3">
      <c r="A62" s="248" t="s">
        <v>64</v>
      </c>
      <c r="B62" s="55" t="s">
        <v>242</v>
      </c>
      <c r="C62" s="134">
        <f>VLOOKUP(A62,'ESSA Title I-A Formula'!A70:G252,7,FALSE)</f>
        <v>0</v>
      </c>
      <c r="D62" s="134">
        <v>0</v>
      </c>
      <c r="E62" s="134">
        <v>0</v>
      </c>
      <c r="F62" s="134">
        <f>VLOOKUP(A62,'ESSA Title II-A Formula'!A70:G252,7,FALSE)</f>
        <v>0</v>
      </c>
      <c r="G62" s="134">
        <f>VLOOKUP(A62,'ESSA Title III-ELL '!A70:G254,7,FALSE)</f>
        <v>0</v>
      </c>
      <c r="H62" s="134">
        <v>0</v>
      </c>
      <c r="I62" s="134">
        <f>VLOOKUP(A62,'ESSA Title IV'!A70:G252,7,FALSE)</f>
        <v>0</v>
      </c>
      <c r="J62" s="134">
        <v>0</v>
      </c>
    </row>
    <row r="63" spans="1:10" ht="18.75" x14ac:dyDescent="0.3">
      <c r="A63" s="248" t="s">
        <v>65</v>
      </c>
      <c r="B63" s="55" t="s">
        <v>243</v>
      </c>
      <c r="C63" s="134">
        <f>VLOOKUP(A63,'ESSA Title I-A Formula'!A71:G253,7,FALSE)</f>
        <v>0</v>
      </c>
      <c r="D63" s="134">
        <v>0</v>
      </c>
      <c r="E63" s="134">
        <v>0</v>
      </c>
      <c r="F63" s="134">
        <f>VLOOKUP(A63,'ESSA Title II-A Formula'!A71:G253,7,FALSE)</f>
        <v>0</v>
      </c>
      <c r="G63" s="134">
        <f>VLOOKUP(A63,'ESSA Title III-ELL '!A71:G255,7,FALSE)</f>
        <v>0</v>
      </c>
      <c r="H63" s="134">
        <f>'ESSA Title III SAI'!G23</f>
        <v>2652.1000000000004</v>
      </c>
      <c r="I63" s="134">
        <f>VLOOKUP(A63,'ESSA Title IV'!A71:G253,7,FALSE)</f>
        <v>0</v>
      </c>
      <c r="J63" s="134">
        <v>0</v>
      </c>
    </row>
    <row r="64" spans="1:10" ht="18.75" x14ac:dyDescent="0.3">
      <c r="A64" s="248" t="s">
        <v>66</v>
      </c>
      <c r="B64" s="55" t="s">
        <v>244</v>
      </c>
      <c r="C64" s="134">
        <f>VLOOKUP(A64,'ESSA Title I-A Formula'!A72:G254,7,FALSE)</f>
        <v>0</v>
      </c>
      <c r="D64" s="134">
        <v>0</v>
      </c>
      <c r="E64" s="134">
        <v>0</v>
      </c>
      <c r="F64" s="134">
        <f>VLOOKUP(A64,'ESSA Title II-A Formula'!A72:G254,7,FALSE)</f>
        <v>0</v>
      </c>
      <c r="G64" s="134">
        <f>VLOOKUP(A64,'ESSA Title III-ELL '!A72:G256,7,FALSE)</f>
        <v>243</v>
      </c>
      <c r="H64" s="134">
        <v>0</v>
      </c>
      <c r="I64" s="134">
        <f>VLOOKUP(A64,'ESSA Title IV'!A72:G254,7,FALSE)</f>
        <v>0</v>
      </c>
      <c r="J64" s="134">
        <v>0</v>
      </c>
    </row>
    <row r="65" spans="1:10" ht="18.75" x14ac:dyDescent="0.3">
      <c r="A65" s="248" t="s">
        <v>67</v>
      </c>
      <c r="B65" s="55" t="s">
        <v>245</v>
      </c>
      <c r="C65" s="134">
        <f>VLOOKUP(A65,'ESSA Title I-A Formula'!A73:G255,7,FALSE)</f>
        <v>0</v>
      </c>
      <c r="D65" s="134">
        <v>0</v>
      </c>
      <c r="E65" s="134">
        <v>0</v>
      </c>
      <c r="F65" s="134">
        <f>VLOOKUP(A65,'ESSA Title II-A Formula'!A73:G255,7,FALSE)</f>
        <v>0</v>
      </c>
      <c r="G65" s="134">
        <f>VLOOKUP(A65,'ESSA Title III-ELL '!A73:G257,7,FALSE)</f>
        <v>0</v>
      </c>
      <c r="H65" s="134">
        <v>0</v>
      </c>
      <c r="I65" s="134">
        <f>VLOOKUP(A65,'ESSA Title IV'!A73:G255,7,FALSE)</f>
        <v>0</v>
      </c>
      <c r="J65" s="134">
        <v>0</v>
      </c>
    </row>
    <row r="66" spans="1:10" ht="18.75" x14ac:dyDescent="0.3">
      <c r="A66" s="248" t="s">
        <v>68</v>
      </c>
      <c r="B66" s="55" t="s">
        <v>246</v>
      </c>
      <c r="C66" s="134">
        <f>VLOOKUP(A66,'ESSA Title I-A Formula'!A74:G256,7,FALSE)</f>
        <v>0</v>
      </c>
      <c r="D66" s="134">
        <v>0</v>
      </c>
      <c r="E66" s="134">
        <v>0</v>
      </c>
      <c r="F66" s="134">
        <f>VLOOKUP(A66,'ESSA Title II-A Formula'!A74:G256,7,FALSE)</f>
        <v>0</v>
      </c>
      <c r="G66" s="134">
        <f>VLOOKUP(A66,'ESSA Title III-ELL '!A74:G258,7,FALSE)</f>
        <v>0</v>
      </c>
      <c r="H66" s="134">
        <v>0</v>
      </c>
      <c r="I66" s="134">
        <f>VLOOKUP(A66,'ESSA Title IV'!A74:G256,7,FALSE)</f>
        <v>0</v>
      </c>
      <c r="J66" s="134">
        <v>0</v>
      </c>
    </row>
    <row r="67" spans="1:10" ht="18.75" x14ac:dyDescent="0.3">
      <c r="A67" s="248" t="s">
        <v>69</v>
      </c>
      <c r="B67" s="55" t="s">
        <v>247</v>
      </c>
      <c r="C67" s="134">
        <f>VLOOKUP(A67,'ESSA Title I-A Formula'!A75:G257,7,FALSE)</f>
        <v>0</v>
      </c>
      <c r="D67" s="134">
        <f>'ESSA Title I-Delinquent'!G16</f>
        <v>0</v>
      </c>
      <c r="E67" s="134">
        <v>0</v>
      </c>
      <c r="F67" s="134">
        <f>VLOOKUP(A67,'ESSA Title II-A Formula'!A75:G257,7,FALSE)</f>
        <v>0</v>
      </c>
      <c r="G67" s="134">
        <f>VLOOKUP(A67,'ESSA Title III-ELL '!A75:G259,7,FALSE)</f>
        <v>0</v>
      </c>
      <c r="H67" s="134">
        <v>0</v>
      </c>
      <c r="I67" s="134">
        <f>VLOOKUP(A67,'ESSA Title IV'!A75:G257,7,FALSE)</f>
        <v>0</v>
      </c>
      <c r="J67" s="134">
        <f>VLOOKUP(A67,'ESSA Title V-B'!$A$12:$G$31,7,FALSE)</f>
        <v>0</v>
      </c>
    </row>
    <row r="68" spans="1:10" ht="18.75" x14ac:dyDescent="0.3">
      <c r="A68" s="248" t="s">
        <v>70</v>
      </c>
      <c r="B68" s="55" t="s">
        <v>248</v>
      </c>
      <c r="C68" s="134">
        <f>VLOOKUP(A68,'ESSA Title I-A Formula'!A76:G258,7,FALSE)</f>
        <v>0</v>
      </c>
      <c r="D68" s="134">
        <v>0</v>
      </c>
      <c r="E68" s="134">
        <v>0</v>
      </c>
      <c r="F68" s="134">
        <f>VLOOKUP(A68,'ESSA Title II-A Formula'!A76:G258,7,FALSE)</f>
        <v>0</v>
      </c>
      <c r="G68" s="134">
        <f>VLOOKUP(A68,'ESSA Title III-ELL '!A76:G260,7,FALSE)</f>
        <v>0</v>
      </c>
      <c r="H68" s="134">
        <v>0</v>
      </c>
      <c r="I68" s="134">
        <f>VLOOKUP(A68,'ESSA Title IV'!A76:G258,7,FALSE)</f>
        <v>0</v>
      </c>
      <c r="J68" s="134">
        <v>0</v>
      </c>
    </row>
    <row r="69" spans="1:10" ht="18.75" x14ac:dyDescent="0.3">
      <c r="A69" s="248" t="s">
        <v>71</v>
      </c>
      <c r="B69" s="55" t="s">
        <v>249</v>
      </c>
      <c r="C69" s="134">
        <f>VLOOKUP(A69,'ESSA Title I-A Formula'!A77:G259,7,FALSE)</f>
        <v>0</v>
      </c>
      <c r="D69" s="134">
        <v>0</v>
      </c>
      <c r="E69" s="134">
        <v>0</v>
      </c>
      <c r="F69" s="134">
        <f>VLOOKUP(A69,'ESSA Title II-A Formula'!A77:G259,7,FALSE)</f>
        <v>0</v>
      </c>
      <c r="G69" s="134">
        <f>VLOOKUP(A69,'ESSA Title III-ELL '!A77:G261,7,FALSE)</f>
        <v>0</v>
      </c>
      <c r="H69" s="134">
        <v>0</v>
      </c>
      <c r="I69" s="134">
        <f>VLOOKUP(A69,'ESSA Title IV'!A77:G259,7,FALSE)</f>
        <v>0</v>
      </c>
      <c r="J69" s="134">
        <v>0</v>
      </c>
    </row>
    <row r="70" spans="1:10" ht="18.75" x14ac:dyDescent="0.3">
      <c r="A70" s="248" t="s">
        <v>72</v>
      </c>
      <c r="B70" s="55" t="s">
        <v>250</v>
      </c>
      <c r="C70" s="134">
        <f>VLOOKUP(A70,'ESSA Title I-A Formula'!A78:G260,7,FALSE)</f>
        <v>0</v>
      </c>
      <c r="D70" s="134">
        <v>0</v>
      </c>
      <c r="E70" s="134">
        <v>0</v>
      </c>
      <c r="F70" s="134">
        <f>VLOOKUP(A70,'ESSA Title II-A Formula'!A78:G260,7,FALSE)</f>
        <v>0</v>
      </c>
      <c r="G70" s="134">
        <f>VLOOKUP(A70,'ESSA Title III-ELL '!A78:G262,7,FALSE)</f>
        <v>0</v>
      </c>
      <c r="H70" s="134">
        <f>'ESSA Title III SAI'!G24</f>
        <v>0.77999999999883585</v>
      </c>
      <c r="I70" s="134">
        <f>VLOOKUP(A70,'ESSA Title IV'!A78:G260,7,FALSE)</f>
        <v>0</v>
      </c>
      <c r="J70" s="134">
        <v>0</v>
      </c>
    </row>
    <row r="71" spans="1:10" ht="18.75" x14ac:dyDescent="0.3">
      <c r="A71" s="248" t="s">
        <v>73</v>
      </c>
      <c r="B71" s="55" t="s">
        <v>251</v>
      </c>
      <c r="C71" s="134">
        <f>VLOOKUP(A71,'ESSA Title I-A Formula'!A79:G261,7,FALSE)</f>
        <v>0</v>
      </c>
      <c r="D71" s="134">
        <v>0</v>
      </c>
      <c r="E71" s="134">
        <v>0</v>
      </c>
      <c r="F71" s="134">
        <f>VLOOKUP(A71,'ESSA Title II-A Formula'!A79:G261,7,FALSE)</f>
        <v>23115.710000000006</v>
      </c>
      <c r="G71" s="134">
        <f>VLOOKUP(A71,'ESSA Title III-ELL '!A79:G263,7,FALSE)</f>
        <v>0</v>
      </c>
      <c r="H71" s="134">
        <f>'ESSA Title III SAI'!G25</f>
        <v>4851</v>
      </c>
      <c r="I71" s="134">
        <f>VLOOKUP(A71,'ESSA Title IV'!A79:G261,7,FALSE)</f>
        <v>22501.96</v>
      </c>
      <c r="J71" s="134">
        <v>0</v>
      </c>
    </row>
    <row r="72" spans="1:10" ht="18.75" x14ac:dyDescent="0.3">
      <c r="A72" s="248" t="s">
        <v>74</v>
      </c>
      <c r="B72" s="55" t="s">
        <v>252</v>
      </c>
      <c r="C72" s="134">
        <f>VLOOKUP(A72,'ESSA Title I-A Formula'!A80:G262,7,FALSE)</f>
        <v>0</v>
      </c>
      <c r="D72" s="134">
        <v>0</v>
      </c>
      <c r="E72" s="134">
        <v>0</v>
      </c>
      <c r="F72" s="134">
        <f>VLOOKUP(A72,'ESSA Title II-A Formula'!A80:G262,7,FALSE)</f>
        <v>0</v>
      </c>
      <c r="G72" s="134">
        <f>VLOOKUP(A72,'ESSA Title III-ELL '!A80:G264,7,FALSE)</f>
        <v>0</v>
      </c>
      <c r="H72" s="134">
        <v>0</v>
      </c>
      <c r="I72" s="134">
        <f>VLOOKUP(A72,'ESSA Title IV'!A80:G262,7,FALSE)</f>
        <v>0</v>
      </c>
      <c r="J72" s="134">
        <v>0</v>
      </c>
    </row>
    <row r="73" spans="1:10" ht="18.75" x14ac:dyDescent="0.3">
      <c r="A73" s="248" t="s">
        <v>75</v>
      </c>
      <c r="B73" s="55" t="s">
        <v>253</v>
      </c>
      <c r="C73" s="134">
        <f>VLOOKUP(A73,'ESSA Title I-A Formula'!A81:G263,7,FALSE)</f>
        <v>0</v>
      </c>
      <c r="D73" s="134">
        <v>0</v>
      </c>
      <c r="E73" s="134">
        <v>0</v>
      </c>
      <c r="F73" s="134">
        <f>VLOOKUP(A73,'ESSA Title II-A Formula'!A81:G263,7,FALSE)</f>
        <v>0</v>
      </c>
      <c r="G73" s="134">
        <f>VLOOKUP(A73,'ESSA Title III-ELL '!A81:G265,7,FALSE)</f>
        <v>0</v>
      </c>
      <c r="H73" s="134">
        <v>0</v>
      </c>
      <c r="I73" s="134">
        <f>VLOOKUP(A73,'ESSA Title IV'!A81:G263,7,FALSE)</f>
        <v>1492</v>
      </c>
      <c r="J73" s="134">
        <v>0</v>
      </c>
    </row>
    <row r="74" spans="1:10" ht="18.75" x14ac:dyDescent="0.3">
      <c r="A74" s="248" t="s">
        <v>76</v>
      </c>
      <c r="B74" s="55" t="s">
        <v>254</v>
      </c>
      <c r="C74" s="134">
        <f>VLOOKUP(A74,'ESSA Title I-A Formula'!A82:G264,7,FALSE)</f>
        <v>0</v>
      </c>
      <c r="D74" s="134">
        <v>0</v>
      </c>
      <c r="E74" s="134">
        <v>0</v>
      </c>
      <c r="F74" s="134">
        <f>VLOOKUP(A74,'ESSA Title II-A Formula'!A82:G264,7,FALSE)</f>
        <v>0</v>
      </c>
      <c r="G74" s="134">
        <f>VLOOKUP(A74,'ESSA Title III-ELL '!A82:G266,7,FALSE)</f>
        <v>0</v>
      </c>
      <c r="H74" s="134">
        <v>0</v>
      </c>
      <c r="I74" s="134">
        <f>VLOOKUP(A74,'ESSA Title IV'!A82:G264,7,FALSE)</f>
        <v>0</v>
      </c>
      <c r="J74" s="134">
        <v>0</v>
      </c>
    </row>
    <row r="75" spans="1:10" ht="18.75" x14ac:dyDescent="0.3">
      <c r="A75" s="248" t="s">
        <v>77</v>
      </c>
      <c r="B75" s="55" t="s">
        <v>255</v>
      </c>
      <c r="C75" s="134">
        <f>VLOOKUP(A75,'ESSA Title I-A Formula'!A83:G265,7,FALSE)</f>
        <v>0</v>
      </c>
      <c r="D75" s="134">
        <v>0</v>
      </c>
      <c r="E75" s="134">
        <v>0</v>
      </c>
      <c r="F75" s="134">
        <f>VLOOKUP(A75,'ESSA Title II-A Formula'!A83:G265,7,FALSE)</f>
        <v>0</v>
      </c>
      <c r="G75" s="134">
        <f>VLOOKUP(A75,'ESSA Title III-ELL '!A83:G267,7,FALSE)</f>
        <v>0</v>
      </c>
      <c r="H75" s="134">
        <v>0</v>
      </c>
      <c r="I75" s="134">
        <f>VLOOKUP(A75,'ESSA Title IV'!A83:G265,7,FALSE)</f>
        <v>0</v>
      </c>
      <c r="J75" s="134">
        <v>0</v>
      </c>
    </row>
    <row r="76" spans="1:10" ht="18.75" x14ac:dyDescent="0.3">
      <c r="A76" s="248" t="s">
        <v>78</v>
      </c>
      <c r="B76" s="55" t="s">
        <v>256</v>
      </c>
      <c r="C76" s="134">
        <f>VLOOKUP(A76,'ESSA Title I-A Formula'!A84:G266,7,FALSE)</f>
        <v>0</v>
      </c>
      <c r="D76" s="134">
        <v>0</v>
      </c>
      <c r="E76" s="134">
        <v>0</v>
      </c>
      <c r="F76" s="134">
        <f>VLOOKUP(A76,'ESSA Title II-A Formula'!A84:G266,7,FALSE)</f>
        <v>0</v>
      </c>
      <c r="G76" s="134">
        <f>VLOOKUP(A76,'ESSA Title III-ELL '!A84:G268,7,FALSE)</f>
        <v>0</v>
      </c>
      <c r="H76" s="134">
        <v>0</v>
      </c>
      <c r="I76" s="134">
        <f>VLOOKUP(A76,'ESSA Title IV'!A84:G266,7,FALSE)</f>
        <v>0</v>
      </c>
      <c r="J76" s="134">
        <v>0</v>
      </c>
    </row>
    <row r="77" spans="1:10" ht="18.75" x14ac:dyDescent="0.3">
      <c r="A77" s="248" t="s">
        <v>79</v>
      </c>
      <c r="B77" s="55" t="s">
        <v>257</v>
      </c>
      <c r="C77" s="134">
        <f>VLOOKUP(A77,'ESSA Title I-A Formula'!A85:G267,7,FALSE)</f>
        <v>0</v>
      </c>
      <c r="D77" s="134">
        <v>0</v>
      </c>
      <c r="E77" s="134">
        <v>0</v>
      </c>
      <c r="F77" s="134">
        <f>VLOOKUP(A77,'ESSA Title II-A Formula'!A85:G267,7,FALSE)</f>
        <v>0</v>
      </c>
      <c r="G77" s="134">
        <f>VLOOKUP(A77,'ESSA Title III-ELL '!A85:G269,7,FALSE)</f>
        <v>0</v>
      </c>
      <c r="H77" s="134">
        <v>0</v>
      </c>
      <c r="I77" s="134">
        <f>VLOOKUP(A77,'ESSA Title IV'!A85:G267,7,FALSE)</f>
        <v>0</v>
      </c>
      <c r="J77" s="134">
        <v>0</v>
      </c>
    </row>
    <row r="78" spans="1:10" ht="18.75" x14ac:dyDescent="0.3">
      <c r="A78" s="248" t="s">
        <v>80</v>
      </c>
      <c r="B78" s="55" t="s">
        <v>258</v>
      </c>
      <c r="C78" s="134">
        <f>VLOOKUP(A78,'ESSA Title I-A Formula'!A86:G268,7,FALSE)</f>
        <v>0</v>
      </c>
      <c r="D78" s="134">
        <v>0</v>
      </c>
      <c r="E78" s="134">
        <v>0</v>
      </c>
      <c r="F78" s="134">
        <f>VLOOKUP(A78,'ESSA Title II-A Formula'!A86:G268,7,FALSE)</f>
        <v>0</v>
      </c>
      <c r="G78" s="134">
        <f>VLOOKUP(A78,'ESSA Title III-ELL '!A86:G270,7,FALSE)</f>
        <v>0</v>
      </c>
      <c r="H78" s="134">
        <v>0</v>
      </c>
      <c r="I78" s="134">
        <f>VLOOKUP(A78,'ESSA Title IV'!A86:G268,7,FALSE)</f>
        <v>19011</v>
      </c>
      <c r="J78" s="134">
        <f>VLOOKUP(A78,'ESSA Title V-B'!$A$12:$G$31,7,FALSE)</f>
        <v>0</v>
      </c>
    </row>
    <row r="79" spans="1:10" ht="18.75" x14ac:dyDescent="0.3">
      <c r="A79" s="248" t="s">
        <v>81</v>
      </c>
      <c r="B79" s="55" t="s">
        <v>259</v>
      </c>
      <c r="C79" s="134">
        <f>VLOOKUP(A79,'ESSA Title I-A Formula'!A87:G269,7,FALSE)</f>
        <v>0</v>
      </c>
      <c r="D79" s="134">
        <v>0</v>
      </c>
      <c r="E79" s="134">
        <v>0</v>
      </c>
      <c r="F79" s="134">
        <f>VLOOKUP(A79,'ESSA Title II-A Formula'!A87:G269,7,FALSE)</f>
        <v>0</v>
      </c>
      <c r="G79" s="134">
        <f>VLOOKUP(A79,'ESSA Title III-ELL '!A87:G271,7,FALSE)</f>
        <v>0</v>
      </c>
      <c r="H79" s="134">
        <v>0</v>
      </c>
      <c r="I79" s="134">
        <f>VLOOKUP(A79,'ESSA Title IV'!A87:G269,7,FALSE)</f>
        <v>0</v>
      </c>
      <c r="J79" s="134">
        <v>0</v>
      </c>
    </row>
    <row r="80" spans="1:10" ht="18.75" x14ac:dyDescent="0.3">
      <c r="A80" s="248" t="s">
        <v>82</v>
      </c>
      <c r="B80" s="55" t="s">
        <v>260</v>
      </c>
      <c r="C80" s="134">
        <f>VLOOKUP(A80,'ESSA Title I-A Formula'!A88:G270,7,FALSE)</f>
        <v>0</v>
      </c>
      <c r="D80" s="134">
        <v>0</v>
      </c>
      <c r="E80" s="134">
        <v>0</v>
      </c>
      <c r="F80" s="134">
        <f>VLOOKUP(A80,'ESSA Title II-A Formula'!A88:G270,7,FALSE)</f>
        <v>0</v>
      </c>
      <c r="G80" s="134">
        <f>VLOOKUP(A80,'ESSA Title III-ELL '!A88:G272,7,FALSE)</f>
        <v>0</v>
      </c>
      <c r="H80" s="134">
        <v>0</v>
      </c>
      <c r="I80" s="134">
        <f>VLOOKUP(A80,'ESSA Title IV'!A88:G270,7,FALSE)</f>
        <v>0</v>
      </c>
      <c r="J80" s="134">
        <v>0</v>
      </c>
    </row>
    <row r="81" spans="1:10" ht="18.75" x14ac:dyDescent="0.3">
      <c r="A81" s="248" t="s">
        <v>83</v>
      </c>
      <c r="B81" s="55" t="s">
        <v>261</v>
      </c>
      <c r="C81" s="134">
        <f>VLOOKUP(A81,'ESSA Title I-A Formula'!A89:G271,7,FALSE)</f>
        <v>0</v>
      </c>
      <c r="D81" s="134">
        <f>'ESSA Title I-Delinquent'!G30</f>
        <v>0</v>
      </c>
      <c r="E81" s="134">
        <v>0</v>
      </c>
      <c r="F81" s="134">
        <f>VLOOKUP(A81,'ESSA Title II-A Formula'!A89:G271,7,FALSE)</f>
        <v>0</v>
      </c>
      <c r="G81" s="134">
        <f>VLOOKUP(A81,'ESSA Title III-ELL '!A89:G273,7,FALSE)</f>
        <v>0</v>
      </c>
      <c r="H81" s="134">
        <f>'ESSA Title III SAI'!G26</f>
        <v>12731.38</v>
      </c>
      <c r="I81" s="134">
        <f>VLOOKUP(A81,'ESSA Title IV'!A89:G271,7,FALSE)</f>
        <v>0</v>
      </c>
      <c r="J81" s="134">
        <v>0</v>
      </c>
    </row>
    <row r="82" spans="1:10" ht="18.75" x14ac:dyDescent="0.3">
      <c r="A82" s="248" t="s">
        <v>84</v>
      </c>
      <c r="B82" s="55" t="s">
        <v>262</v>
      </c>
      <c r="C82" s="134">
        <f>VLOOKUP(A82,'ESSA Title I-A Formula'!A90:G272,7,FALSE)</f>
        <v>0</v>
      </c>
      <c r="D82" s="134">
        <v>0</v>
      </c>
      <c r="E82" s="134">
        <v>0</v>
      </c>
      <c r="F82" s="134">
        <f>VLOOKUP(A82,'ESSA Title II-A Formula'!A90:G272,7,FALSE)</f>
        <v>0</v>
      </c>
      <c r="G82" s="134">
        <f>VLOOKUP(A82,'ESSA Title III-ELL '!A90:G274,7,FALSE)</f>
        <v>0</v>
      </c>
      <c r="H82" s="134">
        <v>0</v>
      </c>
      <c r="I82" s="134">
        <f>VLOOKUP(A82,'ESSA Title IV'!A90:G272,7,FALSE)</f>
        <v>0</v>
      </c>
      <c r="J82" s="134">
        <v>0</v>
      </c>
    </row>
    <row r="83" spans="1:10" ht="18.75" x14ac:dyDescent="0.3">
      <c r="A83" s="248" t="s">
        <v>85</v>
      </c>
      <c r="B83" s="55" t="s">
        <v>263</v>
      </c>
      <c r="C83" s="134">
        <f>VLOOKUP(A83,'ESSA Title I-A Formula'!A91:G273,7,FALSE)</f>
        <v>0</v>
      </c>
      <c r="D83" s="134">
        <v>0</v>
      </c>
      <c r="E83" s="134">
        <v>0</v>
      </c>
      <c r="F83" s="134">
        <f>VLOOKUP(A83,'ESSA Title II-A Formula'!A91:G273,7,FALSE)</f>
        <v>0</v>
      </c>
      <c r="G83" s="134">
        <f>VLOOKUP(A83,'ESSA Title III-ELL '!A91:G275,7,FALSE)</f>
        <v>0</v>
      </c>
      <c r="H83" s="134">
        <v>0</v>
      </c>
      <c r="I83" s="134">
        <f>VLOOKUP(A83,'ESSA Title IV'!A91:G273,7,FALSE)</f>
        <v>0</v>
      </c>
      <c r="J83" s="134">
        <v>0</v>
      </c>
    </row>
    <row r="84" spans="1:10" ht="18.75" x14ac:dyDescent="0.3">
      <c r="A84" s="248" t="s">
        <v>86</v>
      </c>
      <c r="B84" s="55" t="s">
        <v>264</v>
      </c>
      <c r="C84" s="134">
        <f>VLOOKUP(A84,'ESSA Title I-A Formula'!A92:G274,7,FALSE)</f>
        <v>0</v>
      </c>
      <c r="D84" s="134">
        <v>0</v>
      </c>
      <c r="E84" s="134">
        <v>0</v>
      </c>
      <c r="F84" s="134">
        <f>VLOOKUP(A84,'ESSA Title II-A Formula'!A92:G274,7,FALSE)</f>
        <v>0</v>
      </c>
      <c r="G84" s="134">
        <f>VLOOKUP(A84,'ESSA Title III-ELL '!A92:G276,7,FALSE)</f>
        <v>0</v>
      </c>
      <c r="H84" s="134">
        <v>0</v>
      </c>
      <c r="I84" s="134">
        <f>VLOOKUP(A84,'ESSA Title IV'!A92:G274,7,FALSE)</f>
        <v>0</v>
      </c>
      <c r="J84" s="134">
        <v>0</v>
      </c>
    </row>
    <row r="85" spans="1:10" ht="18.75" x14ac:dyDescent="0.3">
      <c r="A85" s="248" t="s">
        <v>87</v>
      </c>
      <c r="B85" s="55" t="s">
        <v>265</v>
      </c>
      <c r="C85" s="134">
        <f>VLOOKUP(A85,'ESSA Title I-A Formula'!A93:G275,7,FALSE)</f>
        <v>0</v>
      </c>
      <c r="D85" s="134">
        <v>0</v>
      </c>
      <c r="E85" s="134">
        <v>0</v>
      </c>
      <c r="F85" s="134">
        <f>VLOOKUP(A85,'ESSA Title II-A Formula'!A93:G275,7,FALSE)</f>
        <v>0</v>
      </c>
      <c r="G85" s="134">
        <f>VLOOKUP(A85,'ESSA Title III-ELL '!A93:G277,7,FALSE)</f>
        <v>0</v>
      </c>
      <c r="H85" s="134">
        <v>0</v>
      </c>
      <c r="I85" s="134">
        <f>VLOOKUP(A85,'ESSA Title IV'!A93:G275,7,FALSE)</f>
        <v>0</v>
      </c>
      <c r="J85" s="134">
        <v>0</v>
      </c>
    </row>
    <row r="86" spans="1:10" ht="18.75" x14ac:dyDescent="0.3">
      <c r="A86" s="248" t="s">
        <v>88</v>
      </c>
      <c r="B86" s="55" t="s">
        <v>266</v>
      </c>
      <c r="C86" s="134">
        <f>VLOOKUP(A86,'ESSA Title I-A Formula'!A94:G276,7,FALSE)</f>
        <v>0</v>
      </c>
      <c r="D86" s="134">
        <v>0</v>
      </c>
      <c r="E86" s="134">
        <v>0</v>
      </c>
      <c r="F86" s="134">
        <f>VLOOKUP(A86,'ESSA Title II-A Formula'!A94:G276,7,FALSE)</f>
        <v>0</v>
      </c>
      <c r="G86" s="134">
        <f>VLOOKUP(A86,'ESSA Title III-ELL '!A94:G278,7,FALSE)</f>
        <v>0</v>
      </c>
      <c r="H86" s="134">
        <v>0</v>
      </c>
      <c r="I86" s="134">
        <f>VLOOKUP(A86,'ESSA Title IV'!A94:G276,7,FALSE)</f>
        <v>0</v>
      </c>
      <c r="J86" s="134">
        <v>0</v>
      </c>
    </row>
    <row r="87" spans="1:10" ht="18.75" x14ac:dyDescent="0.3">
      <c r="A87" s="248" t="s">
        <v>89</v>
      </c>
      <c r="B87" s="55" t="s">
        <v>267</v>
      </c>
      <c r="C87" s="134">
        <f>VLOOKUP(A87,'ESSA Title I-A Formula'!A95:G277,7,FALSE)</f>
        <v>0</v>
      </c>
      <c r="D87" s="134">
        <v>0</v>
      </c>
      <c r="E87" s="134">
        <v>0</v>
      </c>
      <c r="F87" s="134">
        <f>VLOOKUP(A87,'ESSA Title II-A Formula'!A95:G277,7,FALSE)</f>
        <v>0</v>
      </c>
      <c r="G87" s="134">
        <f>VLOOKUP(A87,'ESSA Title III-ELL '!A95:G279,7,FALSE)</f>
        <v>0</v>
      </c>
      <c r="H87" s="134">
        <v>0</v>
      </c>
      <c r="I87" s="134">
        <f>VLOOKUP(A87,'ESSA Title IV'!A95:G277,7,FALSE)</f>
        <v>0</v>
      </c>
      <c r="J87" s="134">
        <v>0</v>
      </c>
    </row>
    <row r="88" spans="1:10" ht="18.75" x14ac:dyDescent="0.3">
      <c r="A88" s="248" t="s">
        <v>90</v>
      </c>
      <c r="B88" s="55" t="s">
        <v>268</v>
      </c>
      <c r="C88" s="134">
        <f>VLOOKUP(A88,'ESSA Title I-A Formula'!A96:G278,7,FALSE)</f>
        <v>0</v>
      </c>
      <c r="D88" s="134">
        <v>0</v>
      </c>
      <c r="E88" s="134">
        <v>0</v>
      </c>
      <c r="F88" s="134">
        <f>VLOOKUP(A88,'ESSA Title II-A Formula'!A96:G278,7,FALSE)</f>
        <v>0</v>
      </c>
      <c r="G88" s="134">
        <f>VLOOKUP(A88,'ESSA Title III-ELL '!A96:G280,7,FALSE)</f>
        <v>0</v>
      </c>
      <c r="H88" s="134">
        <v>0</v>
      </c>
      <c r="I88" s="134">
        <f>VLOOKUP(A88,'ESSA Title IV'!A96:G278,7,FALSE)</f>
        <v>0</v>
      </c>
      <c r="J88" s="134">
        <v>0</v>
      </c>
    </row>
    <row r="89" spans="1:10" ht="18.75" x14ac:dyDescent="0.3">
      <c r="A89" s="248" t="s">
        <v>91</v>
      </c>
      <c r="B89" s="55" t="s">
        <v>269</v>
      </c>
      <c r="C89" s="134">
        <f>VLOOKUP(A89,'ESSA Title I-A Formula'!A97:G279,7,FALSE)</f>
        <v>0</v>
      </c>
      <c r="D89" s="134">
        <v>0</v>
      </c>
      <c r="E89" s="134">
        <v>0</v>
      </c>
      <c r="F89" s="134">
        <f>VLOOKUP(A89,'ESSA Title II-A Formula'!A97:G279,7,FALSE)</f>
        <v>0</v>
      </c>
      <c r="G89" s="134">
        <f>VLOOKUP(A89,'ESSA Title III-ELL '!A97:G281,7,FALSE)</f>
        <v>0</v>
      </c>
      <c r="H89" s="134">
        <v>0</v>
      </c>
      <c r="I89" s="134">
        <f>VLOOKUP(A89,'ESSA Title IV'!A97:G279,7,FALSE)</f>
        <v>0</v>
      </c>
      <c r="J89" s="134">
        <v>0</v>
      </c>
    </row>
    <row r="90" spans="1:10" ht="18.75" x14ac:dyDescent="0.3">
      <c r="A90" s="248" t="s">
        <v>92</v>
      </c>
      <c r="B90" s="55" t="s">
        <v>270</v>
      </c>
      <c r="C90" s="134">
        <f>VLOOKUP(A90,'ESSA Title I-A Formula'!A98:G280,7,FALSE)</f>
        <v>0</v>
      </c>
      <c r="D90" s="134">
        <v>0</v>
      </c>
      <c r="E90" s="134">
        <v>0</v>
      </c>
      <c r="F90" s="134">
        <f>VLOOKUP(A90,'ESSA Title II-A Formula'!A98:G280,7,FALSE)</f>
        <v>0</v>
      </c>
      <c r="G90" s="134">
        <f>VLOOKUP(A90,'ESSA Title III-ELL '!A98:G282,7,FALSE)</f>
        <v>0</v>
      </c>
      <c r="H90" s="134">
        <v>0</v>
      </c>
      <c r="I90" s="134">
        <f>VLOOKUP(A90,'ESSA Title IV'!A98:G280,7,FALSE)</f>
        <v>0</v>
      </c>
      <c r="J90" s="134">
        <v>0</v>
      </c>
    </row>
    <row r="91" spans="1:10" ht="18.75" x14ac:dyDescent="0.3">
      <c r="A91" s="248" t="s">
        <v>93</v>
      </c>
      <c r="B91" s="55" t="s">
        <v>271</v>
      </c>
      <c r="C91" s="134">
        <f>VLOOKUP(A91,'ESSA Title I-A Formula'!A99:G281,7,FALSE)</f>
        <v>0</v>
      </c>
      <c r="D91" s="134">
        <v>0</v>
      </c>
      <c r="E91" s="134">
        <v>0</v>
      </c>
      <c r="F91" s="134">
        <f>VLOOKUP(A91,'ESSA Title II-A Formula'!A99:G281,7,FALSE)</f>
        <v>0</v>
      </c>
      <c r="G91" s="134">
        <f>VLOOKUP(A91,'ESSA Title III-ELL '!A99:G283,7,FALSE)</f>
        <v>0</v>
      </c>
      <c r="H91" s="134">
        <v>0</v>
      </c>
      <c r="I91" s="134">
        <f>VLOOKUP(A91,'ESSA Title IV'!A99:G281,7,FALSE)</f>
        <v>0</v>
      </c>
      <c r="J91" s="134">
        <v>0</v>
      </c>
    </row>
    <row r="92" spans="1:10" ht="18.75" x14ac:dyDescent="0.3">
      <c r="A92" s="248" t="s">
        <v>94</v>
      </c>
      <c r="B92" s="55" t="s">
        <v>272</v>
      </c>
      <c r="C92" s="134">
        <f>VLOOKUP(A92,'ESSA Title I-A Formula'!A100:G282,7,FALSE)</f>
        <v>0</v>
      </c>
      <c r="D92" s="134">
        <v>0</v>
      </c>
      <c r="E92" s="134">
        <v>0</v>
      </c>
      <c r="F92" s="134">
        <f>VLOOKUP(A92,'ESSA Title II-A Formula'!A100:G282,7,FALSE)</f>
        <v>0</v>
      </c>
      <c r="G92" s="134">
        <f>VLOOKUP(A92,'ESSA Title III-ELL '!A100:G284,7,FALSE)</f>
        <v>0</v>
      </c>
      <c r="H92" s="134">
        <v>0</v>
      </c>
      <c r="I92" s="134">
        <f>VLOOKUP(A92,'ESSA Title IV'!A100:G282,7,FALSE)</f>
        <v>6259.05</v>
      </c>
      <c r="J92" s="134">
        <v>0</v>
      </c>
    </row>
    <row r="93" spans="1:10" ht="18.75" x14ac:dyDescent="0.3">
      <c r="A93" s="248" t="s">
        <v>95</v>
      </c>
      <c r="B93" s="55" t="s">
        <v>273</v>
      </c>
      <c r="C93" s="134">
        <f>VLOOKUP(A93,'ESSA Title I-A Formula'!A101:G283,7,FALSE)</f>
        <v>0</v>
      </c>
      <c r="D93" s="134">
        <f>'ESSA Title I-Delinquent'!G17</f>
        <v>0</v>
      </c>
      <c r="E93" s="134">
        <v>0</v>
      </c>
      <c r="F93" s="134">
        <f>VLOOKUP(A93,'ESSA Title II-A Formula'!A101:G283,7,FALSE)</f>
        <v>42251.419999999984</v>
      </c>
      <c r="G93" s="134">
        <f>VLOOKUP(A93,'ESSA Title III-ELL '!A101:G285,7,FALSE)</f>
        <v>0</v>
      </c>
      <c r="H93" s="134">
        <f>'ESSA Title III SAI'!G28</f>
        <v>20650.439999999999</v>
      </c>
      <c r="I93" s="134">
        <f>VLOOKUP(A93,'ESSA Title IV'!A101:G283,7,FALSE)</f>
        <v>164847.64000000001</v>
      </c>
      <c r="J93" s="134">
        <v>0</v>
      </c>
    </row>
    <row r="94" spans="1:10" ht="18.75" x14ac:dyDescent="0.3">
      <c r="A94" s="248" t="s">
        <v>96</v>
      </c>
      <c r="B94" s="55" t="s">
        <v>274</v>
      </c>
      <c r="C94" s="134">
        <f>VLOOKUP(A94,'ESSA Title I-A Formula'!A102:G284,7,FALSE)</f>
        <v>0</v>
      </c>
      <c r="D94" s="134">
        <v>0</v>
      </c>
      <c r="E94" s="134">
        <v>0</v>
      </c>
      <c r="F94" s="134">
        <f>VLOOKUP(A94,'ESSA Title II-A Formula'!A102:G284,7,FALSE)</f>
        <v>0</v>
      </c>
      <c r="G94" s="134">
        <f>VLOOKUP(A94,'ESSA Title III-ELL '!A102:G286,7,FALSE)</f>
        <v>21931.29</v>
      </c>
      <c r="H94" s="134">
        <f>'ESSA Title III SAI'!G29</f>
        <v>404</v>
      </c>
      <c r="I94" s="134">
        <f>VLOOKUP(A94,'ESSA Title IV'!A102:G284,7,FALSE)</f>
        <v>12947.76999999999</v>
      </c>
      <c r="J94" s="134">
        <v>0</v>
      </c>
    </row>
    <row r="95" spans="1:10" ht="18.75" x14ac:dyDescent="0.3">
      <c r="A95" s="248" t="s">
        <v>97</v>
      </c>
      <c r="B95" s="55" t="s">
        <v>275</v>
      </c>
      <c r="C95" s="134">
        <f>VLOOKUP(A95,'ESSA Title I-A Formula'!A103:G285,7,FALSE)</f>
        <v>0</v>
      </c>
      <c r="D95" s="134">
        <v>0</v>
      </c>
      <c r="E95" s="134">
        <v>0</v>
      </c>
      <c r="F95" s="134">
        <f>VLOOKUP(A95,'ESSA Title II-A Formula'!A103:G285,7,FALSE)</f>
        <v>0</v>
      </c>
      <c r="G95" s="134">
        <f>VLOOKUP(A95,'ESSA Title III-ELL '!A103:G287,7,FALSE)</f>
        <v>0</v>
      </c>
      <c r="H95" s="134">
        <f>'ESSA Title III SAI'!G30</f>
        <v>1213</v>
      </c>
      <c r="I95" s="134">
        <f>VLOOKUP(A95,'ESSA Title IV'!A103:G285,7,FALSE)</f>
        <v>20546</v>
      </c>
      <c r="J95" s="134">
        <f>VLOOKUP(A95,'ESSA Title V-B'!$A$12:$G$31,7,FALSE)</f>
        <v>22326</v>
      </c>
    </row>
    <row r="96" spans="1:10" ht="18.75" x14ac:dyDescent="0.3">
      <c r="A96" s="248" t="s">
        <v>98</v>
      </c>
      <c r="B96" s="55" t="s">
        <v>276</v>
      </c>
      <c r="C96" s="134">
        <f>VLOOKUP(A96,'ESSA Title I-A Formula'!A104:G286,7,FALSE)</f>
        <v>0</v>
      </c>
      <c r="D96" s="134">
        <v>0</v>
      </c>
      <c r="E96" s="134">
        <v>0</v>
      </c>
      <c r="F96" s="134">
        <f>VLOOKUP(A96,'ESSA Title II-A Formula'!A104:G286,7,FALSE)</f>
        <v>0</v>
      </c>
      <c r="G96" s="134">
        <f>VLOOKUP(A96,'ESSA Title III-ELL '!A104:G288,7,FALSE)</f>
        <v>0</v>
      </c>
      <c r="H96" s="134">
        <v>0</v>
      </c>
      <c r="I96" s="134">
        <f>VLOOKUP(A96,'ESSA Title IV'!A104:G286,7,FALSE)</f>
        <v>0</v>
      </c>
      <c r="J96" s="134">
        <f>VLOOKUP(A96,'ESSA Title V-B'!$A$12:$G$31,7,FALSE)</f>
        <v>0</v>
      </c>
    </row>
    <row r="97" spans="1:10" ht="18.75" x14ac:dyDescent="0.3">
      <c r="A97" s="248" t="s">
        <v>99</v>
      </c>
      <c r="B97" s="55" t="s">
        <v>277</v>
      </c>
      <c r="C97" s="134">
        <f>VLOOKUP(A97,'ESSA Title I-A Formula'!A105:G287,7,FALSE)</f>
        <v>0</v>
      </c>
      <c r="D97" s="134">
        <v>0</v>
      </c>
      <c r="E97" s="134">
        <v>0</v>
      </c>
      <c r="F97" s="134">
        <f>VLOOKUP(A97,'ESSA Title II-A Formula'!A105:G287,7,FALSE)</f>
        <v>0</v>
      </c>
      <c r="G97" s="134">
        <f>VLOOKUP(A97,'ESSA Title III-ELL '!A105:G289,7,FALSE)</f>
        <v>0</v>
      </c>
      <c r="H97" s="134">
        <v>0</v>
      </c>
      <c r="I97" s="134">
        <f>VLOOKUP(A97,'ESSA Title IV'!A105:G287,7,FALSE)</f>
        <v>0</v>
      </c>
      <c r="J97" s="134">
        <v>0</v>
      </c>
    </row>
    <row r="98" spans="1:10" ht="18.75" x14ac:dyDescent="0.3">
      <c r="A98" s="248" t="s">
        <v>100</v>
      </c>
      <c r="B98" s="55" t="s">
        <v>278</v>
      </c>
      <c r="C98" s="134">
        <f>VLOOKUP(A98,'ESSA Title I-A Formula'!A106:G288,7,FALSE)</f>
        <v>0</v>
      </c>
      <c r="D98" s="134">
        <v>0</v>
      </c>
      <c r="E98" s="134">
        <v>0</v>
      </c>
      <c r="F98" s="134">
        <f>VLOOKUP(A98,'ESSA Title II-A Formula'!A106:G288,7,FALSE)</f>
        <v>0</v>
      </c>
      <c r="G98" s="134">
        <f>VLOOKUP(A98,'ESSA Title III-ELL '!A106:G290,7,FALSE)</f>
        <v>0</v>
      </c>
      <c r="H98" s="134">
        <v>0</v>
      </c>
      <c r="I98" s="134">
        <f>VLOOKUP(A98,'ESSA Title IV'!A106:G288,7,FALSE)</f>
        <v>0</v>
      </c>
      <c r="J98" s="134">
        <v>0</v>
      </c>
    </row>
    <row r="99" spans="1:10" ht="18.75" x14ac:dyDescent="0.3">
      <c r="A99" s="248" t="s">
        <v>101</v>
      </c>
      <c r="B99" s="55" t="s">
        <v>279</v>
      </c>
      <c r="C99" s="134">
        <f>VLOOKUP(A99,'ESSA Title I-A Formula'!A107:G289,7,FALSE)</f>
        <v>0</v>
      </c>
      <c r="D99" s="134">
        <v>0</v>
      </c>
      <c r="E99" s="134">
        <v>0</v>
      </c>
      <c r="F99" s="134">
        <f>VLOOKUP(A99,'ESSA Title II-A Formula'!A107:G289,7,FALSE)</f>
        <v>0</v>
      </c>
      <c r="G99" s="134">
        <f>VLOOKUP(A99,'ESSA Title III-ELL '!A107:G291,7,FALSE)</f>
        <v>0</v>
      </c>
      <c r="H99" s="134">
        <v>0</v>
      </c>
      <c r="I99" s="134">
        <f>VLOOKUP(A99,'ESSA Title IV'!A107:G289,7,FALSE)</f>
        <v>0</v>
      </c>
      <c r="J99" s="134">
        <v>0</v>
      </c>
    </row>
    <row r="100" spans="1:10" ht="18.75" x14ac:dyDescent="0.3">
      <c r="A100" s="248" t="s">
        <v>102</v>
      </c>
      <c r="B100" s="55" t="s">
        <v>280</v>
      </c>
      <c r="C100" s="134">
        <f>VLOOKUP(A100,'ESSA Title I-A Formula'!A108:G290,7,FALSE)</f>
        <v>0</v>
      </c>
      <c r="D100" s="134">
        <v>0</v>
      </c>
      <c r="E100" s="134">
        <v>0</v>
      </c>
      <c r="F100" s="134">
        <f>VLOOKUP(A100,'ESSA Title II-A Formula'!A108:G290,7,FALSE)</f>
        <v>657</v>
      </c>
      <c r="G100" s="134">
        <f>VLOOKUP(A100,'ESSA Title III-ELL '!A108:G292,7,FALSE)</f>
        <v>0</v>
      </c>
      <c r="H100" s="134">
        <v>0</v>
      </c>
      <c r="I100" s="134">
        <f>VLOOKUP(A100,'ESSA Title IV'!A108:G290,7,FALSE)</f>
        <v>0</v>
      </c>
      <c r="J100" s="134">
        <v>0</v>
      </c>
    </row>
    <row r="101" spans="1:10" ht="18.75" x14ac:dyDescent="0.3">
      <c r="A101" s="248" t="s">
        <v>103</v>
      </c>
      <c r="B101" s="55" t="s">
        <v>281</v>
      </c>
      <c r="C101" s="134">
        <f>VLOOKUP(A101,'ESSA Title I-A Formula'!A109:G291,7,FALSE)</f>
        <v>0</v>
      </c>
      <c r="D101" s="134">
        <v>0</v>
      </c>
      <c r="E101" s="134">
        <v>0</v>
      </c>
      <c r="F101" s="134">
        <f>VLOOKUP(A101,'ESSA Title II-A Formula'!A109:G291,7,FALSE)</f>
        <v>0</v>
      </c>
      <c r="G101" s="134">
        <f>VLOOKUP(A101,'ESSA Title III-ELL '!A109:G293,7,FALSE)</f>
        <v>0</v>
      </c>
      <c r="H101" s="134">
        <v>0</v>
      </c>
      <c r="I101" s="134">
        <f>VLOOKUP(A101,'ESSA Title IV'!A109:G291,7,FALSE)</f>
        <v>0</v>
      </c>
      <c r="J101" s="134">
        <v>0</v>
      </c>
    </row>
    <row r="102" spans="1:10" ht="18.75" x14ac:dyDescent="0.3">
      <c r="A102" s="248" t="s">
        <v>104</v>
      </c>
      <c r="B102" s="55" t="s">
        <v>282</v>
      </c>
      <c r="C102" s="134">
        <f>VLOOKUP(A102,'ESSA Title I-A Formula'!A110:G292,7,FALSE)</f>
        <v>0</v>
      </c>
      <c r="D102" s="134">
        <v>0</v>
      </c>
      <c r="E102" s="134">
        <v>0</v>
      </c>
      <c r="F102" s="134">
        <f>VLOOKUP(A102,'ESSA Title II-A Formula'!A110:G292,7,FALSE)</f>
        <v>0</v>
      </c>
      <c r="G102" s="134">
        <f>VLOOKUP(A102,'ESSA Title III-ELL '!A110:G294,7,FALSE)</f>
        <v>0</v>
      </c>
      <c r="H102" s="134">
        <v>0</v>
      </c>
      <c r="I102" s="134">
        <f>VLOOKUP(A102,'ESSA Title IV'!A110:G292,7,FALSE)</f>
        <v>0</v>
      </c>
      <c r="J102" s="134">
        <v>0</v>
      </c>
    </row>
    <row r="103" spans="1:10" ht="18.75" x14ac:dyDescent="0.3">
      <c r="A103" s="248" t="s">
        <v>105</v>
      </c>
      <c r="B103" s="55" t="s">
        <v>283</v>
      </c>
      <c r="C103" s="134">
        <f>VLOOKUP(A103,'ESSA Title I-A Formula'!A111:G293,7,FALSE)</f>
        <v>0</v>
      </c>
      <c r="D103" s="134">
        <v>0</v>
      </c>
      <c r="E103" s="134">
        <v>0</v>
      </c>
      <c r="F103" s="134">
        <f>VLOOKUP(A103,'ESSA Title II-A Formula'!A111:G293,7,FALSE)</f>
        <v>0</v>
      </c>
      <c r="G103" s="134">
        <f>VLOOKUP(A103,'ESSA Title III-ELL '!A111:G295,7,FALSE)</f>
        <v>0</v>
      </c>
      <c r="H103" s="134">
        <v>0</v>
      </c>
      <c r="I103" s="134">
        <f>VLOOKUP(A103,'ESSA Title IV'!A111:G293,7,FALSE)</f>
        <v>0</v>
      </c>
      <c r="J103" s="134">
        <v>0</v>
      </c>
    </row>
    <row r="104" spans="1:10" ht="18.75" x14ac:dyDescent="0.3">
      <c r="A104" s="248" t="s">
        <v>106</v>
      </c>
      <c r="B104" s="55" t="s">
        <v>284</v>
      </c>
      <c r="C104" s="134">
        <f>VLOOKUP(A104,'ESSA Title I-A Formula'!A112:G294,7,FALSE)</f>
        <v>0</v>
      </c>
      <c r="D104" s="134">
        <v>0</v>
      </c>
      <c r="E104" s="134">
        <v>0</v>
      </c>
      <c r="F104" s="134">
        <f>VLOOKUP(A104,'ESSA Title II-A Formula'!A112:G294,7,FALSE)</f>
        <v>0</v>
      </c>
      <c r="G104" s="134">
        <f>VLOOKUP(A104,'ESSA Title III-ELL '!A112:G296,7,FALSE)</f>
        <v>0</v>
      </c>
      <c r="H104" s="134">
        <v>0</v>
      </c>
      <c r="I104" s="134">
        <f>VLOOKUP(A104,'ESSA Title IV'!A112:G294,7,FALSE)</f>
        <v>0</v>
      </c>
      <c r="J104" s="134">
        <v>0</v>
      </c>
    </row>
    <row r="105" spans="1:10" ht="18.75" x14ac:dyDescent="0.3">
      <c r="A105" s="248" t="s">
        <v>107</v>
      </c>
      <c r="B105" s="55" t="s">
        <v>285</v>
      </c>
      <c r="C105" s="134">
        <f>VLOOKUP(A105,'ESSA Title I-A Formula'!A113:G295,7,FALSE)</f>
        <v>0</v>
      </c>
      <c r="D105" s="134">
        <v>0</v>
      </c>
      <c r="E105" s="134">
        <v>0</v>
      </c>
      <c r="F105" s="134">
        <f>VLOOKUP(A105,'ESSA Title II-A Formula'!A113:G295,7,FALSE)</f>
        <v>0</v>
      </c>
      <c r="G105" s="134">
        <f>VLOOKUP(A105,'ESSA Title III-ELL '!A113:G297,7,FALSE)</f>
        <v>0</v>
      </c>
      <c r="H105" s="134">
        <v>0</v>
      </c>
      <c r="I105" s="134">
        <f>VLOOKUP(A105,'ESSA Title IV'!A113:G295,7,FALSE)</f>
        <v>0</v>
      </c>
      <c r="J105" s="134">
        <v>0</v>
      </c>
    </row>
    <row r="106" spans="1:10" ht="18.75" x14ac:dyDescent="0.3">
      <c r="A106" s="248" t="s">
        <v>108</v>
      </c>
      <c r="B106" s="55" t="s">
        <v>286</v>
      </c>
      <c r="C106" s="134">
        <f>VLOOKUP(A106,'ESSA Title I-A Formula'!A114:G296,7,FALSE)</f>
        <v>0</v>
      </c>
      <c r="D106" s="134">
        <v>0</v>
      </c>
      <c r="E106" s="134">
        <v>0</v>
      </c>
      <c r="F106" s="134">
        <f>VLOOKUP(A106,'ESSA Title II-A Formula'!A114:G296,7,FALSE)</f>
        <v>0</v>
      </c>
      <c r="G106" s="134">
        <f>VLOOKUP(A106,'ESSA Title III-ELL '!A114:G298,7,FALSE)</f>
        <v>0</v>
      </c>
      <c r="H106" s="134">
        <v>0</v>
      </c>
      <c r="I106" s="134">
        <f>VLOOKUP(A106,'ESSA Title IV'!A114:G296,7,FALSE)</f>
        <v>0</v>
      </c>
      <c r="J106" s="134">
        <v>0</v>
      </c>
    </row>
    <row r="107" spans="1:10" ht="18.75" x14ac:dyDescent="0.3">
      <c r="A107" s="248" t="s">
        <v>109</v>
      </c>
      <c r="B107" s="55" t="s">
        <v>287</v>
      </c>
      <c r="C107" s="134">
        <f>VLOOKUP(A107,'ESSA Title I-A Formula'!A115:G297,7,FALSE)</f>
        <v>0</v>
      </c>
      <c r="D107" s="134">
        <v>0</v>
      </c>
      <c r="E107" s="134">
        <v>0</v>
      </c>
      <c r="F107" s="134">
        <f>VLOOKUP(A107,'ESSA Title II-A Formula'!A115:G297,7,FALSE)</f>
        <v>0</v>
      </c>
      <c r="G107" s="134">
        <f>VLOOKUP(A107,'ESSA Title III-ELL '!A115:G299,7,FALSE)</f>
        <v>0</v>
      </c>
      <c r="H107" s="134">
        <v>0</v>
      </c>
      <c r="I107" s="134">
        <f>VLOOKUP(A107,'ESSA Title IV'!A115:G297,7,FALSE)</f>
        <v>0</v>
      </c>
      <c r="J107" s="134">
        <v>0</v>
      </c>
    </row>
    <row r="108" spans="1:10" ht="18.75" x14ac:dyDescent="0.3">
      <c r="A108" s="248" t="s">
        <v>110</v>
      </c>
      <c r="B108" s="55" t="s">
        <v>288</v>
      </c>
      <c r="C108" s="134">
        <f>VLOOKUP(A108,'ESSA Title I-A Formula'!A116:G298,7,FALSE)</f>
        <v>0</v>
      </c>
      <c r="D108" s="134">
        <v>0</v>
      </c>
      <c r="E108" s="134">
        <v>0</v>
      </c>
      <c r="F108" s="134">
        <f>VLOOKUP(A108,'ESSA Title II-A Formula'!A116:G298,7,FALSE)</f>
        <v>0</v>
      </c>
      <c r="G108" s="134">
        <f>VLOOKUP(A108,'ESSA Title III-ELL '!A116:G300,7,FALSE)</f>
        <v>0</v>
      </c>
      <c r="H108" s="134">
        <v>0</v>
      </c>
      <c r="I108" s="134">
        <f>VLOOKUP(A108,'ESSA Title IV'!A116:G298,7,FALSE)</f>
        <v>0</v>
      </c>
      <c r="J108" s="134">
        <v>0</v>
      </c>
    </row>
    <row r="109" spans="1:10" ht="18.75" x14ac:dyDescent="0.3">
      <c r="A109" s="248" t="s">
        <v>111</v>
      </c>
      <c r="B109" s="55" t="s">
        <v>289</v>
      </c>
      <c r="C109" s="134">
        <f>VLOOKUP(A109,'ESSA Title I-A Formula'!A117:G299,7,FALSE)</f>
        <v>0</v>
      </c>
      <c r="D109" s="134">
        <v>0</v>
      </c>
      <c r="E109" s="134">
        <v>0</v>
      </c>
      <c r="F109" s="134">
        <f>VLOOKUP(A109,'ESSA Title II-A Formula'!A117:G299,7,FALSE)</f>
        <v>0</v>
      </c>
      <c r="G109" s="134">
        <f>VLOOKUP(A109,'ESSA Title III-ELL '!A117:G301,7,FALSE)</f>
        <v>0</v>
      </c>
      <c r="H109" s="134">
        <v>0</v>
      </c>
      <c r="I109" s="134">
        <f>VLOOKUP(A109,'ESSA Title IV'!A117:G299,7,FALSE)</f>
        <v>0</v>
      </c>
      <c r="J109" s="134">
        <v>0</v>
      </c>
    </row>
    <row r="110" spans="1:10" ht="18.75" x14ac:dyDescent="0.3">
      <c r="A110" s="248" t="s">
        <v>112</v>
      </c>
      <c r="B110" s="55" t="s">
        <v>290</v>
      </c>
      <c r="C110" s="134">
        <f>VLOOKUP(A110,'ESSA Title I-A Formula'!A118:G300,7,FALSE)</f>
        <v>0</v>
      </c>
      <c r="D110" s="134">
        <v>0</v>
      </c>
      <c r="E110" s="134">
        <v>0</v>
      </c>
      <c r="F110" s="134">
        <f>VLOOKUP(A110,'ESSA Title II-A Formula'!A118:G300,7,FALSE)</f>
        <v>0</v>
      </c>
      <c r="G110" s="134">
        <f>VLOOKUP(A110,'ESSA Title III-ELL '!A118:G302,7,FALSE)</f>
        <v>0</v>
      </c>
      <c r="H110" s="134">
        <v>0</v>
      </c>
      <c r="I110" s="134">
        <f>VLOOKUP(A110,'ESSA Title IV'!A118:G300,7,FALSE)</f>
        <v>0</v>
      </c>
      <c r="J110" s="134">
        <v>0</v>
      </c>
    </row>
    <row r="111" spans="1:10" ht="18.75" x14ac:dyDescent="0.3">
      <c r="A111" s="248" t="s">
        <v>113</v>
      </c>
      <c r="B111" s="55" t="s">
        <v>291</v>
      </c>
      <c r="C111" s="134">
        <f>VLOOKUP(A111,'ESSA Title I-A Formula'!A119:G301,7,FALSE)</f>
        <v>0</v>
      </c>
      <c r="D111" s="134">
        <f>'ESSA Title I-Delinquent'!G18</f>
        <v>0</v>
      </c>
      <c r="E111" s="134">
        <v>0</v>
      </c>
      <c r="F111" s="134">
        <f>VLOOKUP(A111,'ESSA Title II-A Formula'!A119:G301,7,FALSE)</f>
        <v>0</v>
      </c>
      <c r="G111" s="134">
        <f>VLOOKUP(A111,'ESSA Title III-ELL '!A119:G303,7,FALSE)</f>
        <v>0</v>
      </c>
      <c r="H111" s="134">
        <v>0</v>
      </c>
      <c r="I111" s="134">
        <f>VLOOKUP(A111,'ESSA Title IV'!A119:G301,7,FALSE)</f>
        <v>0</v>
      </c>
      <c r="J111" s="134">
        <v>0</v>
      </c>
    </row>
    <row r="112" spans="1:10" ht="18.75" x14ac:dyDescent="0.3">
      <c r="A112" s="248" t="s">
        <v>114</v>
      </c>
      <c r="B112" s="55" t="s">
        <v>292</v>
      </c>
      <c r="C112" s="134">
        <f>VLOOKUP(A112,'ESSA Title I-A Formula'!A120:G302,7,FALSE)</f>
        <v>0</v>
      </c>
      <c r="D112" s="134">
        <v>0</v>
      </c>
      <c r="E112" s="134">
        <v>0</v>
      </c>
      <c r="F112" s="134">
        <f>VLOOKUP(A112,'ESSA Title II-A Formula'!A120:G302,7,FALSE)</f>
        <v>0</v>
      </c>
      <c r="G112" s="134">
        <f>VLOOKUP(A112,'ESSA Title III-ELL '!A120:G304,7,FALSE)</f>
        <v>0</v>
      </c>
      <c r="H112" s="134">
        <v>0</v>
      </c>
      <c r="I112" s="134">
        <f>VLOOKUP(A112,'ESSA Title IV'!A120:G302,7,FALSE)</f>
        <v>0</v>
      </c>
      <c r="J112" s="134">
        <v>0</v>
      </c>
    </row>
    <row r="113" spans="1:10" ht="18.75" x14ac:dyDescent="0.3">
      <c r="A113" s="248" t="s">
        <v>115</v>
      </c>
      <c r="B113" s="55" t="s">
        <v>293</v>
      </c>
      <c r="C113" s="134">
        <f>VLOOKUP(A113,'ESSA Title I-A Formula'!A121:G303,7,FALSE)</f>
        <v>0</v>
      </c>
      <c r="D113" s="134">
        <v>0</v>
      </c>
      <c r="E113" s="134">
        <v>0</v>
      </c>
      <c r="F113" s="134">
        <f>VLOOKUP(A113,'ESSA Title II-A Formula'!A121:G303,7,FALSE)</f>
        <v>0</v>
      </c>
      <c r="G113" s="134">
        <f>VLOOKUP(A113,'ESSA Title III-ELL '!A121:G305,7,FALSE)</f>
        <v>0</v>
      </c>
      <c r="H113" s="134">
        <v>0</v>
      </c>
      <c r="I113" s="134">
        <f>VLOOKUP(A113,'ESSA Title IV'!A121:G303,7,FALSE)</f>
        <v>0</v>
      </c>
      <c r="J113" s="134">
        <v>0</v>
      </c>
    </row>
    <row r="114" spans="1:10" ht="18.75" x14ac:dyDescent="0.3">
      <c r="A114" s="248" t="s">
        <v>116</v>
      </c>
      <c r="B114" s="55" t="s">
        <v>294</v>
      </c>
      <c r="C114" s="134">
        <f>VLOOKUP(A114,'ESSA Title I-A Formula'!A122:G304,7,FALSE)</f>
        <v>0</v>
      </c>
      <c r="D114" s="134">
        <v>0</v>
      </c>
      <c r="E114" s="134">
        <v>0</v>
      </c>
      <c r="F114" s="134">
        <f>VLOOKUP(A114,'ESSA Title II-A Formula'!A122:G304,7,FALSE)</f>
        <v>0</v>
      </c>
      <c r="G114" s="134">
        <f>VLOOKUP(A114,'ESSA Title III-ELL '!A122:G306,7,FALSE)</f>
        <v>0</v>
      </c>
      <c r="H114" s="134">
        <v>0</v>
      </c>
      <c r="I114" s="134">
        <f>VLOOKUP(A114,'ESSA Title IV'!A122:G304,7,FALSE)</f>
        <v>14607.89</v>
      </c>
      <c r="J114" s="134">
        <f>VLOOKUP(A114,'ESSA Title V-B'!$A$12:$G$31,7,FALSE)</f>
        <v>0</v>
      </c>
    </row>
    <row r="115" spans="1:10" ht="18.75" x14ac:dyDescent="0.3">
      <c r="A115" s="248" t="s">
        <v>117</v>
      </c>
      <c r="B115" s="55" t="s">
        <v>295</v>
      </c>
      <c r="C115" s="134">
        <f>VLOOKUP(A115,'ESSA Title I-A Formula'!A123:G305,7,FALSE)</f>
        <v>0</v>
      </c>
      <c r="D115" s="134">
        <v>0</v>
      </c>
      <c r="E115" s="134">
        <v>0</v>
      </c>
      <c r="F115" s="134">
        <f>VLOOKUP(A115,'ESSA Title II-A Formula'!A123:G305,7,FALSE)</f>
        <v>0</v>
      </c>
      <c r="G115" s="134">
        <f>VLOOKUP(A115,'ESSA Title III-ELL '!A123:G307,7,FALSE)</f>
        <v>0</v>
      </c>
      <c r="H115" s="134">
        <f>'ESSA Title III SAI'!G32</f>
        <v>0</v>
      </c>
      <c r="I115" s="134">
        <f>VLOOKUP(A115,'ESSA Title IV'!A123:G305,7,FALSE)</f>
        <v>0</v>
      </c>
      <c r="J115" s="134">
        <v>0</v>
      </c>
    </row>
    <row r="116" spans="1:10" ht="18.75" x14ac:dyDescent="0.3">
      <c r="A116" s="248" t="s">
        <v>118</v>
      </c>
      <c r="B116" s="55" t="s">
        <v>296</v>
      </c>
      <c r="C116" s="134">
        <f>VLOOKUP(A116,'ESSA Title I-A Formula'!A124:G306,7,FALSE)</f>
        <v>0</v>
      </c>
      <c r="D116" s="134">
        <v>0</v>
      </c>
      <c r="E116" s="134">
        <v>0</v>
      </c>
      <c r="F116" s="134">
        <f>VLOOKUP(A116,'ESSA Title II-A Formula'!A124:G306,7,FALSE)</f>
        <v>0</v>
      </c>
      <c r="G116" s="134">
        <f>VLOOKUP(A116,'ESSA Title III-ELL '!A124:G308,7,FALSE)</f>
        <v>0</v>
      </c>
      <c r="H116" s="134">
        <v>0</v>
      </c>
      <c r="I116" s="134">
        <f>VLOOKUP(A116,'ESSA Title IV'!A124:G306,7,FALSE)</f>
        <v>0</v>
      </c>
      <c r="J116" s="134">
        <v>0</v>
      </c>
    </row>
    <row r="117" spans="1:10" ht="18.75" x14ac:dyDescent="0.3">
      <c r="A117" s="248" t="s">
        <v>119</v>
      </c>
      <c r="B117" s="55" t="s">
        <v>297</v>
      </c>
      <c r="C117" s="134">
        <f>VLOOKUP(A117,'ESSA Title I-A Formula'!A125:G307,7,FALSE)</f>
        <v>0</v>
      </c>
      <c r="D117" s="134">
        <v>0</v>
      </c>
      <c r="E117" s="134">
        <v>0</v>
      </c>
      <c r="F117" s="134">
        <f>VLOOKUP(A117,'ESSA Title II-A Formula'!A125:G307,7,FALSE)</f>
        <v>0</v>
      </c>
      <c r="G117" s="134">
        <f>VLOOKUP(A117,'ESSA Title III-ELL '!A125:G309,7,FALSE)</f>
        <v>0</v>
      </c>
      <c r="H117" s="134">
        <f>'ESSA Title III SAI'!G34</f>
        <v>0</v>
      </c>
      <c r="I117" s="134">
        <f>VLOOKUP(A117,'ESSA Title IV'!A125:G307,7,FALSE)</f>
        <v>0</v>
      </c>
      <c r="J117" s="134">
        <v>0</v>
      </c>
    </row>
    <row r="118" spans="1:10" ht="18.75" x14ac:dyDescent="0.3">
      <c r="A118" s="248" t="s">
        <v>120</v>
      </c>
      <c r="B118" s="55" t="s">
        <v>298</v>
      </c>
      <c r="C118" s="134">
        <f>VLOOKUP(A118,'ESSA Title I-A Formula'!A126:G308,7,FALSE)</f>
        <v>0</v>
      </c>
      <c r="D118" s="134">
        <v>0</v>
      </c>
      <c r="E118" s="134">
        <v>0</v>
      </c>
      <c r="F118" s="134">
        <f>VLOOKUP(A118,'ESSA Title II-A Formula'!A126:G308,7,FALSE)</f>
        <v>0</v>
      </c>
      <c r="G118" s="134">
        <f>VLOOKUP(A118,'ESSA Title III-ELL '!A126:G310,7,FALSE)</f>
        <v>0</v>
      </c>
      <c r="H118" s="134">
        <v>0</v>
      </c>
      <c r="I118" s="134">
        <f>VLOOKUP(A118,'ESSA Title IV'!A126:G308,7,FALSE)</f>
        <v>0</v>
      </c>
      <c r="J118" s="134">
        <v>0</v>
      </c>
    </row>
    <row r="119" spans="1:10" ht="18.75" x14ac:dyDescent="0.3">
      <c r="A119" s="248" t="s">
        <v>121</v>
      </c>
      <c r="B119" s="55" t="s">
        <v>299</v>
      </c>
      <c r="C119" s="134">
        <f>VLOOKUP(A119,'ESSA Title I-A Formula'!A127:G309,7,FALSE)</f>
        <v>0</v>
      </c>
      <c r="D119" s="134">
        <v>0</v>
      </c>
      <c r="E119" s="134">
        <v>0</v>
      </c>
      <c r="F119" s="134">
        <f>VLOOKUP(A119,'ESSA Title II-A Formula'!A127:G309,7,FALSE)</f>
        <v>0</v>
      </c>
      <c r="G119" s="134">
        <f>VLOOKUP(A119,'ESSA Title III-ELL '!A127:G311,7,FALSE)</f>
        <v>0</v>
      </c>
      <c r="H119" s="134">
        <v>0</v>
      </c>
      <c r="I119" s="134">
        <f>VLOOKUP(A119,'ESSA Title IV'!A127:G309,7,FALSE)</f>
        <v>0</v>
      </c>
      <c r="J119" s="134">
        <v>0</v>
      </c>
    </row>
    <row r="120" spans="1:10" ht="18.75" x14ac:dyDescent="0.3">
      <c r="A120" s="248" t="s">
        <v>122</v>
      </c>
      <c r="B120" s="55" t="s">
        <v>300</v>
      </c>
      <c r="C120" s="134">
        <f>VLOOKUP(A120,'ESSA Title I-A Formula'!A128:G310,7,FALSE)</f>
        <v>0</v>
      </c>
      <c r="D120" s="134">
        <v>0</v>
      </c>
      <c r="E120" s="134">
        <v>0</v>
      </c>
      <c r="F120" s="134">
        <f>VLOOKUP(A120,'ESSA Title II-A Formula'!A128:G310,7,FALSE)</f>
        <v>0</v>
      </c>
      <c r="G120" s="134">
        <f>VLOOKUP(A120,'ESSA Title III-ELL '!A128:G312,7,FALSE)</f>
        <v>0</v>
      </c>
      <c r="H120" s="134">
        <v>0</v>
      </c>
      <c r="I120" s="134">
        <f>VLOOKUP(A120,'ESSA Title IV'!A128:G310,7,FALSE)</f>
        <v>0</v>
      </c>
      <c r="J120" s="134">
        <v>0</v>
      </c>
    </row>
    <row r="121" spans="1:10" ht="18.75" x14ac:dyDescent="0.3">
      <c r="A121" s="248" t="s">
        <v>123</v>
      </c>
      <c r="B121" s="55" t="s">
        <v>301</v>
      </c>
      <c r="C121" s="134">
        <f>VLOOKUP(A121,'ESSA Title I-A Formula'!A129:G311,7,FALSE)</f>
        <v>0</v>
      </c>
      <c r="D121" s="134">
        <v>0</v>
      </c>
      <c r="E121" s="134">
        <v>0</v>
      </c>
      <c r="F121" s="134">
        <f>VLOOKUP(A121,'ESSA Title II-A Formula'!A129:G311,7,FALSE)</f>
        <v>0</v>
      </c>
      <c r="G121" s="134">
        <f>VLOOKUP(A121,'ESSA Title III-ELL '!A129:G313,7,FALSE)</f>
        <v>0</v>
      </c>
      <c r="H121" s="134">
        <v>0</v>
      </c>
      <c r="I121" s="134">
        <f>VLOOKUP(A121,'ESSA Title IV'!A129:G311,7,FALSE)</f>
        <v>0</v>
      </c>
      <c r="J121" s="134">
        <v>0</v>
      </c>
    </row>
    <row r="122" spans="1:10" ht="18.75" x14ac:dyDescent="0.3">
      <c r="A122" s="248" t="s">
        <v>124</v>
      </c>
      <c r="B122" s="55" t="s">
        <v>302</v>
      </c>
      <c r="C122" s="134">
        <f>VLOOKUP(A122,'ESSA Title I-A Formula'!A130:G312,7,FALSE)</f>
        <v>0</v>
      </c>
      <c r="D122" s="134">
        <v>0</v>
      </c>
      <c r="E122" s="134">
        <v>0</v>
      </c>
      <c r="F122" s="134">
        <f>VLOOKUP(A122,'ESSA Title II-A Formula'!A130:G312,7,FALSE)</f>
        <v>0</v>
      </c>
      <c r="G122" s="134">
        <f>VLOOKUP(A122,'ESSA Title III-ELL '!A130:G314,7,FALSE)</f>
        <v>0</v>
      </c>
      <c r="H122" s="134">
        <v>0</v>
      </c>
      <c r="I122" s="134">
        <f>VLOOKUP(A122,'ESSA Title IV'!A130:G312,7,FALSE)</f>
        <v>0</v>
      </c>
      <c r="J122" s="134">
        <v>0</v>
      </c>
    </row>
    <row r="123" spans="1:10" ht="18.75" x14ac:dyDescent="0.3">
      <c r="A123" s="248" t="s">
        <v>125</v>
      </c>
      <c r="B123" s="55" t="s">
        <v>303</v>
      </c>
      <c r="C123" s="134">
        <f>VLOOKUP(A123,'ESSA Title I-A Formula'!A131:G313,7,FALSE)</f>
        <v>0</v>
      </c>
      <c r="D123" s="134">
        <v>0</v>
      </c>
      <c r="E123" s="134">
        <v>0</v>
      </c>
      <c r="F123" s="134">
        <f>VLOOKUP(A123,'ESSA Title II-A Formula'!A131:G313,7,FALSE)</f>
        <v>0</v>
      </c>
      <c r="G123" s="134">
        <f>VLOOKUP(A123,'ESSA Title III-ELL '!A131:G315,7,FALSE)</f>
        <v>0</v>
      </c>
      <c r="H123" s="134">
        <v>0</v>
      </c>
      <c r="I123" s="134">
        <f>VLOOKUP(A123,'ESSA Title IV'!A131:G313,7,FALSE)</f>
        <v>28374.57</v>
      </c>
      <c r="J123" s="134">
        <f>VLOOKUP(A123,'ESSA Title V-B'!$A$12:$G$31,7,FALSE)</f>
        <v>28493</v>
      </c>
    </row>
    <row r="124" spans="1:10" ht="18.75" x14ac:dyDescent="0.3">
      <c r="A124" s="248" t="s">
        <v>126</v>
      </c>
      <c r="B124" s="55" t="s">
        <v>304</v>
      </c>
      <c r="C124" s="134">
        <f>VLOOKUP(A124,'ESSA Title I-A Formula'!A132:G314,7,FALSE)</f>
        <v>0</v>
      </c>
      <c r="D124" s="134">
        <v>0</v>
      </c>
      <c r="E124" s="134">
        <v>0</v>
      </c>
      <c r="F124" s="134">
        <f>VLOOKUP(A124,'ESSA Title II-A Formula'!A132:G314,7,FALSE)</f>
        <v>0</v>
      </c>
      <c r="G124" s="134">
        <f>VLOOKUP(A124,'ESSA Title III-ELL '!A132:G316,7,FALSE)</f>
        <v>0</v>
      </c>
      <c r="H124" s="134">
        <v>0</v>
      </c>
      <c r="I124" s="134">
        <f>VLOOKUP(A124,'ESSA Title IV'!A132:G314,7,FALSE)</f>
        <v>0</v>
      </c>
      <c r="J124" s="134">
        <f>VLOOKUP(A124,'ESSA Title V-B'!$A$12:$G$31,7,FALSE)</f>
        <v>0</v>
      </c>
    </row>
    <row r="125" spans="1:10" ht="18.75" x14ac:dyDescent="0.3">
      <c r="A125" s="248" t="s">
        <v>127</v>
      </c>
      <c r="B125" s="55" t="s">
        <v>305</v>
      </c>
      <c r="C125" s="134">
        <f>VLOOKUP(A125,'ESSA Title I-A Formula'!A133:G315,7,FALSE)</f>
        <v>0</v>
      </c>
      <c r="D125" s="134">
        <v>0</v>
      </c>
      <c r="E125" s="134">
        <v>0</v>
      </c>
      <c r="F125" s="134">
        <f>VLOOKUP(A125,'ESSA Title II-A Formula'!A133:G315,7,FALSE)</f>
        <v>0</v>
      </c>
      <c r="G125" s="134">
        <f>VLOOKUP(A125,'ESSA Title III-ELL '!A133:G317,7,FALSE)</f>
        <v>0</v>
      </c>
      <c r="H125" s="134">
        <v>0</v>
      </c>
      <c r="I125" s="134">
        <f>VLOOKUP(A125,'ESSA Title IV'!A133:G315,7,FALSE)</f>
        <v>0</v>
      </c>
      <c r="J125" s="134">
        <v>0</v>
      </c>
    </row>
    <row r="126" spans="1:10" ht="18.75" x14ac:dyDescent="0.3">
      <c r="A126" s="248" t="s">
        <v>128</v>
      </c>
      <c r="B126" s="55" t="s">
        <v>306</v>
      </c>
      <c r="C126" s="134">
        <f>VLOOKUP(A126,'ESSA Title I-A Formula'!A134:G316,7,FALSE)</f>
        <v>0</v>
      </c>
      <c r="D126" s="134">
        <v>0</v>
      </c>
      <c r="E126" s="134">
        <v>0</v>
      </c>
      <c r="F126" s="134">
        <f>VLOOKUP(A126,'ESSA Title II-A Formula'!A134:G316,7,FALSE)</f>
        <v>0</v>
      </c>
      <c r="G126" s="134">
        <f>VLOOKUP(A126,'ESSA Title III-ELL '!A134:G318,7,FALSE)</f>
        <v>0</v>
      </c>
      <c r="H126" s="134">
        <v>0</v>
      </c>
      <c r="I126" s="134">
        <f>VLOOKUP(A126,'ESSA Title IV'!A134:G316,7,FALSE)</f>
        <v>0</v>
      </c>
      <c r="J126" s="134">
        <v>0</v>
      </c>
    </row>
    <row r="127" spans="1:10" ht="18.75" x14ac:dyDescent="0.3">
      <c r="A127" s="248" t="s">
        <v>129</v>
      </c>
      <c r="B127" s="55" t="s">
        <v>307</v>
      </c>
      <c r="C127" s="134">
        <f>VLOOKUP(A127,'ESSA Title I-A Formula'!A135:G317,7,FALSE)</f>
        <v>0</v>
      </c>
      <c r="D127" s="134">
        <v>0</v>
      </c>
      <c r="E127" s="134">
        <v>0</v>
      </c>
      <c r="F127" s="134">
        <f>VLOOKUP(A127,'ESSA Title II-A Formula'!A135:G317,7,FALSE)</f>
        <v>0</v>
      </c>
      <c r="G127" s="134">
        <f>VLOOKUP(A127,'ESSA Title III-ELL '!A135:G319,7,FALSE)</f>
        <v>0</v>
      </c>
      <c r="H127" s="134">
        <v>0</v>
      </c>
      <c r="I127" s="134">
        <f>VLOOKUP(A127,'ESSA Title IV'!A135:G317,7,FALSE)</f>
        <v>0</v>
      </c>
      <c r="J127" s="134">
        <v>0</v>
      </c>
    </row>
    <row r="128" spans="1:10" ht="18.75" x14ac:dyDescent="0.3">
      <c r="A128" s="248" t="s">
        <v>130</v>
      </c>
      <c r="B128" s="55" t="s">
        <v>308</v>
      </c>
      <c r="C128" s="134">
        <f>VLOOKUP(A128,'ESSA Title I-A Formula'!A136:G318,7,FALSE)</f>
        <v>0</v>
      </c>
      <c r="D128" s="134">
        <v>0</v>
      </c>
      <c r="E128" s="134">
        <v>0</v>
      </c>
      <c r="F128" s="134">
        <f>VLOOKUP(A128,'ESSA Title II-A Formula'!A136:G318,7,FALSE)</f>
        <v>0</v>
      </c>
      <c r="G128" s="134">
        <f>VLOOKUP(A128,'ESSA Title III-ELL '!A136:G320,7,FALSE)</f>
        <v>0</v>
      </c>
      <c r="H128" s="134">
        <v>0</v>
      </c>
      <c r="I128" s="134">
        <f>VLOOKUP(A128,'ESSA Title IV'!A136:G318,7,FALSE)</f>
        <v>0</v>
      </c>
      <c r="J128" s="134">
        <v>0</v>
      </c>
    </row>
    <row r="129" spans="1:10" ht="18.75" x14ac:dyDescent="0.3">
      <c r="A129" s="248" t="s">
        <v>131</v>
      </c>
      <c r="B129" s="55" t="s">
        <v>309</v>
      </c>
      <c r="C129" s="134">
        <f>VLOOKUP(A129,'ESSA Title I-A Formula'!A137:G319,7,FALSE)</f>
        <v>1657.5999999999985</v>
      </c>
      <c r="D129" s="134">
        <v>0</v>
      </c>
      <c r="E129" s="134">
        <v>0</v>
      </c>
      <c r="F129" s="134">
        <f>VLOOKUP(A129,'ESSA Title II-A Formula'!A137:G319,7,FALSE)</f>
        <v>0</v>
      </c>
      <c r="G129" s="134">
        <f>VLOOKUP(A129,'ESSA Title III-ELL '!A137:G321,7,FALSE)</f>
        <v>0</v>
      </c>
      <c r="H129" s="134">
        <f>'ESSA Title III SAI'!G35</f>
        <v>0</v>
      </c>
      <c r="I129" s="134">
        <f>VLOOKUP(A129,'ESSA Title IV'!A137:G319,7,FALSE)</f>
        <v>3030.49</v>
      </c>
      <c r="J129" s="134">
        <v>0</v>
      </c>
    </row>
    <row r="130" spans="1:10" ht="18.75" x14ac:dyDescent="0.3">
      <c r="A130" s="248" t="s">
        <v>132</v>
      </c>
      <c r="B130" s="55" t="s">
        <v>310</v>
      </c>
      <c r="C130" s="134">
        <f>VLOOKUP(A130,'ESSA Title I-A Formula'!A138:G320,7,FALSE)</f>
        <v>0</v>
      </c>
      <c r="D130" s="134">
        <v>0</v>
      </c>
      <c r="E130" s="134">
        <v>0</v>
      </c>
      <c r="F130" s="134">
        <f>VLOOKUP(A130,'ESSA Title II-A Formula'!A138:G320,7,FALSE)</f>
        <v>0</v>
      </c>
      <c r="G130" s="134">
        <f>VLOOKUP(A130,'ESSA Title III-ELL '!A138:G322,7,FALSE)</f>
        <v>0</v>
      </c>
      <c r="H130" s="134">
        <v>0</v>
      </c>
      <c r="I130" s="134">
        <f>VLOOKUP(A130,'ESSA Title IV'!A138:G320,7,FALSE)</f>
        <v>0</v>
      </c>
      <c r="J130" s="134">
        <v>0</v>
      </c>
    </row>
    <row r="131" spans="1:10" ht="18.75" x14ac:dyDescent="0.3">
      <c r="A131" s="248" t="s">
        <v>133</v>
      </c>
      <c r="B131" s="55" t="s">
        <v>311</v>
      </c>
      <c r="C131" s="134">
        <f>VLOOKUP(A131,'ESSA Title I-A Formula'!A139:G321,7,FALSE)</f>
        <v>0</v>
      </c>
      <c r="D131" s="134">
        <v>0</v>
      </c>
      <c r="E131" s="134">
        <v>0</v>
      </c>
      <c r="F131" s="134">
        <f>VLOOKUP(A131,'ESSA Title II-A Formula'!A139:G321,7,FALSE)</f>
        <v>0</v>
      </c>
      <c r="G131" s="134">
        <f>VLOOKUP(A131,'ESSA Title III-ELL '!A139:G323,7,FALSE)</f>
        <v>0</v>
      </c>
      <c r="H131" s="134">
        <v>0</v>
      </c>
      <c r="I131" s="134">
        <f>VLOOKUP(A131,'ESSA Title IV'!A139:G321,7,FALSE)</f>
        <v>0</v>
      </c>
      <c r="J131" s="134">
        <v>0</v>
      </c>
    </row>
    <row r="132" spans="1:10" ht="18.75" x14ac:dyDescent="0.3">
      <c r="A132" s="248" t="s">
        <v>134</v>
      </c>
      <c r="B132" s="55" t="s">
        <v>312</v>
      </c>
      <c r="C132" s="134">
        <f>VLOOKUP(A132,'ESSA Title I-A Formula'!A140:G322,7,FALSE)</f>
        <v>0</v>
      </c>
      <c r="D132" s="134">
        <v>0</v>
      </c>
      <c r="E132" s="134">
        <v>0</v>
      </c>
      <c r="F132" s="134">
        <f>VLOOKUP(A132,'ESSA Title II-A Formula'!A140:G322,7,FALSE)</f>
        <v>0</v>
      </c>
      <c r="G132" s="134">
        <f>VLOOKUP(A132,'ESSA Title III-ELL '!A140:G324,7,FALSE)</f>
        <v>0</v>
      </c>
      <c r="H132" s="134">
        <v>0</v>
      </c>
      <c r="I132" s="134">
        <f>VLOOKUP(A132,'ESSA Title IV'!A140:G322,7,FALSE)</f>
        <v>0</v>
      </c>
      <c r="J132" s="134">
        <v>0</v>
      </c>
    </row>
    <row r="133" spans="1:10" ht="18.75" x14ac:dyDescent="0.3">
      <c r="A133" s="248" t="s">
        <v>135</v>
      </c>
      <c r="B133" s="55" t="s">
        <v>313</v>
      </c>
      <c r="C133" s="134">
        <f>VLOOKUP(A133,'ESSA Title I-A Formula'!A141:G323,7,FALSE)</f>
        <v>0</v>
      </c>
      <c r="D133" s="134">
        <v>0</v>
      </c>
      <c r="E133" s="134">
        <v>0</v>
      </c>
      <c r="F133" s="134">
        <f>VLOOKUP(A133,'ESSA Title II-A Formula'!A141:G323,7,FALSE)</f>
        <v>0</v>
      </c>
      <c r="G133" s="134">
        <f>VLOOKUP(A133,'ESSA Title III-ELL '!A141:G325,7,FALSE)</f>
        <v>0</v>
      </c>
      <c r="H133" s="134">
        <v>0</v>
      </c>
      <c r="I133" s="134">
        <f>VLOOKUP(A133,'ESSA Title IV'!A141:G323,7,FALSE)</f>
        <v>0</v>
      </c>
      <c r="J133" s="134">
        <v>0</v>
      </c>
    </row>
    <row r="134" spans="1:10" ht="18.75" x14ac:dyDescent="0.3">
      <c r="A134" s="248" t="s">
        <v>136</v>
      </c>
      <c r="B134" s="55" t="s">
        <v>314</v>
      </c>
      <c r="C134" s="134">
        <f>VLOOKUP(A134,'ESSA Title I-A Formula'!A142:G324,7,FALSE)</f>
        <v>0</v>
      </c>
      <c r="D134" s="134">
        <v>0</v>
      </c>
      <c r="E134" s="134">
        <v>0</v>
      </c>
      <c r="F134" s="134">
        <f>VLOOKUP(A134,'ESSA Title II-A Formula'!A142:G324,7,FALSE)</f>
        <v>0</v>
      </c>
      <c r="G134" s="134">
        <f>VLOOKUP(A134,'ESSA Title III-ELL '!A142:G326,7,FALSE)</f>
        <v>0</v>
      </c>
      <c r="H134" s="134">
        <v>0</v>
      </c>
      <c r="I134" s="134">
        <f>VLOOKUP(A134,'ESSA Title IV'!A142:G324,7,FALSE)</f>
        <v>0</v>
      </c>
      <c r="J134" s="134">
        <v>0</v>
      </c>
    </row>
    <row r="135" spans="1:10" ht="18.75" x14ac:dyDescent="0.3">
      <c r="A135" s="248" t="s">
        <v>137</v>
      </c>
      <c r="B135" s="55" t="s">
        <v>315</v>
      </c>
      <c r="C135" s="134">
        <f>VLOOKUP(A135,'ESSA Title I-A Formula'!A143:G325,7,FALSE)</f>
        <v>5332.0499999999993</v>
      </c>
      <c r="D135" s="134">
        <v>0</v>
      </c>
      <c r="E135" s="134">
        <v>0</v>
      </c>
      <c r="F135" s="134">
        <f>VLOOKUP(A135,'ESSA Title II-A Formula'!A143:G325,7,FALSE)</f>
        <v>0</v>
      </c>
      <c r="G135" s="134">
        <f>VLOOKUP(A135,'ESSA Title III-ELL '!A143:G327,7,FALSE)</f>
        <v>0</v>
      </c>
      <c r="H135" s="134">
        <f>'ESSA Title III SAI'!G36</f>
        <v>404</v>
      </c>
      <c r="I135" s="134">
        <f>VLOOKUP(A135,'ESSA Title IV'!A143:G325,7,FALSE)</f>
        <v>0</v>
      </c>
      <c r="J135" s="134">
        <v>0</v>
      </c>
    </row>
    <row r="136" spans="1:10" ht="18.75" x14ac:dyDescent="0.3">
      <c r="A136" s="248" t="s">
        <v>138</v>
      </c>
      <c r="B136" s="55" t="s">
        <v>316</v>
      </c>
      <c r="C136" s="134">
        <f>VLOOKUP(A136,'ESSA Title I-A Formula'!A144:G326,7,FALSE)</f>
        <v>0</v>
      </c>
      <c r="D136" s="134">
        <v>0</v>
      </c>
      <c r="E136" s="134">
        <v>0</v>
      </c>
      <c r="F136" s="134">
        <f>VLOOKUP(A136,'ESSA Title II-A Formula'!A144:G326,7,FALSE)</f>
        <v>0</v>
      </c>
      <c r="G136" s="134">
        <f>VLOOKUP(A136,'ESSA Title III-ELL '!A144:G328,7,FALSE)</f>
        <v>0</v>
      </c>
      <c r="H136" s="134">
        <v>0</v>
      </c>
      <c r="I136" s="134">
        <f>VLOOKUP(A136,'ESSA Title IV'!A144:G326,7,FALSE)</f>
        <v>0</v>
      </c>
      <c r="J136" s="134">
        <v>0</v>
      </c>
    </row>
    <row r="137" spans="1:10" ht="18.75" x14ac:dyDescent="0.3">
      <c r="A137" s="248" t="s">
        <v>139</v>
      </c>
      <c r="B137" s="55" t="s">
        <v>317</v>
      </c>
      <c r="C137" s="134">
        <f>VLOOKUP(A137,'ESSA Title I-A Formula'!A145:G327,7,FALSE)</f>
        <v>0</v>
      </c>
      <c r="D137" s="134">
        <v>0</v>
      </c>
      <c r="E137" s="134">
        <v>0</v>
      </c>
      <c r="F137" s="134">
        <f>VLOOKUP(A137,'ESSA Title II-A Formula'!A145:G327,7,FALSE)</f>
        <v>0</v>
      </c>
      <c r="G137" s="134">
        <f>VLOOKUP(A137,'ESSA Title III-ELL '!A145:G329,7,FALSE)</f>
        <v>0</v>
      </c>
      <c r="H137" s="134">
        <v>0</v>
      </c>
      <c r="I137" s="134">
        <f>VLOOKUP(A137,'ESSA Title IV'!A145:G327,7,FALSE)</f>
        <v>0</v>
      </c>
      <c r="J137" s="134">
        <f>VLOOKUP(A137,'ESSA Title V-B'!$A$12:$G$31,7,FALSE)</f>
        <v>0</v>
      </c>
    </row>
    <row r="138" spans="1:10" ht="18.75" x14ac:dyDescent="0.3">
      <c r="A138" s="248" t="s">
        <v>140</v>
      </c>
      <c r="B138" s="55" t="s">
        <v>318</v>
      </c>
      <c r="C138" s="134">
        <f>VLOOKUP(A138,'ESSA Title I-A Formula'!A146:G328,7,FALSE)</f>
        <v>0</v>
      </c>
      <c r="D138" s="134">
        <v>0</v>
      </c>
      <c r="E138" s="134">
        <v>0</v>
      </c>
      <c r="F138" s="134">
        <f>VLOOKUP(A138,'ESSA Title II-A Formula'!A146:G328,7,FALSE)</f>
        <v>0</v>
      </c>
      <c r="G138" s="134">
        <f>VLOOKUP(A138,'ESSA Title III-ELL '!A146:G330,7,FALSE)</f>
        <v>0</v>
      </c>
      <c r="H138" s="134">
        <v>0</v>
      </c>
      <c r="I138" s="134">
        <f>VLOOKUP(A138,'ESSA Title IV'!A146:G328,7,FALSE)</f>
        <v>0</v>
      </c>
      <c r="J138" s="134">
        <v>0</v>
      </c>
    </row>
    <row r="139" spans="1:10" ht="18.75" x14ac:dyDescent="0.3">
      <c r="A139" s="248" t="s">
        <v>141</v>
      </c>
      <c r="B139" s="55" t="s">
        <v>319</v>
      </c>
      <c r="C139" s="134">
        <f>VLOOKUP(A139,'ESSA Title I-A Formula'!A147:G329,7,FALSE)</f>
        <v>0</v>
      </c>
      <c r="D139" s="134">
        <v>0</v>
      </c>
      <c r="E139" s="134">
        <v>0</v>
      </c>
      <c r="F139" s="134">
        <f>VLOOKUP(A139,'ESSA Title II-A Formula'!A147:G329,7,FALSE)</f>
        <v>0</v>
      </c>
      <c r="G139" s="134">
        <f>VLOOKUP(A139,'ESSA Title III-ELL '!A147:G331,7,FALSE)</f>
        <v>0</v>
      </c>
      <c r="H139" s="134">
        <v>0</v>
      </c>
      <c r="I139" s="134">
        <f>VLOOKUP(A139,'ESSA Title IV'!A147:G329,7,FALSE)</f>
        <v>0.3999999999996362</v>
      </c>
      <c r="J139" s="134">
        <v>0</v>
      </c>
    </row>
    <row r="140" spans="1:10" ht="18.75" x14ac:dyDescent="0.3">
      <c r="A140" s="248" t="s">
        <v>142</v>
      </c>
      <c r="B140" s="55" t="s">
        <v>320</v>
      </c>
      <c r="C140" s="134">
        <f>VLOOKUP(A140,'ESSA Title I-A Formula'!A148:G330,7,FALSE)</f>
        <v>0</v>
      </c>
      <c r="D140" s="134">
        <v>0</v>
      </c>
      <c r="E140" s="134">
        <v>0</v>
      </c>
      <c r="F140" s="134">
        <f>VLOOKUP(A140,'ESSA Title II-A Formula'!A148:G330,7,FALSE)</f>
        <v>0</v>
      </c>
      <c r="G140" s="134">
        <f>VLOOKUP(A140,'ESSA Title III-ELL '!A148:G332,7,FALSE)</f>
        <v>0</v>
      </c>
      <c r="H140" s="134">
        <v>0</v>
      </c>
      <c r="I140" s="134">
        <f>VLOOKUP(A140,'ESSA Title IV'!A148:G330,7,FALSE)</f>
        <v>0</v>
      </c>
      <c r="J140" s="134">
        <v>0</v>
      </c>
    </row>
    <row r="141" spans="1:10" ht="18.75" x14ac:dyDescent="0.3">
      <c r="A141" s="248" t="s">
        <v>143</v>
      </c>
      <c r="B141" s="55" t="s">
        <v>321</v>
      </c>
      <c r="C141" s="134">
        <f>VLOOKUP(A141,'ESSA Title I-A Formula'!A149:G331,7,FALSE)</f>
        <v>0</v>
      </c>
      <c r="D141" s="134">
        <v>0</v>
      </c>
      <c r="E141" s="134">
        <v>0</v>
      </c>
      <c r="F141" s="134">
        <f>VLOOKUP(A141,'ESSA Title II-A Formula'!A149:G331,7,FALSE)</f>
        <v>0</v>
      </c>
      <c r="G141" s="134">
        <f>VLOOKUP(A141,'ESSA Title III-ELL '!A149:G333,7,FALSE)</f>
        <v>0</v>
      </c>
      <c r="H141" s="134">
        <v>0</v>
      </c>
      <c r="I141" s="134">
        <f>VLOOKUP(A141,'ESSA Title IV'!A149:G331,7,FALSE)</f>
        <v>0</v>
      </c>
      <c r="J141" s="134">
        <v>0</v>
      </c>
    </row>
    <row r="142" spans="1:10" ht="18.75" x14ac:dyDescent="0.3">
      <c r="A142" s="248" t="s">
        <v>144</v>
      </c>
      <c r="B142" s="55" t="s">
        <v>322</v>
      </c>
      <c r="C142" s="134">
        <f>VLOOKUP(A142,'ESSA Title I-A Formula'!A150:G332,7,FALSE)</f>
        <v>0</v>
      </c>
      <c r="D142" s="134">
        <v>0</v>
      </c>
      <c r="E142" s="134">
        <v>0</v>
      </c>
      <c r="F142" s="134">
        <f>VLOOKUP(A142,'ESSA Title II-A Formula'!A150:G332,7,FALSE)</f>
        <v>0</v>
      </c>
      <c r="G142" s="134">
        <f>VLOOKUP(A142,'ESSA Title III-ELL '!A150:G334,7,FALSE)</f>
        <v>0</v>
      </c>
      <c r="H142" s="134">
        <v>0</v>
      </c>
      <c r="I142" s="134">
        <f>VLOOKUP(A142,'ESSA Title IV'!A150:G332,7,FALSE)</f>
        <v>0</v>
      </c>
      <c r="J142" s="134">
        <v>0</v>
      </c>
    </row>
    <row r="143" spans="1:10" ht="18.75" x14ac:dyDescent="0.3">
      <c r="A143" s="248" t="s">
        <v>145</v>
      </c>
      <c r="B143" s="55" t="s">
        <v>323</v>
      </c>
      <c r="C143" s="134">
        <f>VLOOKUP(A143,'ESSA Title I-A Formula'!A151:G333,7,FALSE)</f>
        <v>0</v>
      </c>
      <c r="D143" s="134">
        <v>0</v>
      </c>
      <c r="E143" s="134">
        <v>0</v>
      </c>
      <c r="F143" s="134">
        <f>VLOOKUP(A143,'ESSA Title II-A Formula'!A151:G333,7,FALSE)</f>
        <v>0</v>
      </c>
      <c r="G143" s="134">
        <f>VLOOKUP(A143,'ESSA Title III-ELL '!A151:G335,7,FALSE)</f>
        <v>0</v>
      </c>
      <c r="H143" s="134">
        <v>0</v>
      </c>
      <c r="I143" s="134">
        <f>VLOOKUP(A143,'ESSA Title IV'!A151:G333,7,FALSE)</f>
        <v>0</v>
      </c>
      <c r="J143" s="134">
        <v>0</v>
      </c>
    </row>
    <row r="144" spans="1:10" ht="18.75" x14ac:dyDescent="0.3">
      <c r="A144" s="248" t="s">
        <v>146</v>
      </c>
      <c r="B144" s="55" t="s">
        <v>324</v>
      </c>
      <c r="C144" s="134">
        <f>VLOOKUP(A144,'ESSA Title I-A Formula'!A152:G334,7,FALSE)</f>
        <v>0</v>
      </c>
      <c r="D144" s="134">
        <v>0</v>
      </c>
      <c r="E144" s="134">
        <v>0</v>
      </c>
      <c r="F144" s="134">
        <f>VLOOKUP(A144,'ESSA Title II-A Formula'!A152:G334,7,FALSE)</f>
        <v>0</v>
      </c>
      <c r="G144" s="134">
        <f>VLOOKUP(A144,'ESSA Title III-ELL '!A152:G336,7,FALSE)</f>
        <v>0</v>
      </c>
      <c r="H144" s="134">
        <v>0</v>
      </c>
      <c r="I144" s="134">
        <f>VLOOKUP(A144,'ESSA Title IV'!A152:G334,7,FALSE)</f>
        <v>0</v>
      </c>
      <c r="J144" s="134">
        <v>0</v>
      </c>
    </row>
    <row r="145" spans="1:10" ht="18.75" x14ac:dyDescent="0.3">
      <c r="A145" s="248" t="s">
        <v>147</v>
      </c>
      <c r="B145" s="55" t="s">
        <v>325</v>
      </c>
      <c r="C145" s="134">
        <f>VLOOKUP(A145,'ESSA Title I-A Formula'!A153:G335,7,FALSE)</f>
        <v>0</v>
      </c>
      <c r="D145" s="134">
        <v>0</v>
      </c>
      <c r="E145" s="134">
        <v>0</v>
      </c>
      <c r="F145" s="134">
        <f>VLOOKUP(A145,'ESSA Title II-A Formula'!A153:G335,7,FALSE)</f>
        <v>0</v>
      </c>
      <c r="G145" s="134">
        <f>VLOOKUP(A145,'ESSA Title III-ELL '!A153:G337,7,FALSE)</f>
        <v>0</v>
      </c>
      <c r="H145" s="134">
        <v>0</v>
      </c>
      <c r="I145" s="134">
        <f>VLOOKUP(A145,'ESSA Title IV'!A153:G335,7,FALSE)</f>
        <v>0</v>
      </c>
      <c r="J145" s="134">
        <f>VLOOKUP(A145,'ESSA Title V-B'!$A$12:$G$31,7,FALSE)</f>
        <v>0</v>
      </c>
    </row>
    <row r="146" spans="1:10" ht="18.75" x14ac:dyDescent="0.3">
      <c r="A146" s="248" t="s">
        <v>148</v>
      </c>
      <c r="B146" s="55" t="s">
        <v>326</v>
      </c>
      <c r="C146" s="134">
        <f>VLOOKUP(A146,'ESSA Title I-A Formula'!A154:G336,7,FALSE)</f>
        <v>0</v>
      </c>
      <c r="D146" s="134">
        <v>0</v>
      </c>
      <c r="E146" s="134">
        <v>0</v>
      </c>
      <c r="F146" s="134">
        <f>VLOOKUP(A146,'ESSA Title II-A Formula'!A154:G336,7,FALSE)</f>
        <v>0</v>
      </c>
      <c r="G146" s="134">
        <f>VLOOKUP(A146,'ESSA Title III-ELL '!A154:G338,7,FALSE)</f>
        <v>0</v>
      </c>
      <c r="H146" s="134">
        <v>0</v>
      </c>
      <c r="I146" s="134">
        <f>VLOOKUP(A146,'ESSA Title IV'!A154:G336,7,FALSE)</f>
        <v>0</v>
      </c>
      <c r="J146" s="134">
        <v>0</v>
      </c>
    </row>
    <row r="147" spans="1:10" ht="18.75" x14ac:dyDescent="0.3">
      <c r="A147" s="248" t="s">
        <v>149</v>
      </c>
      <c r="B147" s="55" t="s">
        <v>327</v>
      </c>
      <c r="C147" s="134">
        <f>VLOOKUP(A147,'ESSA Title I-A Formula'!A155:G337,7,FALSE)</f>
        <v>0</v>
      </c>
      <c r="D147" s="134">
        <v>0</v>
      </c>
      <c r="E147" s="134">
        <v>0</v>
      </c>
      <c r="F147" s="134">
        <f>VLOOKUP(A147,'ESSA Title II-A Formula'!A155:G337,7,FALSE)</f>
        <v>112</v>
      </c>
      <c r="G147" s="134">
        <f>VLOOKUP(A147,'ESSA Title III-ELL '!A155:G339,7,FALSE)</f>
        <v>0</v>
      </c>
      <c r="H147" s="134">
        <v>0</v>
      </c>
      <c r="I147" s="134">
        <f>VLOOKUP(A147,'ESSA Title IV'!A155:G337,7,FALSE)</f>
        <v>0</v>
      </c>
      <c r="J147" s="134">
        <v>0</v>
      </c>
    </row>
    <row r="148" spans="1:10" ht="18.75" x14ac:dyDescent="0.3">
      <c r="A148" s="248" t="s">
        <v>150</v>
      </c>
      <c r="B148" s="55" t="s">
        <v>328</v>
      </c>
      <c r="C148" s="134">
        <f>VLOOKUP(A148,'ESSA Title I-A Formula'!A156:G338,7,FALSE)</f>
        <v>0</v>
      </c>
      <c r="D148" s="134">
        <v>0</v>
      </c>
      <c r="E148" s="134">
        <v>0</v>
      </c>
      <c r="F148" s="134">
        <f>VLOOKUP(A148,'ESSA Title II-A Formula'!A156:G338,7,FALSE)</f>
        <v>0</v>
      </c>
      <c r="G148" s="134">
        <f>VLOOKUP(A148,'ESSA Title III-ELL '!A156:G340,7,FALSE)</f>
        <v>0</v>
      </c>
      <c r="H148" s="134">
        <f>'ESSA Title III SAI'!G37</f>
        <v>0</v>
      </c>
      <c r="I148" s="134">
        <f>VLOOKUP(A148,'ESSA Title IV'!A156:G338,7,FALSE)</f>
        <v>0</v>
      </c>
      <c r="J148" s="134">
        <v>0</v>
      </c>
    </row>
    <row r="149" spans="1:10" ht="18.75" x14ac:dyDescent="0.3">
      <c r="A149" s="248" t="s">
        <v>151</v>
      </c>
      <c r="B149" s="55" t="s">
        <v>329</v>
      </c>
      <c r="C149" s="134">
        <f>VLOOKUP(A149,'ESSA Title I-A Formula'!A157:G339,7,FALSE)</f>
        <v>0</v>
      </c>
      <c r="D149" s="134">
        <v>0</v>
      </c>
      <c r="E149" s="134">
        <v>0</v>
      </c>
      <c r="F149" s="134">
        <f>VLOOKUP(A149,'ESSA Title II-A Formula'!A157:G339,7,FALSE)</f>
        <v>0</v>
      </c>
      <c r="G149" s="134">
        <f>VLOOKUP(A149,'ESSA Title III-ELL '!A157:G341,7,FALSE)</f>
        <v>0</v>
      </c>
      <c r="H149" s="134">
        <v>0</v>
      </c>
      <c r="I149" s="134">
        <f>VLOOKUP(A149,'ESSA Title IV'!A157:G339,7,FALSE)</f>
        <v>0</v>
      </c>
      <c r="J149" s="134">
        <v>0</v>
      </c>
    </row>
    <row r="150" spans="1:10" ht="18.75" x14ac:dyDescent="0.3">
      <c r="A150" s="248" t="s">
        <v>152</v>
      </c>
      <c r="B150" s="55" t="s">
        <v>330</v>
      </c>
      <c r="C150" s="134">
        <f>VLOOKUP(A150,'ESSA Title I-A Formula'!A158:G340,7,FALSE)</f>
        <v>0</v>
      </c>
      <c r="D150" s="134">
        <v>0</v>
      </c>
      <c r="E150" s="134">
        <v>0</v>
      </c>
      <c r="F150" s="134">
        <f>VLOOKUP(A150,'ESSA Title II-A Formula'!A158:G340,7,FALSE)</f>
        <v>0</v>
      </c>
      <c r="G150" s="134">
        <f>VLOOKUP(A150,'ESSA Title III-ELL '!A158:G342,7,FALSE)</f>
        <v>0</v>
      </c>
      <c r="H150" s="134">
        <v>0</v>
      </c>
      <c r="I150" s="134">
        <f>VLOOKUP(A150,'ESSA Title IV'!A158:G340,7,FALSE)</f>
        <v>0</v>
      </c>
      <c r="J150" s="134">
        <v>0</v>
      </c>
    </row>
    <row r="151" spans="1:10" ht="18.75" x14ac:dyDescent="0.3">
      <c r="A151" s="248" t="s">
        <v>153</v>
      </c>
      <c r="B151" s="55" t="s">
        <v>331</v>
      </c>
      <c r="C151" s="134">
        <f>VLOOKUP(A151,'ESSA Title I-A Formula'!A159:G341,7,FALSE)</f>
        <v>0</v>
      </c>
      <c r="D151" s="134">
        <v>0</v>
      </c>
      <c r="E151" s="134">
        <v>0</v>
      </c>
      <c r="F151" s="134">
        <f>VLOOKUP(A151,'ESSA Title II-A Formula'!A159:G341,7,FALSE)</f>
        <v>6056.57</v>
      </c>
      <c r="G151" s="134">
        <f>VLOOKUP(A151,'ESSA Title III-ELL '!A159:G343,7,FALSE)</f>
        <v>0</v>
      </c>
      <c r="H151" s="134">
        <v>0</v>
      </c>
      <c r="I151" s="134">
        <f>VLOOKUP(A151,'ESSA Title IV'!A159:G341,7,FALSE)</f>
        <v>0</v>
      </c>
      <c r="J151" s="134">
        <v>0</v>
      </c>
    </row>
    <row r="152" spans="1:10" ht="18.75" x14ac:dyDescent="0.3">
      <c r="A152" s="248" t="s">
        <v>154</v>
      </c>
      <c r="B152" s="55" t="s">
        <v>332</v>
      </c>
      <c r="C152" s="134">
        <f>VLOOKUP(A152,'ESSA Title I-A Formula'!A160:G342,7,FALSE)</f>
        <v>0</v>
      </c>
      <c r="D152" s="134">
        <v>0</v>
      </c>
      <c r="E152" s="134">
        <v>0</v>
      </c>
      <c r="F152" s="134">
        <f>VLOOKUP(A152,'ESSA Title II-A Formula'!A160:G342,7,FALSE)</f>
        <v>0</v>
      </c>
      <c r="G152" s="134">
        <f>VLOOKUP(A152,'ESSA Title III-ELL '!A160:G344,7,FALSE)</f>
        <v>0</v>
      </c>
      <c r="H152" s="134">
        <v>0</v>
      </c>
      <c r="I152" s="134">
        <f>VLOOKUP(A152,'ESSA Title IV'!A160:G342,7,FALSE)</f>
        <v>0</v>
      </c>
      <c r="J152" s="134">
        <f>VLOOKUP(A152,'ESSA Title V-B'!$A$12:$G$31,7,FALSE)</f>
        <v>0</v>
      </c>
    </row>
    <row r="153" spans="1:10" ht="18.75" x14ac:dyDescent="0.3">
      <c r="A153" s="248" t="s">
        <v>155</v>
      </c>
      <c r="B153" s="55" t="s">
        <v>333</v>
      </c>
      <c r="C153" s="134">
        <f>VLOOKUP(A153,'ESSA Title I-A Formula'!A161:G343,7,FALSE)</f>
        <v>0</v>
      </c>
      <c r="D153" s="134">
        <v>0</v>
      </c>
      <c r="E153" s="134">
        <v>0</v>
      </c>
      <c r="F153" s="134">
        <f>VLOOKUP(A153,'ESSA Title II-A Formula'!A161:G343,7,FALSE)</f>
        <v>0</v>
      </c>
      <c r="G153" s="134">
        <f>VLOOKUP(A153,'ESSA Title III-ELL '!A161:G345,7,FALSE)</f>
        <v>0</v>
      </c>
      <c r="H153" s="134">
        <f>'ESSA Title III SAI'!G39</f>
        <v>1617</v>
      </c>
      <c r="I153" s="134">
        <f>VLOOKUP(A153,'ESSA Title IV'!A161:G343,7,FALSE)</f>
        <v>0</v>
      </c>
      <c r="J153" s="134">
        <v>0</v>
      </c>
    </row>
    <row r="154" spans="1:10" ht="18.75" x14ac:dyDescent="0.3">
      <c r="A154" s="248" t="s">
        <v>156</v>
      </c>
      <c r="B154" s="55" t="s">
        <v>334</v>
      </c>
      <c r="C154" s="134">
        <f>VLOOKUP(A154,'ESSA Title I-A Formula'!A162:G344,7,FALSE)</f>
        <v>0</v>
      </c>
      <c r="D154" s="134">
        <v>0</v>
      </c>
      <c r="E154" s="134">
        <v>0</v>
      </c>
      <c r="F154" s="134">
        <f>VLOOKUP(A154,'ESSA Title II-A Formula'!A162:G344,7,FALSE)</f>
        <v>0</v>
      </c>
      <c r="G154" s="134">
        <f>VLOOKUP(A154,'ESSA Title III-ELL '!A162:G346,7,FALSE)</f>
        <v>0</v>
      </c>
      <c r="H154" s="134">
        <v>0</v>
      </c>
      <c r="I154" s="134">
        <f>VLOOKUP(A154,'ESSA Title IV'!A162:G344,7,FALSE)</f>
        <v>0</v>
      </c>
      <c r="J154" s="134">
        <v>0</v>
      </c>
    </row>
    <row r="155" spans="1:10" ht="18.75" x14ac:dyDescent="0.3">
      <c r="A155" s="248" t="s">
        <v>157</v>
      </c>
      <c r="B155" s="55" t="s">
        <v>335</v>
      </c>
      <c r="C155" s="134">
        <f>VLOOKUP(A155,'ESSA Title I-A Formula'!A163:G345,7,FALSE)</f>
        <v>0</v>
      </c>
      <c r="D155" s="134">
        <v>0</v>
      </c>
      <c r="E155" s="134">
        <v>0</v>
      </c>
      <c r="F155" s="134">
        <f>VLOOKUP(A155,'ESSA Title II-A Formula'!A163:G345,7,FALSE)</f>
        <v>3959</v>
      </c>
      <c r="G155" s="134">
        <f>VLOOKUP(A155,'ESSA Title III-ELL '!A163:G347,7,FALSE)</f>
        <v>0</v>
      </c>
      <c r="H155" s="134">
        <v>0</v>
      </c>
      <c r="I155" s="134">
        <f>VLOOKUP(A155,'ESSA Title IV'!A163:G345,7,FALSE)</f>
        <v>0</v>
      </c>
      <c r="J155" s="134">
        <v>0</v>
      </c>
    </row>
    <row r="156" spans="1:10" ht="18.75" x14ac:dyDescent="0.3">
      <c r="A156" s="248" t="s">
        <v>158</v>
      </c>
      <c r="B156" s="55" t="s">
        <v>336</v>
      </c>
      <c r="C156" s="134">
        <f>VLOOKUP(A156,'ESSA Title I-A Formula'!A164:G346,7,FALSE)</f>
        <v>0</v>
      </c>
      <c r="D156" s="134">
        <v>0</v>
      </c>
      <c r="E156" s="134">
        <v>0</v>
      </c>
      <c r="F156" s="134">
        <f>VLOOKUP(A156,'ESSA Title II-A Formula'!A164:G346,7,FALSE)</f>
        <v>0</v>
      </c>
      <c r="G156" s="134">
        <f>VLOOKUP(A156,'ESSA Title III-ELL '!A164:G348,7,FALSE)</f>
        <v>0</v>
      </c>
      <c r="H156" s="134">
        <v>0</v>
      </c>
      <c r="I156" s="134">
        <f>VLOOKUP(A156,'ESSA Title IV'!A164:G346,7,FALSE)</f>
        <v>0</v>
      </c>
      <c r="J156" s="134">
        <v>0</v>
      </c>
    </row>
    <row r="157" spans="1:10" ht="18.75" x14ac:dyDescent="0.3">
      <c r="A157" s="248" t="s">
        <v>159</v>
      </c>
      <c r="B157" s="55" t="s">
        <v>397</v>
      </c>
      <c r="C157" s="134">
        <f>VLOOKUP(A157,'ESSA Title I-A Formula'!A165:G347,7,FALSE)</f>
        <v>0</v>
      </c>
      <c r="D157" s="134">
        <v>0</v>
      </c>
      <c r="E157" s="134">
        <v>0</v>
      </c>
      <c r="F157" s="134">
        <f>VLOOKUP(A157,'ESSA Title II-A Formula'!A165:G347,7,FALSE)</f>
        <v>0</v>
      </c>
      <c r="G157" s="134">
        <f>VLOOKUP(A157,'ESSA Title III-ELL '!A165:G349,7,FALSE)</f>
        <v>0</v>
      </c>
      <c r="H157" s="134">
        <v>0</v>
      </c>
      <c r="I157" s="134">
        <f>VLOOKUP(A157,'ESSA Title IV'!A165:G347,7,FALSE)</f>
        <v>0</v>
      </c>
      <c r="J157" s="134">
        <v>0</v>
      </c>
    </row>
    <row r="158" spans="1:10" ht="18.75" x14ac:dyDescent="0.3">
      <c r="A158" s="248" t="s">
        <v>160</v>
      </c>
      <c r="B158" s="55" t="s">
        <v>337</v>
      </c>
      <c r="C158" s="134">
        <f>VLOOKUP(A158,'ESSA Title I-A Formula'!A166:G348,7,FALSE)</f>
        <v>0</v>
      </c>
      <c r="D158" s="134">
        <v>0</v>
      </c>
      <c r="E158" s="134">
        <v>0</v>
      </c>
      <c r="F158" s="134">
        <f>VLOOKUP(A158,'ESSA Title II-A Formula'!A166:G348,7,FALSE)</f>
        <v>0</v>
      </c>
      <c r="G158" s="134">
        <f>VLOOKUP(A158,'ESSA Title III-ELL '!A166:G350,7,FALSE)</f>
        <v>0</v>
      </c>
      <c r="H158" s="134">
        <f>'ESSA Title III SAI'!G40</f>
        <v>0</v>
      </c>
      <c r="I158" s="134">
        <f>VLOOKUP(A158,'ESSA Title IV'!A166:G348,7,FALSE)</f>
        <v>0</v>
      </c>
      <c r="J158" s="134">
        <v>0</v>
      </c>
    </row>
    <row r="159" spans="1:10" ht="18.75" x14ac:dyDescent="0.3">
      <c r="A159" s="248" t="s">
        <v>161</v>
      </c>
      <c r="B159" s="55" t="s">
        <v>338</v>
      </c>
      <c r="C159" s="134">
        <f>VLOOKUP(A159,'ESSA Title I-A Formula'!A167:G349,7,FALSE)</f>
        <v>0</v>
      </c>
      <c r="D159" s="134">
        <v>0</v>
      </c>
      <c r="E159" s="134">
        <v>0</v>
      </c>
      <c r="F159" s="134">
        <f>VLOOKUP(A159,'ESSA Title II-A Formula'!A167:G349,7,FALSE)</f>
        <v>0</v>
      </c>
      <c r="G159" s="134">
        <f>VLOOKUP(A159,'ESSA Title III-ELL '!A167:G351,7,FALSE)</f>
        <v>0</v>
      </c>
      <c r="H159" s="134">
        <v>0</v>
      </c>
      <c r="I159" s="134">
        <f>VLOOKUP(A159,'ESSA Title IV'!A167:G349,7,FALSE)</f>
        <v>1396.7899999999991</v>
      </c>
      <c r="J159" s="134">
        <v>0</v>
      </c>
    </row>
    <row r="160" spans="1:10" ht="18.75" x14ac:dyDescent="0.3">
      <c r="A160" s="248" t="s">
        <v>162</v>
      </c>
      <c r="B160" s="55" t="s">
        <v>339</v>
      </c>
      <c r="C160" s="134">
        <f>VLOOKUP(A160,'ESSA Title I-A Formula'!A168:G350,7,FALSE)</f>
        <v>0</v>
      </c>
      <c r="D160" s="134">
        <v>0</v>
      </c>
      <c r="E160" s="134">
        <v>0</v>
      </c>
      <c r="F160" s="134">
        <f>VLOOKUP(A160,'ESSA Title II-A Formula'!A168:G350,7,FALSE)</f>
        <v>0</v>
      </c>
      <c r="G160" s="134">
        <f>VLOOKUP(A160,'ESSA Title III-ELL '!A168:G352,7,FALSE)</f>
        <v>0</v>
      </c>
      <c r="H160" s="134">
        <v>0</v>
      </c>
      <c r="I160" s="134">
        <f>VLOOKUP(A160,'ESSA Title IV'!A168:G350,7,FALSE)</f>
        <v>0</v>
      </c>
      <c r="J160" s="134">
        <v>0</v>
      </c>
    </row>
    <row r="161" spans="1:10" ht="18.75" x14ac:dyDescent="0.3">
      <c r="A161" s="248" t="s">
        <v>163</v>
      </c>
      <c r="B161" s="55" t="s">
        <v>340</v>
      </c>
      <c r="C161" s="134">
        <f>VLOOKUP(A161,'ESSA Title I-A Formula'!A169:G351,7,FALSE)</f>
        <v>0</v>
      </c>
      <c r="D161" s="134">
        <v>0</v>
      </c>
      <c r="E161" s="134">
        <v>0</v>
      </c>
      <c r="F161" s="134">
        <f>VLOOKUP(A161,'ESSA Title II-A Formula'!A169:G351,7,FALSE)</f>
        <v>0</v>
      </c>
      <c r="G161" s="134">
        <f>VLOOKUP(A161,'ESSA Title III-ELL '!A169:G353,7,FALSE)</f>
        <v>0</v>
      </c>
      <c r="H161" s="134">
        <v>0</v>
      </c>
      <c r="I161" s="134">
        <f>VLOOKUP(A161,'ESSA Title IV'!A169:G351,7,FALSE)</f>
        <v>0</v>
      </c>
      <c r="J161" s="134">
        <v>0</v>
      </c>
    </row>
    <row r="162" spans="1:10" ht="18.75" x14ac:dyDescent="0.3">
      <c r="A162" s="248" t="s">
        <v>164</v>
      </c>
      <c r="B162" s="55" t="s">
        <v>341</v>
      </c>
      <c r="C162" s="134">
        <f>VLOOKUP(A162,'ESSA Title I-A Formula'!A170:G352,7,FALSE)</f>
        <v>0</v>
      </c>
      <c r="D162" s="134">
        <v>0</v>
      </c>
      <c r="E162" s="134">
        <v>0</v>
      </c>
      <c r="F162" s="134">
        <f>VLOOKUP(A162,'ESSA Title II-A Formula'!A170:G352,7,FALSE)</f>
        <v>0</v>
      </c>
      <c r="G162" s="134">
        <f>VLOOKUP(A162,'ESSA Title III-ELL '!A170:G354,7,FALSE)</f>
        <v>0</v>
      </c>
      <c r="H162" s="134">
        <v>0</v>
      </c>
      <c r="I162" s="134">
        <f>VLOOKUP(A162,'ESSA Title IV'!A170:G352,7,FALSE)</f>
        <v>0</v>
      </c>
      <c r="J162" s="134">
        <v>0</v>
      </c>
    </row>
    <row r="163" spans="1:10" ht="18.75" x14ac:dyDescent="0.3">
      <c r="A163" s="248" t="s">
        <v>165</v>
      </c>
      <c r="B163" s="55" t="s">
        <v>342</v>
      </c>
      <c r="C163" s="134">
        <f>VLOOKUP(A163,'ESSA Title I-A Formula'!A171:G353,7,FALSE)</f>
        <v>0</v>
      </c>
      <c r="D163" s="134">
        <v>0</v>
      </c>
      <c r="E163" s="134">
        <v>0</v>
      </c>
      <c r="F163" s="134">
        <f>VLOOKUP(A163,'ESSA Title II-A Formula'!A171:G353,7,FALSE)</f>
        <v>0</v>
      </c>
      <c r="G163" s="134">
        <f>VLOOKUP(A163,'ESSA Title III-ELL '!A171:G355,7,FALSE)</f>
        <v>0</v>
      </c>
      <c r="H163" s="134">
        <v>0</v>
      </c>
      <c r="I163" s="134">
        <f>VLOOKUP(A163,'ESSA Title IV'!A171:G353,7,FALSE)</f>
        <v>0</v>
      </c>
      <c r="J163" s="134">
        <v>0</v>
      </c>
    </row>
    <row r="164" spans="1:10" ht="18.75" x14ac:dyDescent="0.3">
      <c r="A164" s="248" t="s">
        <v>166</v>
      </c>
      <c r="B164" s="55" t="s">
        <v>343</v>
      </c>
      <c r="C164" s="134">
        <f>VLOOKUP(A164,'ESSA Title I-A Formula'!A172:G354,7,FALSE)</f>
        <v>0</v>
      </c>
      <c r="D164" s="134">
        <v>0</v>
      </c>
      <c r="E164" s="134">
        <v>0</v>
      </c>
      <c r="F164" s="134">
        <f>VLOOKUP(A164,'ESSA Title II-A Formula'!A172:G354,7,FALSE)</f>
        <v>0</v>
      </c>
      <c r="G164" s="134">
        <f>VLOOKUP(A164,'ESSA Title III-ELL '!A172:G356,7,FALSE)</f>
        <v>0</v>
      </c>
      <c r="H164" s="134">
        <v>0</v>
      </c>
      <c r="I164" s="134">
        <f>VLOOKUP(A164,'ESSA Title IV'!A172:G354,7,FALSE)</f>
        <v>0</v>
      </c>
      <c r="J164" s="134">
        <v>0</v>
      </c>
    </row>
    <row r="165" spans="1:10" ht="18.75" x14ac:dyDescent="0.3">
      <c r="A165" s="248" t="s">
        <v>167</v>
      </c>
      <c r="B165" s="55" t="s">
        <v>344</v>
      </c>
      <c r="C165" s="134">
        <f>VLOOKUP(A165,'ESSA Title I-A Formula'!A173:G355,7,FALSE)</f>
        <v>0</v>
      </c>
      <c r="D165" s="134">
        <v>0</v>
      </c>
      <c r="E165" s="134">
        <v>0</v>
      </c>
      <c r="F165" s="134">
        <f>VLOOKUP(A165,'ESSA Title II-A Formula'!A173:G355,7,FALSE)</f>
        <v>0</v>
      </c>
      <c r="G165" s="134">
        <f>VLOOKUP(A165,'ESSA Title III-ELL '!A173:G357,7,FALSE)</f>
        <v>0</v>
      </c>
      <c r="H165" s="134">
        <v>0</v>
      </c>
      <c r="I165" s="134">
        <f>VLOOKUP(A165,'ESSA Title IV'!A173:G355,7,FALSE)</f>
        <v>0</v>
      </c>
      <c r="J165" s="134">
        <v>0</v>
      </c>
    </row>
    <row r="166" spans="1:10" ht="18.75" x14ac:dyDescent="0.3">
      <c r="A166" s="248" t="s">
        <v>168</v>
      </c>
      <c r="B166" s="55" t="s">
        <v>345</v>
      </c>
      <c r="C166" s="134">
        <f>VLOOKUP(A166,'ESSA Title I-A Formula'!A174:G356,7,FALSE)</f>
        <v>0</v>
      </c>
      <c r="D166" s="134">
        <v>0</v>
      </c>
      <c r="E166" s="134">
        <v>0</v>
      </c>
      <c r="F166" s="134">
        <f>VLOOKUP(A166,'ESSA Title II-A Formula'!A174:G356,7,FALSE)</f>
        <v>0</v>
      </c>
      <c r="G166" s="134">
        <f>VLOOKUP(A166,'ESSA Title III-ELL '!A174:G358,7,FALSE)</f>
        <v>0</v>
      </c>
      <c r="H166" s="134">
        <v>0</v>
      </c>
      <c r="I166" s="134">
        <f>VLOOKUP(A166,'ESSA Title IV'!A174:G356,7,FALSE)</f>
        <v>0</v>
      </c>
      <c r="J166" s="134">
        <v>0</v>
      </c>
    </row>
    <row r="167" spans="1:10" ht="18.75" x14ac:dyDescent="0.3">
      <c r="A167" s="248" t="s">
        <v>169</v>
      </c>
      <c r="B167" s="55" t="s">
        <v>346</v>
      </c>
      <c r="C167" s="134">
        <f>VLOOKUP(A167,'ESSA Title I-A Formula'!A175:G357,7,FALSE)</f>
        <v>0</v>
      </c>
      <c r="D167" s="134">
        <v>0</v>
      </c>
      <c r="E167" s="134">
        <v>0</v>
      </c>
      <c r="F167" s="134">
        <f>VLOOKUP(A167,'ESSA Title II-A Formula'!A175:G357,7,FALSE)</f>
        <v>0</v>
      </c>
      <c r="G167" s="134">
        <f>VLOOKUP(A167,'ESSA Title III-ELL '!A175:G359,7,FALSE)</f>
        <v>0</v>
      </c>
      <c r="H167" s="134">
        <v>0</v>
      </c>
      <c r="I167" s="134">
        <f>VLOOKUP(A167,'ESSA Title IV'!A175:G357,7,FALSE)</f>
        <v>0</v>
      </c>
      <c r="J167" s="134">
        <v>0</v>
      </c>
    </row>
    <row r="168" spans="1:10" ht="18.75" x14ac:dyDescent="0.3">
      <c r="A168" s="248" t="s">
        <v>170</v>
      </c>
      <c r="B168" s="55" t="s">
        <v>398</v>
      </c>
      <c r="C168" s="134">
        <f>VLOOKUP(A168,'ESSA Title I-A Formula'!A176:G358,7,FALSE)</f>
        <v>0</v>
      </c>
      <c r="D168" s="134">
        <v>0</v>
      </c>
      <c r="E168" s="134">
        <v>0</v>
      </c>
      <c r="F168" s="134">
        <f>VLOOKUP(A168,'ESSA Title II-A Formula'!A176:G358,7,FALSE)</f>
        <v>0</v>
      </c>
      <c r="G168" s="134">
        <f>VLOOKUP(A168,'ESSA Title III-ELL '!A176:G360,7,FALSE)</f>
        <v>0</v>
      </c>
      <c r="H168" s="134">
        <f>'ESSA Title III SAI'!G41</f>
        <v>0</v>
      </c>
      <c r="I168" s="134">
        <f>VLOOKUP(A168,'ESSA Title IV'!A176:G358,7,FALSE)</f>
        <v>0</v>
      </c>
      <c r="J168" s="134">
        <v>0</v>
      </c>
    </row>
    <row r="169" spans="1:10" ht="18.75" x14ac:dyDescent="0.3">
      <c r="A169" s="248" t="s">
        <v>171</v>
      </c>
      <c r="B169" s="55" t="s">
        <v>347</v>
      </c>
      <c r="C169" s="134">
        <f>VLOOKUP(A169,'ESSA Title I-A Formula'!A177:G359,7,FALSE)</f>
        <v>-2.0000000018626451E-2</v>
      </c>
      <c r="D169" s="134">
        <v>0</v>
      </c>
      <c r="E169" s="134">
        <v>0</v>
      </c>
      <c r="F169" s="134">
        <f>VLOOKUP(A169,'ESSA Title II-A Formula'!A177:G359,7,FALSE)</f>
        <v>0</v>
      </c>
      <c r="G169" s="134">
        <f>VLOOKUP(A169,'ESSA Title III-ELL '!A177:G361,7,FALSE)</f>
        <v>0</v>
      </c>
      <c r="H169" s="134">
        <v>0</v>
      </c>
      <c r="I169" s="134">
        <f>VLOOKUP(A169,'ESSA Title IV'!A177:G359,7,FALSE)</f>
        <v>0</v>
      </c>
      <c r="J169" s="134">
        <v>0</v>
      </c>
    </row>
    <row r="170" spans="1:10" ht="18.75" x14ac:dyDescent="0.3">
      <c r="A170" s="248" t="s">
        <v>172</v>
      </c>
      <c r="B170" s="55" t="s">
        <v>348</v>
      </c>
      <c r="C170" s="134">
        <f>VLOOKUP(A170,'ESSA Title I-A Formula'!A178:G360,7,FALSE)</f>
        <v>0</v>
      </c>
      <c r="D170" s="134">
        <v>0</v>
      </c>
      <c r="E170" s="134">
        <v>0</v>
      </c>
      <c r="F170" s="134">
        <f>VLOOKUP(A170,'ESSA Title II-A Formula'!A178:G360,7,FALSE)</f>
        <v>0</v>
      </c>
      <c r="G170" s="134">
        <f>VLOOKUP(A170,'ESSA Title III-ELL '!A178:G362,7,FALSE)</f>
        <v>0</v>
      </c>
      <c r="H170" s="134">
        <v>0</v>
      </c>
      <c r="I170" s="134">
        <f>VLOOKUP(A170,'ESSA Title IV'!A178:G360,7,FALSE)</f>
        <v>0</v>
      </c>
      <c r="J170" s="134">
        <v>0</v>
      </c>
    </row>
    <row r="171" spans="1:10" ht="18.75" x14ac:dyDescent="0.3">
      <c r="A171" s="248" t="s">
        <v>173</v>
      </c>
      <c r="B171" s="55" t="s">
        <v>349</v>
      </c>
      <c r="C171" s="134">
        <f>VLOOKUP(A171,'ESSA Title I-A Formula'!A179:G361,7,FALSE)</f>
        <v>0</v>
      </c>
      <c r="D171" s="134">
        <f>'ESSA Title I-Delinquent'!G19</f>
        <v>0</v>
      </c>
      <c r="E171" s="134">
        <v>0</v>
      </c>
      <c r="F171" s="134">
        <f>VLOOKUP(A171,'ESSA Title II-A Formula'!A179:G361,7,FALSE)</f>
        <v>0</v>
      </c>
      <c r="G171" s="134">
        <f>VLOOKUP(A171,'ESSA Title III-ELL '!A179:G363,7,FALSE)</f>
        <v>0</v>
      </c>
      <c r="H171" s="134">
        <v>0</v>
      </c>
      <c r="I171" s="134">
        <f>VLOOKUP(A171,'ESSA Title IV'!A179:G361,7,FALSE)</f>
        <v>0</v>
      </c>
      <c r="J171" s="134">
        <v>0</v>
      </c>
    </row>
    <row r="172" spans="1:10" ht="18.75" x14ac:dyDescent="0.3">
      <c r="A172" s="248" t="s">
        <v>174</v>
      </c>
      <c r="B172" s="55" t="s">
        <v>350</v>
      </c>
      <c r="C172" s="134">
        <f>VLOOKUP(A172,'ESSA Title I-A Formula'!A180:G362,7,FALSE)</f>
        <v>0</v>
      </c>
      <c r="D172" s="134">
        <v>0</v>
      </c>
      <c r="E172" s="134">
        <v>0</v>
      </c>
      <c r="F172" s="134">
        <f>VLOOKUP(A172,'ESSA Title II-A Formula'!A180:G362,7,FALSE)</f>
        <v>0</v>
      </c>
      <c r="G172" s="134">
        <f>VLOOKUP(A172,'ESSA Title III-ELL '!A180:G364,7,FALSE)</f>
        <v>0</v>
      </c>
      <c r="H172" s="134">
        <v>0</v>
      </c>
      <c r="I172" s="134">
        <f>VLOOKUP(A172,'ESSA Title IV'!A180:G362,7,FALSE)</f>
        <v>0</v>
      </c>
      <c r="J172" s="134">
        <v>0</v>
      </c>
    </row>
    <row r="173" spans="1:10" ht="18.75" x14ac:dyDescent="0.3">
      <c r="A173" s="248" t="s">
        <v>175</v>
      </c>
      <c r="B173" s="55" t="s">
        <v>351</v>
      </c>
      <c r="C173" s="134">
        <f>VLOOKUP(A173,'ESSA Title I-A Formula'!A181:G363,7,FALSE)</f>
        <v>0</v>
      </c>
      <c r="D173" s="134">
        <v>0</v>
      </c>
      <c r="E173" s="134">
        <v>0</v>
      </c>
      <c r="F173" s="134">
        <f>VLOOKUP(A173,'ESSA Title II-A Formula'!A181:G363,7,FALSE)</f>
        <v>0</v>
      </c>
      <c r="G173" s="134">
        <f>VLOOKUP(A173,'ESSA Title III-ELL '!A181:G365,7,FALSE)</f>
        <v>0</v>
      </c>
      <c r="H173" s="134">
        <f>'ESSA Title III SAI'!G43</f>
        <v>229.6</v>
      </c>
      <c r="I173" s="134">
        <f>VLOOKUP(A173,'ESSA Title IV'!A181:G363,7,FALSE)</f>
        <v>1554.2299999999996</v>
      </c>
      <c r="J173" s="134">
        <v>0</v>
      </c>
    </row>
    <row r="174" spans="1:10" ht="18.75" x14ac:dyDescent="0.3">
      <c r="A174" s="248" t="s">
        <v>176</v>
      </c>
      <c r="B174" s="55" t="s">
        <v>352</v>
      </c>
      <c r="C174" s="134">
        <f>VLOOKUP(A174,'ESSA Title I-A Formula'!A182:G364,7,FALSE)</f>
        <v>0</v>
      </c>
      <c r="D174" s="134">
        <v>0</v>
      </c>
      <c r="E174" s="134">
        <v>0</v>
      </c>
      <c r="F174" s="134">
        <f>VLOOKUP(A174,'ESSA Title II-A Formula'!A182:G364,7,FALSE)</f>
        <v>0</v>
      </c>
      <c r="G174" s="134">
        <f>VLOOKUP(A174,'ESSA Title III-ELL '!A182:G366,7,FALSE)</f>
        <v>0</v>
      </c>
      <c r="H174" s="134">
        <v>0</v>
      </c>
      <c r="I174" s="134">
        <f>VLOOKUP(A174,'ESSA Title IV'!A182:G364,7,FALSE)</f>
        <v>0</v>
      </c>
      <c r="J174" s="134">
        <v>0</v>
      </c>
    </row>
    <row r="175" spans="1:10" ht="18.75" x14ac:dyDescent="0.3">
      <c r="A175" s="248" t="s">
        <v>177</v>
      </c>
      <c r="B175" s="55" t="s">
        <v>353</v>
      </c>
      <c r="C175" s="134">
        <f>VLOOKUP(A175,'ESSA Title I-A Formula'!A183:G365,7,FALSE)</f>
        <v>0</v>
      </c>
      <c r="D175" s="134">
        <v>0</v>
      </c>
      <c r="E175" s="134">
        <v>0</v>
      </c>
      <c r="F175" s="134">
        <f>VLOOKUP(A175,'ESSA Title II-A Formula'!A183:G365,7,FALSE)</f>
        <v>0</v>
      </c>
      <c r="G175" s="134">
        <f>VLOOKUP(A175,'ESSA Title III-ELL '!A183:G367,7,FALSE)</f>
        <v>0</v>
      </c>
      <c r="H175" s="134">
        <v>0</v>
      </c>
      <c r="I175" s="134">
        <f>VLOOKUP(A175,'ESSA Title IV'!A183:G365,7,FALSE)</f>
        <v>0</v>
      </c>
      <c r="J175" s="134">
        <v>0</v>
      </c>
    </row>
    <row r="176" spans="1:10" ht="18.75" x14ac:dyDescent="0.3">
      <c r="A176" s="248" t="s">
        <v>178</v>
      </c>
      <c r="B176" s="55" t="s">
        <v>354</v>
      </c>
      <c r="C176" s="134">
        <f>VLOOKUP(A176,'ESSA Title I-A Formula'!A184:G366,7,FALSE)</f>
        <v>0</v>
      </c>
      <c r="D176" s="134">
        <v>0</v>
      </c>
      <c r="E176" s="134">
        <v>0</v>
      </c>
      <c r="F176" s="134">
        <f>VLOOKUP(A176,'ESSA Title II-A Formula'!A184:G366,7,FALSE)</f>
        <v>0</v>
      </c>
      <c r="G176" s="134">
        <f>VLOOKUP(A176,'ESSA Title III-ELL '!A184:G368,7,FALSE)</f>
        <v>0</v>
      </c>
      <c r="H176" s="134">
        <v>0</v>
      </c>
      <c r="I176" s="134">
        <f>VLOOKUP(A176,'ESSA Title IV'!A184:G366,7,FALSE)</f>
        <v>0</v>
      </c>
      <c r="J176" s="134">
        <v>0</v>
      </c>
    </row>
    <row r="177" spans="1:10" ht="18.75" x14ac:dyDescent="0.3">
      <c r="A177" s="248" t="s">
        <v>179</v>
      </c>
      <c r="B177" s="55" t="s">
        <v>355</v>
      </c>
      <c r="C177" s="134">
        <f>VLOOKUP(A177,'ESSA Title I-A Formula'!A185:G367,7,FALSE)</f>
        <v>0</v>
      </c>
      <c r="D177" s="134">
        <v>0</v>
      </c>
      <c r="E177" s="134">
        <v>0</v>
      </c>
      <c r="F177" s="134">
        <f>VLOOKUP(A177,'ESSA Title II-A Formula'!A185:G367,7,FALSE)</f>
        <v>0</v>
      </c>
      <c r="G177" s="134">
        <f>VLOOKUP(A177,'ESSA Title III-ELL '!A185:G369,7,FALSE)</f>
        <v>0</v>
      </c>
      <c r="H177" s="134">
        <v>0</v>
      </c>
      <c r="I177" s="134">
        <f>VLOOKUP(A177,'ESSA Title IV'!A185:G367,7,FALSE)</f>
        <v>0</v>
      </c>
      <c r="J177" s="134">
        <v>0</v>
      </c>
    </row>
    <row r="178" spans="1:10" ht="18.75" x14ac:dyDescent="0.3">
      <c r="A178" s="248" t="s">
        <v>180</v>
      </c>
      <c r="B178" s="55" t="s">
        <v>356</v>
      </c>
      <c r="C178" s="134">
        <f>VLOOKUP(A178,'ESSA Title I-A Formula'!A186:G368,7,FALSE)</f>
        <v>0</v>
      </c>
      <c r="D178" s="134">
        <v>0</v>
      </c>
      <c r="E178" s="134">
        <v>0</v>
      </c>
      <c r="F178" s="134">
        <f>VLOOKUP(A178,'ESSA Title II-A Formula'!A186:G368,7,FALSE)</f>
        <v>0</v>
      </c>
      <c r="G178" s="134">
        <f>VLOOKUP(A178,'ESSA Title III-ELL '!A186:G370,7,FALSE)</f>
        <v>0</v>
      </c>
      <c r="H178" s="134">
        <f>'ESSA Title III SAI'!G44</f>
        <v>0</v>
      </c>
      <c r="I178" s="134">
        <f>VLOOKUP(A178,'ESSA Title IV'!A186:G368,7,FALSE)</f>
        <v>0</v>
      </c>
      <c r="J178" s="134">
        <v>0</v>
      </c>
    </row>
    <row r="179" spans="1:10" ht="18.75" x14ac:dyDescent="0.3">
      <c r="A179" s="248" t="s">
        <v>181</v>
      </c>
      <c r="B179" s="55" t="s">
        <v>357</v>
      </c>
      <c r="C179" s="134">
        <f>VLOOKUP(A179,'ESSA Title I-A Formula'!A187:G369,7,FALSE)</f>
        <v>0</v>
      </c>
      <c r="D179" s="134">
        <v>0</v>
      </c>
      <c r="E179" s="134">
        <v>0</v>
      </c>
      <c r="F179" s="134">
        <f>VLOOKUP(A179,'ESSA Title II-A Formula'!A187:G369,7,FALSE)</f>
        <v>0</v>
      </c>
      <c r="G179" s="134">
        <f>VLOOKUP(A179,'ESSA Title III-ELL '!A187:G371,7,FALSE)</f>
        <v>0</v>
      </c>
      <c r="H179" s="134">
        <f>'ESSA Title III SAI'!G45</f>
        <v>0</v>
      </c>
      <c r="I179" s="134">
        <f>VLOOKUP(A179,'ESSA Title IV'!A187:G369,7,FALSE)</f>
        <v>0</v>
      </c>
      <c r="J179" s="134">
        <v>0</v>
      </c>
    </row>
    <row r="180" spans="1:10" ht="18.75" x14ac:dyDescent="0.3">
      <c r="A180" s="248" t="s">
        <v>182</v>
      </c>
      <c r="B180" s="55" t="s">
        <v>358</v>
      </c>
      <c r="C180" s="134">
        <f>VLOOKUP(A180,'ESSA Title I-A Formula'!A188:G370,7,FALSE)</f>
        <v>0</v>
      </c>
      <c r="D180" s="134">
        <v>0</v>
      </c>
      <c r="E180" s="134">
        <v>0</v>
      </c>
      <c r="F180" s="134">
        <f>VLOOKUP(A180,'ESSA Title II-A Formula'!A188:G370,7,FALSE)</f>
        <v>0</v>
      </c>
      <c r="G180" s="134">
        <f>VLOOKUP(A180,'ESSA Title III-ELL '!A188:G372,7,FALSE)</f>
        <v>0</v>
      </c>
      <c r="H180" s="134">
        <v>0</v>
      </c>
      <c r="I180" s="134">
        <f>VLOOKUP(A180,'ESSA Title IV'!A188:G370,7,FALSE)</f>
        <v>0</v>
      </c>
      <c r="J180" s="134">
        <v>0</v>
      </c>
    </row>
    <row r="181" spans="1:10" ht="18.75" x14ac:dyDescent="0.3">
      <c r="A181" s="248" t="s">
        <v>183</v>
      </c>
      <c r="B181" s="55" t="s">
        <v>359</v>
      </c>
      <c r="C181" s="134">
        <f>VLOOKUP(A181,'ESSA Title I-A Formula'!A189:G371,7,FALSE)</f>
        <v>0</v>
      </c>
      <c r="D181" s="134">
        <v>0</v>
      </c>
      <c r="E181" s="134">
        <v>0</v>
      </c>
      <c r="F181" s="134">
        <f>VLOOKUP(A181,'ESSA Title II-A Formula'!A189:G371,7,FALSE)</f>
        <v>0</v>
      </c>
      <c r="G181" s="134">
        <f>VLOOKUP(A181,'ESSA Title III-ELL '!A189:G373,7,FALSE)</f>
        <v>0</v>
      </c>
      <c r="H181" s="134">
        <v>0</v>
      </c>
      <c r="I181" s="134">
        <f>VLOOKUP(A181,'ESSA Title IV'!A189:G371,7,FALSE)</f>
        <v>0</v>
      </c>
      <c r="J181" s="134">
        <v>0</v>
      </c>
    </row>
    <row r="182" spans="1:10" ht="18.75" x14ac:dyDescent="0.3">
      <c r="A182" s="249" t="s">
        <v>402</v>
      </c>
      <c r="B182" s="55" t="s">
        <v>360</v>
      </c>
      <c r="C182" s="134">
        <f>VLOOKUP(A182,'ESSA Title I-A Formula'!A190:G372,7,FALSE)</f>
        <v>0</v>
      </c>
      <c r="D182" s="134">
        <v>0</v>
      </c>
      <c r="E182" s="134">
        <v>0</v>
      </c>
      <c r="F182" s="134">
        <f>VLOOKUP(A182,'ESSA Title II-A Formula'!A190:G372,7,FALSE)</f>
        <v>0</v>
      </c>
      <c r="G182" s="134">
        <f>VLOOKUP(A182,'ESSA Title III-ELL '!A190:G374,7,FALSE)</f>
        <v>0</v>
      </c>
      <c r="H182" s="134">
        <v>0</v>
      </c>
      <c r="I182" s="134">
        <f>VLOOKUP(A182,'ESSA Title IV'!A190:G372,7,FALSE)</f>
        <v>0</v>
      </c>
      <c r="J182" s="134">
        <v>0</v>
      </c>
    </row>
    <row r="183" spans="1:10" ht="18.75" x14ac:dyDescent="0.3">
      <c r="A183" s="248" t="s">
        <v>362</v>
      </c>
      <c r="B183" s="55" t="s">
        <v>361</v>
      </c>
      <c r="C183" s="134">
        <f>VLOOKUP(A183,'ESSA Title I-A Formula'!A191:G373,7,FALSE)</f>
        <v>0</v>
      </c>
      <c r="D183" s="134">
        <v>0</v>
      </c>
      <c r="E183" s="134">
        <v>0</v>
      </c>
      <c r="F183" s="134">
        <f>VLOOKUP(A183,'ESSA Title II-A Formula'!A191:G373,7,FALSE)</f>
        <v>1880</v>
      </c>
      <c r="G183" s="134">
        <v>0</v>
      </c>
      <c r="H183" s="134">
        <v>0</v>
      </c>
      <c r="I183" s="134">
        <f>VLOOKUP(A183,'ESSA Title IV'!A191:G373,7,FALSE)</f>
        <v>0</v>
      </c>
      <c r="J183" s="134">
        <v>0</v>
      </c>
    </row>
    <row r="184" spans="1:10" ht="18.75" x14ac:dyDescent="0.3">
      <c r="A184" s="250" t="s">
        <v>370</v>
      </c>
      <c r="B184" s="56" t="s">
        <v>374</v>
      </c>
      <c r="C184" s="134">
        <f>VLOOKUP(A184,'ESSA Title I-A Formula'!A192:G374,7,FALSE)</f>
        <v>0</v>
      </c>
      <c r="D184" s="134">
        <v>0</v>
      </c>
      <c r="E184" s="134">
        <v>0</v>
      </c>
      <c r="F184" s="134">
        <f>VLOOKUP(A184,'ESSA Title II-A Formula'!A192:G374,7,FALSE)</f>
        <v>0</v>
      </c>
      <c r="G184" s="134">
        <f>'ESSA Title III-ELL '!G191</f>
        <v>0</v>
      </c>
      <c r="H184" s="134">
        <f>'ESSA Title III SAI'!G46</f>
        <v>0</v>
      </c>
      <c r="I184" s="134">
        <f>VLOOKUP(A184,'ESSA Title IV'!A192:G374,7,FALSE)</f>
        <v>0</v>
      </c>
      <c r="J184" s="134">
        <v>0</v>
      </c>
    </row>
    <row r="185" spans="1:10" ht="18.75" x14ac:dyDescent="0.3">
      <c r="A185" s="250" t="s">
        <v>371</v>
      </c>
      <c r="B185" s="56" t="s">
        <v>375</v>
      </c>
      <c r="C185" s="134">
        <f>VLOOKUP(A185,'ESSA Title I-A Formula'!A193:G375,7,FALSE)</f>
        <v>0</v>
      </c>
      <c r="D185" s="134">
        <v>0</v>
      </c>
      <c r="E185" s="134">
        <v>0</v>
      </c>
      <c r="F185" s="134">
        <f>VLOOKUP(A185,'ESSA Title II-A Formula'!A193:G375,7,FALSE)</f>
        <v>0</v>
      </c>
      <c r="G185" s="134">
        <f>'ESSA Title III-ELL '!G192</f>
        <v>3548</v>
      </c>
      <c r="H185" s="134">
        <f>'ESSA Title III SAI'!G47</f>
        <v>0</v>
      </c>
      <c r="I185" s="134">
        <f>VLOOKUP(A185,'ESSA Title IV'!A193:G375,7,FALSE)</f>
        <v>20493</v>
      </c>
      <c r="J185" s="134">
        <v>0</v>
      </c>
    </row>
    <row r="186" spans="1:10" ht="18.75" x14ac:dyDescent="0.3">
      <c r="A186" s="250" t="s">
        <v>372</v>
      </c>
      <c r="B186" s="57" t="s">
        <v>376</v>
      </c>
      <c r="C186" s="134">
        <f>VLOOKUP(A186,'ESSA Title I-A Formula'!A194:G376,7,FALSE)</f>
        <v>0</v>
      </c>
      <c r="D186" s="134">
        <v>0</v>
      </c>
      <c r="E186" s="134">
        <v>0</v>
      </c>
      <c r="F186" s="134">
        <f>VLOOKUP(A186,'ESSA Title II-A Formula'!A194:G376,7,FALSE)</f>
        <v>0</v>
      </c>
      <c r="G186" s="134">
        <f>'ESSA Title III-ELL '!G193</f>
        <v>0</v>
      </c>
      <c r="H186" s="134">
        <v>0</v>
      </c>
      <c r="I186" s="134">
        <f>VLOOKUP(A186,'ESSA Title IV'!A194:G376,7,FALSE)</f>
        <v>0</v>
      </c>
      <c r="J186" s="134">
        <v>0</v>
      </c>
    </row>
    <row r="187" spans="1:10" ht="18.75" x14ac:dyDescent="0.3">
      <c r="A187" s="250" t="s">
        <v>403</v>
      </c>
      <c r="B187" s="57" t="s">
        <v>388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</row>
    <row r="188" spans="1:10" ht="18.75" x14ac:dyDescent="0.3">
      <c r="A188" s="250" t="s">
        <v>400</v>
      </c>
      <c r="B188" s="57" t="s">
        <v>389</v>
      </c>
      <c r="C188" s="134">
        <v>0</v>
      </c>
      <c r="D188" s="134">
        <v>0</v>
      </c>
      <c r="E188" s="134">
        <v>0</v>
      </c>
      <c r="F188" s="134">
        <v>0</v>
      </c>
      <c r="G188" s="134">
        <f>'ESSA Title III-ELL '!G194</f>
        <v>2127.0200000000004</v>
      </c>
      <c r="H188" s="134">
        <v>0</v>
      </c>
      <c r="I188" s="134">
        <v>0</v>
      </c>
      <c r="J188" s="134">
        <v>0</v>
      </c>
    </row>
    <row r="189" spans="1:10" ht="18.75" x14ac:dyDescent="0.3">
      <c r="A189" s="250" t="s">
        <v>399</v>
      </c>
      <c r="B189" s="57" t="s">
        <v>390</v>
      </c>
      <c r="C189" s="134">
        <v>0</v>
      </c>
      <c r="D189" s="134">
        <v>0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</row>
    <row r="190" spans="1:10" ht="18.75" x14ac:dyDescent="0.3">
      <c r="A190" s="250" t="s">
        <v>401</v>
      </c>
      <c r="B190" s="57" t="s">
        <v>391</v>
      </c>
      <c r="C190" s="134">
        <v>0</v>
      </c>
      <c r="D190" s="134">
        <v>0</v>
      </c>
      <c r="E190" s="134">
        <v>0</v>
      </c>
      <c r="F190" s="134">
        <v>0</v>
      </c>
      <c r="G190" s="134">
        <f>'ESSA Title III-ELL '!G195</f>
        <v>19515</v>
      </c>
      <c r="H190" s="134">
        <v>0</v>
      </c>
      <c r="I190" s="134">
        <v>0</v>
      </c>
      <c r="J190" s="134">
        <v>0</v>
      </c>
    </row>
    <row r="191" spans="1:10" ht="18.75" x14ac:dyDescent="0.3">
      <c r="A191" s="250" t="s">
        <v>373</v>
      </c>
      <c r="B191" s="57" t="s">
        <v>377</v>
      </c>
      <c r="C191" s="134">
        <v>0</v>
      </c>
      <c r="D191" s="134">
        <v>0</v>
      </c>
      <c r="E191" s="134">
        <v>0</v>
      </c>
      <c r="F191" s="134">
        <v>0</v>
      </c>
      <c r="G191" s="134">
        <f>'ESSA Title III-ELL '!G196</f>
        <v>1</v>
      </c>
      <c r="H191" s="134">
        <v>0</v>
      </c>
      <c r="I191" s="134">
        <v>0</v>
      </c>
      <c r="J191" s="134">
        <v>0</v>
      </c>
    </row>
    <row r="192" spans="1:10" ht="18.75" x14ac:dyDescent="0.3">
      <c r="A192" s="250" t="s">
        <v>599</v>
      </c>
      <c r="B192" s="57" t="s">
        <v>600</v>
      </c>
      <c r="C192" s="134">
        <v>0</v>
      </c>
      <c r="D192" s="134">
        <v>0</v>
      </c>
      <c r="E192" s="134">
        <f>'StateAgenciesTitle I-Delinquent'!G12</f>
        <v>0</v>
      </c>
      <c r="F192" s="134">
        <v>0</v>
      </c>
      <c r="G192" s="134">
        <f>'ESSA Title III-ELL '!G199</f>
        <v>0</v>
      </c>
      <c r="H192" s="134">
        <v>0</v>
      </c>
      <c r="I192" s="134">
        <v>0</v>
      </c>
      <c r="J192" s="134">
        <v>0</v>
      </c>
    </row>
    <row r="193" spans="1:10" ht="18.75" x14ac:dyDescent="0.3">
      <c r="A193" s="251"/>
      <c r="B193" s="56"/>
      <c r="C193" s="134"/>
      <c r="D193" s="134"/>
      <c r="E193" s="134"/>
      <c r="F193" s="134"/>
      <c r="G193" s="134"/>
      <c r="H193" s="134"/>
      <c r="I193" s="134"/>
      <c r="J193" s="134"/>
    </row>
    <row r="194" spans="1:10" ht="18.75" x14ac:dyDescent="0.3">
      <c r="A194" s="252"/>
      <c r="B194" s="58"/>
      <c r="C194" s="59">
        <f>SUM(C4:C192)</f>
        <v>20588.63999999993</v>
      </c>
      <c r="D194" s="59">
        <f>SUM(D4:D192)</f>
        <v>0</v>
      </c>
      <c r="E194" s="59">
        <f>SUM(E4:E192)</f>
        <v>0</v>
      </c>
      <c r="F194" s="59">
        <f>SUM(F4:F191)</f>
        <v>711098.69999999984</v>
      </c>
      <c r="G194" s="59">
        <f>SUM(G4:G191)</f>
        <v>96975.21</v>
      </c>
      <c r="H194" s="134">
        <f>SUM(H4:H192)</f>
        <v>139787.06000000003</v>
      </c>
      <c r="I194" s="59">
        <f>SUM(I4:I192)</f>
        <v>1276637.3299999998</v>
      </c>
      <c r="J194" s="134">
        <f>SUM(J5:J193)</f>
        <v>50819</v>
      </c>
    </row>
    <row r="195" spans="1:10" x14ac:dyDescent="0.25">
      <c r="A195" s="253"/>
      <c r="B195" s="60"/>
      <c r="C195" s="61"/>
      <c r="D195" s="61"/>
      <c r="E195" s="61"/>
      <c r="F195" s="61"/>
      <c r="G195" s="61"/>
      <c r="H195" s="61"/>
      <c r="I195" s="61"/>
      <c r="J195" s="61"/>
    </row>
    <row r="196" spans="1:10" x14ac:dyDescent="0.25">
      <c r="A196" s="253"/>
      <c r="B196" s="60"/>
      <c r="C196" s="61"/>
      <c r="D196" s="61"/>
      <c r="E196" s="61"/>
      <c r="F196" s="61"/>
      <c r="G196" s="61"/>
      <c r="H196" s="61"/>
      <c r="I196" s="61"/>
      <c r="J196" s="61"/>
    </row>
    <row r="197" spans="1:10" x14ac:dyDescent="0.25">
      <c r="C197" s="52"/>
      <c r="D197" s="52"/>
      <c r="E197" s="52"/>
      <c r="F197" s="52"/>
      <c r="G197" s="52"/>
      <c r="H197" s="52"/>
      <c r="I197" s="52"/>
      <c r="J197" s="52"/>
    </row>
    <row r="198" spans="1:10" x14ac:dyDescent="0.25">
      <c r="C198" s="52"/>
      <c r="D198" s="52"/>
      <c r="E198" s="52"/>
      <c r="F198" s="52"/>
      <c r="G198" s="52"/>
      <c r="H198" s="52"/>
      <c r="I198" s="52"/>
      <c r="J198" s="52"/>
    </row>
    <row r="199" spans="1:10" x14ac:dyDescent="0.25">
      <c r="C199" s="52"/>
      <c r="D199" s="52"/>
      <c r="E199" s="52"/>
      <c r="F199" s="52"/>
      <c r="G199" s="52"/>
      <c r="H199" s="52"/>
      <c r="I199" s="52"/>
      <c r="J199" s="52"/>
    </row>
    <row r="200" spans="1:10" x14ac:dyDescent="0.25">
      <c r="C200" s="52"/>
      <c r="D200" s="52"/>
      <c r="E200" s="52"/>
      <c r="F200" s="52"/>
      <c r="G200" s="52"/>
      <c r="H200" s="52"/>
      <c r="I200" s="52"/>
      <c r="J200" s="52"/>
    </row>
    <row r="201" spans="1:10" x14ac:dyDescent="0.25">
      <c r="C201" s="52"/>
      <c r="D201" s="52"/>
      <c r="E201" s="52"/>
      <c r="F201" s="52"/>
      <c r="G201" s="52"/>
      <c r="H201" s="52"/>
      <c r="I201" s="52"/>
      <c r="J201" s="52"/>
    </row>
    <row r="202" spans="1:10" x14ac:dyDescent="0.25">
      <c r="C202" s="52"/>
      <c r="D202" s="52"/>
      <c r="E202" s="52"/>
      <c r="F202" s="52"/>
      <c r="G202" s="52"/>
      <c r="H202" s="52"/>
      <c r="I202" s="52"/>
      <c r="J202" s="52"/>
    </row>
    <row r="203" spans="1:10" x14ac:dyDescent="0.25">
      <c r="C203" s="52"/>
      <c r="D203" s="52"/>
      <c r="E203" s="52"/>
      <c r="F203" s="52"/>
      <c r="G203" s="52"/>
      <c r="H203" s="52"/>
      <c r="I203" s="52"/>
      <c r="J203" s="52"/>
    </row>
    <row r="204" spans="1:10" x14ac:dyDescent="0.25">
      <c r="C204" s="52"/>
      <c r="D204" s="52"/>
      <c r="E204" s="52"/>
      <c r="F204" s="52"/>
      <c r="G204" s="52"/>
      <c r="H204" s="52"/>
      <c r="I204" s="52"/>
      <c r="J204" s="52"/>
    </row>
    <row r="205" spans="1:10" x14ac:dyDescent="0.25"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C206" s="52"/>
      <c r="D206" s="52"/>
      <c r="E206" s="52"/>
      <c r="F206" s="52"/>
      <c r="G206" s="52"/>
      <c r="H206" s="52"/>
      <c r="I206" s="52"/>
      <c r="J206" s="52"/>
    </row>
    <row r="207" spans="1:10" x14ac:dyDescent="0.25">
      <c r="C207" s="52"/>
      <c r="D207" s="52"/>
      <c r="E207" s="52"/>
      <c r="F207" s="52"/>
      <c r="G207" s="52"/>
      <c r="H207" s="52"/>
      <c r="I207" s="52"/>
      <c r="J207" s="52"/>
    </row>
    <row r="208" spans="1:10" x14ac:dyDescent="0.25">
      <c r="C208" s="52"/>
      <c r="D208" s="52"/>
      <c r="E208" s="52"/>
      <c r="F208" s="52"/>
      <c r="G208" s="52"/>
      <c r="H208" s="52"/>
      <c r="I208" s="52"/>
      <c r="J208" s="52"/>
    </row>
    <row r="209" spans="3:10" x14ac:dyDescent="0.25">
      <c r="C209" s="52"/>
      <c r="D209" s="52"/>
      <c r="E209" s="52"/>
      <c r="F209" s="52"/>
      <c r="G209" s="52"/>
      <c r="H209" s="52"/>
      <c r="I209" s="52"/>
      <c r="J209" s="52"/>
    </row>
    <row r="210" spans="3:10" x14ac:dyDescent="0.25">
      <c r="C210" s="52"/>
      <c r="D210" s="52"/>
      <c r="E210" s="52"/>
      <c r="F210" s="52"/>
      <c r="G210" s="52"/>
      <c r="H210" s="52"/>
      <c r="I210" s="52"/>
      <c r="J210" s="52"/>
    </row>
    <row r="211" spans="3:10" x14ac:dyDescent="0.25">
      <c r="C211" s="52"/>
      <c r="D211" s="52"/>
      <c r="E211" s="52"/>
      <c r="F211" s="52"/>
      <c r="G211" s="52"/>
      <c r="H211" s="52"/>
      <c r="I211" s="52"/>
      <c r="J211" s="52"/>
    </row>
    <row r="212" spans="3:10" x14ac:dyDescent="0.25">
      <c r="C212" s="52"/>
      <c r="D212" s="52"/>
      <c r="E212" s="52"/>
      <c r="F212" s="52"/>
      <c r="G212" s="52"/>
      <c r="H212" s="52"/>
      <c r="I212" s="52"/>
      <c r="J212" s="52"/>
    </row>
    <row r="213" spans="3:10" x14ac:dyDescent="0.25">
      <c r="C213" s="52"/>
      <c r="D213" s="52"/>
      <c r="E213" s="52"/>
      <c r="F213" s="52"/>
      <c r="G213" s="52"/>
      <c r="H213" s="52"/>
      <c r="I213" s="52"/>
      <c r="J213" s="52"/>
    </row>
    <row r="214" spans="3:10" x14ac:dyDescent="0.25">
      <c r="C214" s="52"/>
      <c r="D214" s="52"/>
      <c r="E214" s="52"/>
      <c r="F214" s="52"/>
      <c r="G214" s="52"/>
      <c r="H214" s="52"/>
      <c r="I214" s="52"/>
      <c r="J214" s="52"/>
    </row>
    <row r="215" spans="3:10" x14ac:dyDescent="0.25">
      <c r="C215" s="52"/>
      <c r="D215" s="52"/>
      <c r="E215" s="52"/>
      <c r="F215" s="52"/>
      <c r="G215" s="52"/>
      <c r="H215" s="52"/>
      <c r="I215" s="52"/>
      <c r="J215" s="52"/>
    </row>
    <row r="216" spans="3:10" x14ac:dyDescent="0.25">
      <c r="C216" s="52"/>
      <c r="D216" s="52"/>
      <c r="E216" s="52"/>
      <c r="F216" s="52"/>
      <c r="G216" s="52"/>
      <c r="H216" s="52"/>
      <c r="I216" s="52"/>
      <c r="J216" s="52"/>
    </row>
    <row r="217" spans="3:10" x14ac:dyDescent="0.25">
      <c r="C217" s="52"/>
      <c r="D217" s="52"/>
      <c r="E217" s="52"/>
      <c r="F217" s="52"/>
      <c r="G217" s="52"/>
      <c r="H217" s="52"/>
      <c r="I217" s="52"/>
      <c r="J217" s="52"/>
    </row>
    <row r="218" spans="3:10" x14ac:dyDescent="0.25">
      <c r="C218" s="52"/>
      <c r="D218" s="52"/>
      <c r="E218" s="52"/>
      <c r="F218" s="52"/>
      <c r="G218" s="52"/>
      <c r="H218" s="52"/>
      <c r="I218" s="52"/>
      <c r="J218" s="52"/>
    </row>
    <row r="219" spans="3:10" x14ac:dyDescent="0.25">
      <c r="C219" s="52"/>
      <c r="D219" s="52"/>
      <c r="E219" s="52"/>
      <c r="F219" s="52"/>
      <c r="G219" s="52"/>
      <c r="H219" s="52"/>
      <c r="I219" s="52"/>
      <c r="J219" s="52"/>
    </row>
    <row r="220" spans="3:10" x14ac:dyDescent="0.25">
      <c r="C220" s="52"/>
      <c r="D220" s="52"/>
      <c r="E220" s="52"/>
      <c r="F220" s="52"/>
      <c r="G220" s="52"/>
      <c r="H220" s="52"/>
      <c r="I220" s="52"/>
      <c r="J220" s="52"/>
    </row>
    <row r="221" spans="3:10" x14ac:dyDescent="0.25">
      <c r="C221" s="52"/>
      <c r="D221" s="52"/>
      <c r="E221" s="52"/>
      <c r="F221" s="52"/>
      <c r="G221" s="52"/>
      <c r="H221" s="52"/>
      <c r="I221" s="52"/>
      <c r="J221" s="52"/>
    </row>
    <row r="222" spans="3:10" x14ac:dyDescent="0.25">
      <c r="C222" s="52"/>
      <c r="D222" s="52"/>
      <c r="E222" s="52"/>
      <c r="F222" s="52"/>
      <c r="G222" s="52"/>
      <c r="H222" s="52"/>
      <c r="I222" s="52"/>
      <c r="J222" s="52"/>
    </row>
    <row r="223" spans="3:10" x14ac:dyDescent="0.25">
      <c r="C223" s="52"/>
      <c r="D223" s="52"/>
      <c r="E223" s="52"/>
      <c r="F223" s="52"/>
      <c r="G223" s="52"/>
      <c r="H223" s="52"/>
      <c r="I223" s="52"/>
      <c r="J223" s="52"/>
    </row>
    <row r="224" spans="3:10" x14ac:dyDescent="0.25">
      <c r="C224" s="52"/>
      <c r="D224" s="52"/>
      <c r="E224" s="52"/>
      <c r="F224" s="52"/>
      <c r="G224" s="52"/>
      <c r="H224" s="52"/>
      <c r="I224" s="52"/>
      <c r="J224" s="52"/>
    </row>
    <row r="225" spans="3:10" x14ac:dyDescent="0.25">
      <c r="C225" s="52"/>
      <c r="D225" s="52"/>
      <c r="E225" s="52"/>
      <c r="F225" s="52"/>
      <c r="G225" s="52"/>
      <c r="H225" s="52"/>
      <c r="I225" s="52"/>
      <c r="J225" s="52"/>
    </row>
  </sheetData>
  <sheetProtection algorithmName="SHA-512" hashValue="XRTJtuIsAdPlf9VDYsecMAhHl/IGoiL8zD4jR9bDojLBZQ0lcPhLj9ux2nithrLPHdotMahjUrs7yEso2nIWpA==" saltValue="YSaRpLFPmr89mRGqxm09dQ==" spinCount="100000" sheet="1" objects="1" scenarios="1"/>
  <autoFilter ref="A3:J192" xr:uid="{00000000-0009-0000-0000-000000000000}"/>
  <mergeCells count="1">
    <mergeCell ref="A1:I2"/>
  </mergeCells>
  <pageMargins left="0.7" right="0.7" top="0.75" bottom="0.75" header="0.3" footer="0.3"/>
  <pageSetup scale="4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81"/>
  <sheetViews>
    <sheetView workbookViewId="0">
      <pane ySplit="1" topLeftCell="A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89" bestFit="1" customWidth="1"/>
    <col min="2" max="2" width="31.140625" style="89" bestFit="1" customWidth="1"/>
    <col min="3" max="3" width="11.5703125" style="89" bestFit="1" customWidth="1"/>
    <col min="4" max="4" width="9" style="89" bestFit="1" customWidth="1"/>
    <col min="5" max="5" width="7.28515625" style="89" bestFit="1" customWidth="1"/>
    <col min="6" max="6" width="8" style="89" bestFit="1" customWidth="1"/>
    <col min="7" max="7" width="10.28515625" style="89" bestFit="1" customWidth="1"/>
    <col min="8" max="8" width="9.140625" style="89" bestFit="1" customWidth="1"/>
    <col min="9" max="9" width="10.42578125" style="89" bestFit="1" customWidth="1"/>
    <col min="10" max="10" width="7.28515625" style="89" bestFit="1" customWidth="1"/>
    <col min="11" max="16384" width="9.140625" style="89"/>
  </cols>
  <sheetData>
    <row r="1" spans="1:10" x14ac:dyDescent="0.25">
      <c r="A1" s="88" t="s">
        <v>574</v>
      </c>
      <c r="B1" s="88" t="s">
        <v>404</v>
      </c>
      <c r="C1" s="88" t="s">
        <v>405</v>
      </c>
      <c r="D1" s="88" t="s">
        <v>406</v>
      </c>
      <c r="E1" s="88" t="s">
        <v>407</v>
      </c>
      <c r="F1" s="88" t="s">
        <v>408</v>
      </c>
      <c r="G1" s="88" t="s">
        <v>409</v>
      </c>
      <c r="H1" s="88" t="s">
        <v>410</v>
      </c>
      <c r="I1" s="88" t="s">
        <v>411</v>
      </c>
      <c r="J1" s="88" t="s">
        <v>387</v>
      </c>
    </row>
    <row r="2" spans="1:10" x14ac:dyDescent="0.25">
      <c r="A2" s="90" t="s">
        <v>6</v>
      </c>
      <c r="B2" s="90" t="s">
        <v>184</v>
      </c>
      <c r="C2" s="90" t="s">
        <v>412</v>
      </c>
      <c r="D2" s="91">
        <v>1133906</v>
      </c>
      <c r="E2" s="91">
        <v>0</v>
      </c>
      <c r="F2" s="91">
        <v>177255</v>
      </c>
      <c r="G2" s="91">
        <v>161273</v>
      </c>
      <c r="H2" s="91">
        <v>0</v>
      </c>
      <c r="I2" s="91">
        <v>0</v>
      </c>
      <c r="J2" s="91">
        <v>0</v>
      </c>
    </row>
    <row r="3" spans="1:10" x14ac:dyDescent="0.25">
      <c r="A3" s="90" t="s">
        <v>7</v>
      </c>
      <c r="B3" s="90" t="s">
        <v>413</v>
      </c>
      <c r="C3" s="90" t="s">
        <v>412</v>
      </c>
      <c r="D3" s="91">
        <v>4239216</v>
      </c>
      <c r="E3" s="91">
        <v>0</v>
      </c>
      <c r="F3" s="91">
        <v>700052</v>
      </c>
      <c r="G3" s="91">
        <v>439350</v>
      </c>
      <c r="H3" s="91">
        <v>0</v>
      </c>
      <c r="I3" s="91">
        <v>0</v>
      </c>
      <c r="J3" s="91">
        <v>0</v>
      </c>
    </row>
    <row r="4" spans="1:10" x14ac:dyDescent="0.25">
      <c r="A4" s="90" t="s">
        <v>8</v>
      </c>
      <c r="B4" s="90" t="s">
        <v>186</v>
      </c>
      <c r="C4" s="90" t="s">
        <v>412</v>
      </c>
      <c r="D4" s="91">
        <v>2219724</v>
      </c>
      <c r="E4" s="91">
        <v>0</v>
      </c>
      <c r="F4" s="91">
        <v>360029</v>
      </c>
      <c r="G4" s="91">
        <v>193055</v>
      </c>
      <c r="H4" s="91">
        <v>259</v>
      </c>
      <c r="I4" s="91">
        <v>1415</v>
      </c>
      <c r="J4" s="91">
        <v>0</v>
      </c>
    </row>
    <row r="5" spans="1:10" x14ac:dyDescent="0.25">
      <c r="A5" s="90" t="s">
        <v>9</v>
      </c>
      <c r="B5" s="90" t="s">
        <v>396</v>
      </c>
      <c r="C5" s="90" t="s">
        <v>412</v>
      </c>
      <c r="D5" s="91">
        <v>1291616</v>
      </c>
      <c r="E5" s="91">
        <v>0</v>
      </c>
      <c r="F5" s="91">
        <v>181827</v>
      </c>
      <c r="G5" s="91">
        <v>150638</v>
      </c>
      <c r="H5" s="91">
        <v>0</v>
      </c>
      <c r="I5" s="91">
        <v>0</v>
      </c>
      <c r="J5" s="91">
        <v>0</v>
      </c>
    </row>
    <row r="6" spans="1:10" x14ac:dyDescent="0.25">
      <c r="A6" s="90" t="s">
        <v>10</v>
      </c>
      <c r="B6" s="90" t="s">
        <v>188</v>
      </c>
      <c r="C6" s="90" t="s">
        <v>412</v>
      </c>
      <c r="D6" s="91">
        <v>107756</v>
      </c>
      <c r="E6" s="91">
        <v>0</v>
      </c>
      <c r="F6" s="91">
        <v>28866</v>
      </c>
      <c r="G6" s="91">
        <v>5287</v>
      </c>
      <c r="H6" s="91">
        <v>0</v>
      </c>
      <c r="I6" s="91">
        <v>0</v>
      </c>
      <c r="J6" s="91">
        <v>0</v>
      </c>
    </row>
    <row r="7" spans="1:10" x14ac:dyDescent="0.25">
      <c r="A7" s="90" t="s">
        <v>11</v>
      </c>
      <c r="B7" s="90" t="s">
        <v>189</v>
      </c>
      <c r="C7" s="90" t="s">
        <v>412</v>
      </c>
      <c r="D7" s="91">
        <v>70669</v>
      </c>
      <c r="E7" s="91">
        <v>0</v>
      </c>
      <c r="F7" s="91">
        <v>9078</v>
      </c>
      <c r="G7" s="91">
        <v>2239</v>
      </c>
      <c r="H7" s="91">
        <v>0</v>
      </c>
      <c r="I7" s="91">
        <v>0</v>
      </c>
      <c r="J7" s="91">
        <v>0</v>
      </c>
    </row>
    <row r="8" spans="1:10" x14ac:dyDescent="0.25">
      <c r="A8" s="90" t="s">
        <v>12</v>
      </c>
      <c r="B8" s="90" t="s">
        <v>190</v>
      </c>
      <c r="C8" s="90" t="s">
        <v>412</v>
      </c>
      <c r="D8" s="91">
        <v>3162431</v>
      </c>
      <c r="E8" s="91">
        <v>0</v>
      </c>
      <c r="F8" s="91">
        <v>417424</v>
      </c>
      <c r="G8" s="91">
        <v>251581</v>
      </c>
      <c r="H8" s="91">
        <v>2676</v>
      </c>
      <c r="I8" s="91">
        <v>14617</v>
      </c>
      <c r="J8" s="91">
        <v>0</v>
      </c>
    </row>
    <row r="9" spans="1:10" x14ac:dyDescent="0.25">
      <c r="A9" s="90" t="s">
        <v>13</v>
      </c>
      <c r="B9" s="90" t="s">
        <v>414</v>
      </c>
      <c r="C9" s="90" t="s">
        <v>415</v>
      </c>
      <c r="D9" s="91">
        <v>866152</v>
      </c>
      <c r="E9" s="91">
        <v>9173</v>
      </c>
      <c r="F9" s="91">
        <v>164655</v>
      </c>
      <c r="G9" s="91">
        <v>19654</v>
      </c>
      <c r="H9" s="91">
        <v>90</v>
      </c>
      <c r="I9" s="91">
        <v>472</v>
      </c>
      <c r="J9" s="91">
        <v>40761</v>
      </c>
    </row>
    <row r="10" spans="1:10" x14ac:dyDescent="0.25">
      <c r="A10" s="90" t="s">
        <v>14</v>
      </c>
      <c r="B10" s="90" t="s">
        <v>416</v>
      </c>
      <c r="C10" s="90" t="s">
        <v>415</v>
      </c>
      <c r="D10" s="91">
        <v>109209</v>
      </c>
      <c r="E10" s="91">
        <v>0</v>
      </c>
      <c r="F10" s="91">
        <v>13394</v>
      </c>
      <c r="G10" s="91">
        <v>2177</v>
      </c>
      <c r="H10" s="91">
        <v>0</v>
      </c>
      <c r="I10" s="91">
        <v>0</v>
      </c>
      <c r="J10" s="91">
        <v>0</v>
      </c>
    </row>
    <row r="11" spans="1:10" x14ac:dyDescent="0.25">
      <c r="A11" s="90" t="s">
        <v>15</v>
      </c>
      <c r="B11" s="90" t="s">
        <v>193</v>
      </c>
      <c r="C11" s="90" t="s">
        <v>417</v>
      </c>
      <c r="D11" s="91">
        <v>606895</v>
      </c>
      <c r="E11" s="91">
        <v>0</v>
      </c>
      <c r="F11" s="91">
        <v>173773</v>
      </c>
      <c r="G11" s="91">
        <v>23137</v>
      </c>
      <c r="H11" s="91">
        <v>259</v>
      </c>
      <c r="I11" s="91">
        <v>1415</v>
      </c>
      <c r="J11" s="91">
        <v>0</v>
      </c>
    </row>
    <row r="12" spans="1:10" x14ac:dyDescent="0.25">
      <c r="A12" s="90" t="s">
        <v>16</v>
      </c>
      <c r="B12" s="90" t="s">
        <v>194</v>
      </c>
      <c r="C12" s="90" t="s">
        <v>417</v>
      </c>
      <c r="D12" s="91">
        <v>935415</v>
      </c>
      <c r="E12" s="91">
        <v>0</v>
      </c>
      <c r="F12" s="91">
        <v>90140</v>
      </c>
      <c r="G12" s="91">
        <v>37255</v>
      </c>
      <c r="H12" s="91">
        <v>0</v>
      </c>
      <c r="I12" s="91">
        <v>0</v>
      </c>
      <c r="J12" s="91">
        <v>0</v>
      </c>
    </row>
    <row r="13" spans="1:10" x14ac:dyDescent="0.25">
      <c r="A13" s="90" t="s">
        <v>17</v>
      </c>
      <c r="B13" s="90" t="s">
        <v>195</v>
      </c>
      <c r="C13" s="90" t="s">
        <v>417</v>
      </c>
      <c r="D13" s="91">
        <v>4700413</v>
      </c>
      <c r="E13" s="91">
        <v>218315</v>
      </c>
      <c r="F13" s="91">
        <v>710985</v>
      </c>
      <c r="G13" s="91">
        <v>357376</v>
      </c>
      <c r="H13" s="91">
        <v>0</v>
      </c>
      <c r="I13" s="91">
        <v>0</v>
      </c>
      <c r="J13" s="91">
        <v>0</v>
      </c>
    </row>
    <row r="14" spans="1:10" x14ac:dyDescent="0.25">
      <c r="A14" s="90" t="s">
        <v>18</v>
      </c>
      <c r="B14" s="90" t="s">
        <v>196</v>
      </c>
      <c r="C14" s="90" t="s">
        <v>417</v>
      </c>
      <c r="D14" s="91">
        <v>1184243</v>
      </c>
      <c r="E14" s="91">
        <v>0</v>
      </c>
      <c r="F14" s="91">
        <v>373606</v>
      </c>
      <c r="G14" s="91">
        <v>44719</v>
      </c>
      <c r="H14" s="91">
        <v>1899</v>
      </c>
      <c r="I14" s="91">
        <v>10374</v>
      </c>
      <c r="J14" s="91">
        <v>0</v>
      </c>
    </row>
    <row r="15" spans="1:10" x14ac:dyDescent="0.25">
      <c r="A15" s="90" t="s">
        <v>19</v>
      </c>
      <c r="B15" s="90" t="s">
        <v>197</v>
      </c>
      <c r="C15" s="90" t="s">
        <v>417</v>
      </c>
      <c r="D15" s="91">
        <v>35353</v>
      </c>
      <c r="E15" s="91">
        <v>0</v>
      </c>
      <c r="F15" s="91">
        <v>8329</v>
      </c>
      <c r="G15" s="91">
        <v>1244</v>
      </c>
      <c r="H15" s="91">
        <v>0</v>
      </c>
      <c r="I15" s="91">
        <v>0</v>
      </c>
      <c r="J15" s="91">
        <v>0</v>
      </c>
    </row>
    <row r="16" spans="1:10" x14ac:dyDescent="0.25">
      <c r="A16" s="90" t="s">
        <v>20</v>
      </c>
      <c r="B16" s="90" t="s">
        <v>198</v>
      </c>
      <c r="C16" s="90" t="s">
        <v>417</v>
      </c>
      <c r="D16" s="91">
        <v>11151156</v>
      </c>
      <c r="E16" s="91">
        <v>79492</v>
      </c>
      <c r="F16" s="91">
        <v>1187501</v>
      </c>
      <c r="G16" s="91">
        <v>1013291</v>
      </c>
      <c r="H16" s="91">
        <v>36085</v>
      </c>
      <c r="I16" s="91">
        <v>197093</v>
      </c>
      <c r="J16" s="91">
        <v>0</v>
      </c>
    </row>
    <row r="17" spans="1:10" x14ac:dyDescent="0.25">
      <c r="A17" s="90" t="s">
        <v>21</v>
      </c>
      <c r="B17" s="90" t="s">
        <v>199</v>
      </c>
      <c r="C17" s="90" t="s">
        <v>417</v>
      </c>
      <c r="D17" s="91">
        <v>64682</v>
      </c>
      <c r="E17" s="91">
        <v>0</v>
      </c>
      <c r="F17" s="91">
        <v>20196</v>
      </c>
      <c r="G17" s="91">
        <v>2612</v>
      </c>
      <c r="H17" s="91">
        <v>0</v>
      </c>
      <c r="I17" s="91">
        <v>0</v>
      </c>
      <c r="J17" s="91">
        <v>0</v>
      </c>
    </row>
    <row r="18" spans="1:10" x14ac:dyDescent="0.25">
      <c r="A18" s="90" t="s">
        <v>22</v>
      </c>
      <c r="B18" s="90" t="s">
        <v>418</v>
      </c>
      <c r="C18" s="90" t="s">
        <v>419</v>
      </c>
      <c r="D18" s="91">
        <v>349049</v>
      </c>
      <c r="E18" s="91">
        <v>0</v>
      </c>
      <c r="F18" s="91">
        <v>74291</v>
      </c>
      <c r="G18" s="91">
        <v>0</v>
      </c>
      <c r="H18" s="91">
        <v>0</v>
      </c>
      <c r="I18" s="91">
        <v>0</v>
      </c>
      <c r="J18" s="91">
        <v>0</v>
      </c>
    </row>
    <row r="19" spans="1:10" x14ac:dyDescent="0.25">
      <c r="A19" s="90" t="s">
        <v>23</v>
      </c>
      <c r="B19" s="90" t="s">
        <v>420</v>
      </c>
      <c r="C19" s="90" t="s">
        <v>421</v>
      </c>
      <c r="D19" s="91">
        <v>49963</v>
      </c>
      <c r="E19" s="91">
        <v>0</v>
      </c>
      <c r="F19" s="91">
        <v>12252</v>
      </c>
      <c r="G19" s="91">
        <v>684</v>
      </c>
      <c r="H19" s="91">
        <v>0</v>
      </c>
      <c r="I19" s="91">
        <v>0</v>
      </c>
      <c r="J19" s="91">
        <v>0</v>
      </c>
    </row>
    <row r="20" spans="1:10" x14ac:dyDescent="0.25">
      <c r="A20" s="90" t="s">
        <v>24</v>
      </c>
      <c r="B20" s="90" t="s">
        <v>422</v>
      </c>
      <c r="C20" s="90" t="s">
        <v>421</v>
      </c>
      <c r="D20" s="91">
        <v>18082</v>
      </c>
      <c r="E20" s="91">
        <v>0</v>
      </c>
      <c r="F20" s="91">
        <v>5839</v>
      </c>
      <c r="G20" s="91">
        <v>0</v>
      </c>
      <c r="H20" s="91">
        <v>0</v>
      </c>
      <c r="I20" s="91">
        <v>0</v>
      </c>
      <c r="J20" s="91">
        <v>0</v>
      </c>
    </row>
    <row r="21" spans="1:10" x14ac:dyDescent="0.25">
      <c r="A21" s="90" t="s">
        <v>25</v>
      </c>
      <c r="B21" s="90" t="s">
        <v>423</v>
      </c>
      <c r="C21" s="90" t="s">
        <v>421</v>
      </c>
      <c r="D21" s="91">
        <v>69771</v>
      </c>
      <c r="E21" s="91">
        <v>0</v>
      </c>
      <c r="F21" s="91">
        <v>16714</v>
      </c>
      <c r="G21" s="91">
        <v>249</v>
      </c>
      <c r="H21" s="91">
        <v>0</v>
      </c>
      <c r="I21" s="91">
        <v>0</v>
      </c>
      <c r="J21" s="91">
        <v>0</v>
      </c>
    </row>
    <row r="22" spans="1:10" x14ac:dyDescent="0.25">
      <c r="A22" s="90" t="s">
        <v>26</v>
      </c>
      <c r="B22" s="90" t="s">
        <v>424</v>
      </c>
      <c r="C22" s="90" t="s">
        <v>421</v>
      </c>
      <c r="D22" s="91">
        <v>816</v>
      </c>
      <c r="E22" s="91">
        <v>0</v>
      </c>
      <c r="F22" s="91">
        <v>1184</v>
      </c>
      <c r="G22" s="91">
        <v>62</v>
      </c>
      <c r="H22" s="91">
        <v>0</v>
      </c>
      <c r="I22" s="91">
        <v>0</v>
      </c>
      <c r="J22" s="91">
        <v>0</v>
      </c>
    </row>
    <row r="23" spans="1:10" x14ac:dyDescent="0.25">
      <c r="A23" s="90" t="s">
        <v>27</v>
      </c>
      <c r="B23" s="90" t="s">
        <v>425</v>
      </c>
      <c r="C23" s="90" t="s">
        <v>421</v>
      </c>
      <c r="D23" s="91">
        <v>1799</v>
      </c>
      <c r="E23" s="91">
        <v>0</v>
      </c>
      <c r="F23" s="91">
        <v>2190</v>
      </c>
      <c r="G23" s="91">
        <v>0</v>
      </c>
      <c r="H23" s="91">
        <v>0</v>
      </c>
      <c r="I23" s="91">
        <v>0</v>
      </c>
      <c r="J23" s="91">
        <v>0</v>
      </c>
    </row>
    <row r="24" spans="1:10" x14ac:dyDescent="0.25">
      <c r="A24" s="90" t="s">
        <v>28</v>
      </c>
      <c r="B24" s="90" t="s">
        <v>426</v>
      </c>
      <c r="C24" s="90" t="s">
        <v>427</v>
      </c>
      <c r="D24" s="91">
        <v>234982</v>
      </c>
      <c r="E24" s="91">
        <v>0</v>
      </c>
      <c r="F24" s="91">
        <v>50373</v>
      </c>
      <c r="G24" s="91">
        <v>124</v>
      </c>
      <c r="H24" s="91">
        <v>0</v>
      </c>
      <c r="I24" s="91">
        <v>0</v>
      </c>
      <c r="J24" s="91">
        <v>0</v>
      </c>
    </row>
    <row r="25" spans="1:10" x14ac:dyDescent="0.25">
      <c r="A25" s="90" t="s">
        <v>29</v>
      </c>
      <c r="B25" s="90" t="s">
        <v>428</v>
      </c>
      <c r="C25" s="90" t="s">
        <v>427</v>
      </c>
      <c r="D25" s="91">
        <v>37907</v>
      </c>
      <c r="E25" s="91">
        <v>0</v>
      </c>
      <c r="F25" s="91">
        <v>10898</v>
      </c>
      <c r="G25" s="91">
        <v>1493</v>
      </c>
      <c r="H25" s="91">
        <v>0</v>
      </c>
      <c r="I25" s="91">
        <v>0</v>
      </c>
      <c r="J25" s="91">
        <v>0</v>
      </c>
    </row>
    <row r="26" spans="1:10" x14ac:dyDescent="0.25">
      <c r="A26" s="90" t="s">
        <v>30</v>
      </c>
      <c r="B26" s="90" t="s">
        <v>429</v>
      </c>
      <c r="C26" s="90" t="s">
        <v>430</v>
      </c>
      <c r="D26" s="91">
        <v>3275511</v>
      </c>
      <c r="E26" s="91">
        <v>0</v>
      </c>
      <c r="F26" s="91">
        <v>467170</v>
      </c>
      <c r="G26" s="91">
        <v>280316</v>
      </c>
      <c r="H26" s="91">
        <v>0</v>
      </c>
      <c r="I26" s="91">
        <v>0</v>
      </c>
      <c r="J26" s="91">
        <v>0</v>
      </c>
    </row>
    <row r="27" spans="1:10" x14ac:dyDescent="0.25">
      <c r="A27" s="90" t="s">
        <v>31</v>
      </c>
      <c r="B27" s="90" t="s">
        <v>431</v>
      </c>
      <c r="C27" s="90" t="s">
        <v>430</v>
      </c>
      <c r="D27" s="91">
        <v>2119660</v>
      </c>
      <c r="E27" s="91">
        <v>0</v>
      </c>
      <c r="F27" s="91">
        <v>686897</v>
      </c>
      <c r="G27" s="91">
        <v>184348</v>
      </c>
      <c r="H27" s="91">
        <v>0</v>
      </c>
      <c r="I27" s="91">
        <v>0</v>
      </c>
      <c r="J27" s="91">
        <v>0</v>
      </c>
    </row>
    <row r="28" spans="1:10" x14ac:dyDescent="0.25">
      <c r="A28" s="90" t="s">
        <v>32</v>
      </c>
      <c r="B28" s="90" t="s">
        <v>210</v>
      </c>
      <c r="C28" s="90" t="s">
        <v>432</v>
      </c>
      <c r="D28" s="91">
        <v>160970</v>
      </c>
      <c r="E28" s="91">
        <v>0</v>
      </c>
      <c r="F28" s="91">
        <v>37339</v>
      </c>
      <c r="G28" s="91">
        <v>498</v>
      </c>
      <c r="H28" s="91">
        <v>0</v>
      </c>
      <c r="I28" s="91">
        <v>0</v>
      </c>
      <c r="J28" s="91">
        <v>0</v>
      </c>
    </row>
    <row r="29" spans="1:10" x14ac:dyDescent="0.25">
      <c r="A29" s="90" t="s">
        <v>33</v>
      </c>
      <c r="B29" s="90" t="s">
        <v>211</v>
      </c>
      <c r="C29" s="90" t="s">
        <v>432</v>
      </c>
      <c r="D29" s="91">
        <v>169563</v>
      </c>
      <c r="E29" s="91">
        <v>0</v>
      </c>
      <c r="F29" s="91">
        <v>57158</v>
      </c>
      <c r="G29" s="91">
        <v>1368</v>
      </c>
      <c r="H29" s="91">
        <v>0</v>
      </c>
      <c r="I29" s="91">
        <v>0</v>
      </c>
      <c r="J29" s="91">
        <v>0</v>
      </c>
    </row>
    <row r="30" spans="1:10" x14ac:dyDescent="0.25">
      <c r="A30" s="90" t="s">
        <v>34</v>
      </c>
      <c r="B30" s="90" t="s">
        <v>212</v>
      </c>
      <c r="C30" s="90" t="s">
        <v>433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</row>
    <row r="31" spans="1:10" x14ac:dyDescent="0.25">
      <c r="A31" s="90" t="s">
        <v>35</v>
      </c>
      <c r="B31" s="90" t="s">
        <v>434</v>
      </c>
      <c r="C31" s="90" t="s">
        <v>433</v>
      </c>
      <c r="D31" s="91">
        <v>28551</v>
      </c>
      <c r="E31" s="91">
        <v>0</v>
      </c>
      <c r="F31" s="91">
        <v>11573</v>
      </c>
      <c r="G31" s="91">
        <v>746</v>
      </c>
      <c r="H31" s="91">
        <v>0</v>
      </c>
      <c r="I31" s="91">
        <v>0</v>
      </c>
      <c r="J31" s="91">
        <v>0</v>
      </c>
    </row>
    <row r="32" spans="1:10" x14ac:dyDescent="0.25">
      <c r="A32" s="90" t="s">
        <v>36</v>
      </c>
      <c r="B32" s="90" t="s">
        <v>435</v>
      </c>
      <c r="C32" s="90" t="s">
        <v>436</v>
      </c>
      <c r="D32" s="91">
        <v>97087</v>
      </c>
      <c r="E32" s="91">
        <v>0</v>
      </c>
      <c r="F32" s="91">
        <v>38253</v>
      </c>
      <c r="G32" s="91">
        <v>0</v>
      </c>
      <c r="H32" s="91">
        <v>0</v>
      </c>
      <c r="I32" s="91">
        <v>0</v>
      </c>
      <c r="J32" s="91">
        <v>0</v>
      </c>
    </row>
    <row r="33" spans="1:10" x14ac:dyDescent="0.25">
      <c r="A33" s="90" t="s">
        <v>37</v>
      </c>
      <c r="B33" s="90" t="s">
        <v>437</v>
      </c>
      <c r="C33" s="90" t="s">
        <v>438</v>
      </c>
      <c r="D33" s="91">
        <v>298501</v>
      </c>
      <c r="E33" s="91">
        <v>0</v>
      </c>
      <c r="F33" s="91">
        <v>72282</v>
      </c>
      <c r="G33" s="91">
        <v>0</v>
      </c>
      <c r="H33" s="91">
        <v>0</v>
      </c>
      <c r="I33" s="91">
        <v>0</v>
      </c>
      <c r="J33" s="91">
        <v>0</v>
      </c>
    </row>
    <row r="34" spans="1:10" x14ac:dyDescent="0.25">
      <c r="A34" s="90" t="s">
        <v>38</v>
      </c>
      <c r="B34" s="90" t="s">
        <v>216</v>
      </c>
      <c r="C34" s="90" t="s">
        <v>438</v>
      </c>
      <c r="D34" s="91">
        <v>52992</v>
      </c>
      <c r="E34" s="91">
        <v>0</v>
      </c>
      <c r="F34" s="91">
        <v>23483</v>
      </c>
      <c r="G34" s="91">
        <v>249</v>
      </c>
      <c r="H34" s="91">
        <v>0</v>
      </c>
      <c r="I34" s="91">
        <v>0</v>
      </c>
      <c r="J34" s="91">
        <v>0</v>
      </c>
    </row>
    <row r="35" spans="1:10" x14ac:dyDescent="0.25">
      <c r="A35" s="90" t="s">
        <v>39</v>
      </c>
      <c r="B35" s="90" t="s">
        <v>439</v>
      </c>
      <c r="C35" s="90" t="s">
        <v>438</v>
      </c>
      <c r="D35" s="91">
        <v>153777</v>
      </c>
      <c r="E35" s="91">
        <v>0</v>
      </c>
      <c r="F35" s="91">
        <v>34398</v>
      </c>
      <c r="G35" s="91">
        <v>1741</v>
      </c>
      <c r="H35" s="91">
        <v>0</v>
      </c>
      <c r="I35" s="91">
        <v>0</v>
      </c>
      <c r="J35" s="91">
        <v>0</v>
      </c>
    </row>
    <row r="36" spans="1:10" x14ac:dyDescent="0.25">
      <c r="A36" s="90" t="s">
        <v>40</v>
      </c>
      <c r="B36" s="90" t="s">
        <v>218</v>
      </c>
      <c r="C36" s="90" t="s">
        <v>440</v>
      </c>
      <c r="D36" s="91">
        <v>132791</v>
      </c>
      <c r="E36" s="91">
        <v>0</v>
      </c>
      <c r="F36" s="91">
        <v>37411</v>
      </c>
      <c r="G36" s="91">
        <v>1182</v>
      </c>
      <c r="H36" s="91">
        <v>0</v>
      </c>
      <c r="I36" s="91">
        <v>0</v>
      </c>
      <c r="J36" s="91">
        <v>0</v>
      </c>
    </row>
    <row r="37" spans="1:10" x14ac:dyDescent="0.25">
      <c r="A37" s="90" t="s">
        <v>41</v>
      </c>
      <c r="B37" s="90" t="s">
        <v>219</v>
      </c>
      <c r="C37" s="90" t="s">
        <v>440</v>
      </c>
      <c r="D37" s="91">
        <v>98450</v>
      </c>
      <c r="E37" s="91">
        <v>0</v>
      </c>
      <c r="F37" s="91">
        <v>25178</v>
      </c>
      <c r="G37" s="91">
        <v>2550</v>
      </c>
      <c r="H37" s="91">
        <v>0</v>
      </c>
      <c r="I37" s="91">
        <v>0</v>
      </c>
      <c r="J37" s="91">
        <v>0</v>
      </c>
    </row>
    <row r="38" spans="1:10" x14ac:dyDescent="0.25">
      <c r="A38" s="90" t="s">
        <v>42</v>
      </c>
      <c r="B38" s="90" t="s">
        <v>441</v>
      </c>
      <c r="C38" s="90" t="s">
        <v>442</v>
      </c>
      <c r="D38" s="91">
        <v>211476</v>
      </c>
      <c r="E38" s="91">
        <v>0</v>
      </c>
      <c r="F38" s="91">
        <v>45429</v>
      </c>
      <c r="G38" s="91">
        <v>124</v>
      </c>
      <c r="H38" s="91">
        <v>0</v>
      </c>
      <c r="I38" s="91">
        <v>0</v>
      </c>
      <c r="J38" s="91">
        <v>0</v>
      </c>
    </row>
    <row r="39" spans="1:10" x14ac:dyDescent="0.25">
      <c r="A39" s="90" t="s">
        <v>43</v>
      </c>
      <c r="B39" s="90" t="s">
        <v>443</v>
      </c>
      <c r="C39" s="90" t="s">
        <v>444</v>
      </c>
      <c r="D39" s="91">
        <v>109885</v>
      </c>
      <c r="E39" s="91">
        <v>0</v>
      </c>
      <c r="F39" s="91">
        <v>28020</v>
      </c>
      <c r="G39" s="91">
        <v>0</v>
      </c>
      <c r="H39" s="91">
        <v>0</v>
      </c>
      <c r="I39" s="91">
        <v>0</v>
      </c>
      <c r="J39" s="91">
        <v>0</v>
      </c>
    </row>
    <row r="40" spans="1:10" x14ac:dyDescent="0.25">
      <c r="A40" s="90" t="s">
        <v>44</v>
      </c>
      <c r="B40" s="90" t="s">
        <v>222</v>
      </c>
      <c r="C40" s="90" t="s">
        <v>445</v>
      </c>
      <c r="D40" s="91">
        <v>848275</v>
      </c>
      <c r="E40" s="91">
        <v>0</v>
      </c>
      <c r="F40" s="91">
        <v>218265</v>
      </c>
      <c r="G40" s="91">
        <v>21520</v>
      </c>
      <c r="H40" s="91">
        <v>173</v>
      </c>
      <c r="I40" s="91">
        <v>943</v>
      </c>
      <c r="J40" s="91">
        <v>0</v>
      </c>
    </row>
    <row r="41" spans="1:10" x14ac:dyDescent="0.25">
      <c r="A41" s="90" t="s">
        <v>45</v>
      </c>
      <c r="B41" s="90" t="s">
        <v>223</v>
      </c>
      <c r="C41" s="90" t="s">
        <v>446</v>
      </c>
      <c r="D41" s="91">
        <v>30355586</v>
      </c>
      <c r="E41" s="91">
        <v>525874</v>
      </c>
      <c r="F41" s="91">
        <v>4132234</v>
      </c>
      <c r="G41" s="91">
        <v>1841177</v>
      </c>
      <c r="H41" s="91">
        <v>0</v>
      </c>
      <c r="I41" s="91">
        <v>0</v>
      </c>
      <c r="J41" s="91">
        <v>0</v>
      </c>
    </row>
    <row r="42" spans="1:10" x14ac:dyDescent="0.25">
      <c r="A42" s="90" t="s">
        <v>46</v>
      </c>
      <c r="B42" s="90" t="s">
        <v>447</v>
      </c>
      <c r="C42" s="90" t="s">
        <v>448</v>
      </c>
      <c r="D42" s="91">
        <v>44553</v>
      </c>
      <c r="E42" s="91">
        <v>0</v>
      </c>
      <c r="F42" s="91">
        <v>14685</v>
      </c>
      <c r="G42" s="91">
        <v>0</v>
      </c>
      <c r="H42" s="91">
        <v>0</v>
      </c>
      <c r="I42" s="91">
        <v>0</v>
      </c>
      <c r="J42" s="91">
        <v>0</v>
      </c>
    </row>
    <row r="43" spans="1:10" x14ac:dyDescent="0.25">
      <c r="A43" s="90" t="s">
        <v>47</v>
      </c>
      <c r="B43" s="90" t="s">
        <v>449</v>
      </c>
      <c r="C43" s="90" t="s">
        <v>450</v>
      </c>
      <c r="D43" s="91">
        <v>1833725</v>
      </c>
      <c r="E43" s="91">
        <v>0</v>
      </c>
      <c r="F43" s="91">
        <v>463330</v>
      </c>
      <c r="G43" s="91">
        <v>200146</v>
      </c>
      <c r="H43" s="91">
        <v>0</v>
      </c>
      <c r="I43" s="91">
        <v>0</v>
      </c>
      <c r="J43" s="91">
        <v>0</v>
      </c>
    </row>
    <row r="44" spans="1:10" x14ac:dyDescent="0.25">
      <c r="A44" s="90" t="s">
        <v>48</v>
      </c>
      <c r="B44" s="90" t="s">
        <v>451</v>
      </c>
      <c r="C44" s="90" t="s">
        <v>452</v>
      </c>
      <c r="D44" s="91">
        <v>704856</v>
      </c>
      <c r="E44" s="91">
        <v>0</v>
      </c>
      <c r="F44" s="91">
        <v>103491</v>
      </c>
      <c r="G44" s="91">
        <v>144605</v>
      </c>
      <c r="H44" s="91">
        <v>3108</v>
      </c>
      <c r="I44" s="91">
        <v>16975</v>
      </c>
      <c r="J44" s="91">
        <v>0</v>
      </c>
    </row>
    <row r="45" spans="1:10" x14ac:dyDescent="0.25">
      <c r="A45" s="90" t="s">
        <v>49</v>
      </c>
      <c r="B45" s="90" t="s">
        <v>227</v>
      </c>
      <c r="C45" s="90" t="s">
        <v>453</v>
      </c>
      <c r="D45" s="91">
        <v>154546</v>
      </c>
      <c r="E45" s="91">
        <v>0</v>
      </c>
      <c r="F45" s="91">
        <v>41282</v>
      </c>
      <c r="G45" s="91">
        <v>2052</v>
      </c>
      <c r="H45" s="91">
        <v>0</v>
      </c>
      <c r="I45" s="91">
        <v>0</v>
      </c>
      <c r="J45" s="91">
        <v>0</v>
      </c>
    </row>
    <row r="46" spans="1:10" x14ac:dyDescent="0.25">
      <c r="A46" s="90" t="s">
        <v>50</v>
      </c>
      <c r="B46" s="90" t="s">
        <v>228</v>
      </c>
      <c r="C46" s="90" t="s">
        <v>453</v>
      </c>
      <c r="D46" s="91">
        <v>24929</v>
      </c>
      <c r="E46" s="91">
        <v>0</v>
      </c>
      <c r="F46" s="91">
        <v>9704</v>
      </c>
      <c r="G46" s="91">
        <v>560</v>
      </c>
      <c r="H46" s="91">
        <v>0</v>
      </c>
      <c r="I46" s="91">
        <v>0</v>
      </c>
      <c r="J46" s="91">
        <v>0</v>
      </c>
    </row>
    <row r="47" spans="1:10" x14ac:dyDescent="0.25">
      <c r="A47" s="90" t="s">
        <v>51</v>
      </c>
      <c r="B47" s="90" t="s">
        <v>229</v>
      </c>
      <c r="C47" s="90" t="s">
        <v>453</v>
      </c>
      <c r="D47" s="91">
        <v>61728</v>
      </c>
      <c r="E47" s="91">
        <v>0</v>
      </c>
      <c r="F47" s="91">
        <v>23555</v>
      </c>
      <c r="G47" s="91">
        <v>0</v>
      </c>
      <c r="H47" s="91">
        <v>0</v>
      </c>
      <c r="I47" s="91">
        <v>0</v>
      </c>
      <c r="J47" s="91">
        <v>0</v>
      </c>
    </row>
    <row r="48" spans="1:10" x14ac:dyDescent="0.25">
      <c r="A48" s="90" t="s">
        <v>52</v>
      </c>
      <c r="B48" s="90" t="s">
        <v>230</v>
      </c>
      <c r="C48" s="90" t="s">
        <v>453</v>
      </c>
      <c r="D48" s="91">
        <v>18009</v>
      </c>
      <c r="E48" s="91">
        <v>0</v>
      </c>
      <c r="F48" s="91">
        <v>2406</v>
      </c>
      <c r="G48" s="91">
        <v>0</v>
      </c>
      <c r="H48" s="91">
        <v>0</v>
      </c>
      <c r="I48" s="91">
        <v>0</v>
      </c>
      <c r="J48" s="91">
        <v>0</v>
      </c>
    </row>
    <row r="49" spans="1:10" x14ac:dyDescent="0.25">
      <c r="A49" s="90" t="s">
        <v>53</v>
      </c>
      <c r="B49" s="90" t="s">
        <v>231</v>
      </c>
      <c r="C49" s="90" t="s">
        <v>453</v>
      </c>
      <c r="D49" s="91">
        <v>9723</v>
      </c>
      <c r="E49" s="91">
        <v>0</v>
      </c>
      <c r="F49" s="91">
        <v>987</v>
      </c>
      <c r="G49" s="91">
        <v>0</v>
      </c>
      <c r="H49" s="91">
        <v>0</v>
      </c>
      <c r="I49" s="91">
        <v>0</v>
      </c>
      <c r="J49" s="91">
        <v>0</v>
      </c>
    </row>
    <row r="50" spans="1:10" x14ac:dyDescent="0.25">
      <c r="A50" s="90" t="s">
        <v>54</v>
      </c>
      <c r="B50" s="90" t="s">
        <v>454</v>
      </c>
      <c r="C50" s="90" t="s">
        <v>455</v>
      </c>
      <c r="D50" s="91">
        <v>81203</v>
      </c>
      <c r="E50" s="91">
        <v>0</v>
      </c>
      <c r="F50" s="91">
        <v>12995</v>
      </c>
      <c r="G50" s="91">
        <v>0</v>
      </c>
      <c r="H50" s="91">
        <v>0</v>
      </c>
      <c r="I50" s="91">
        <v>0</v>
      </c>
      <c r="J50" s="91">
        <v>0</v>
      </c>
    </row>
    <row r="51" spans="1:10" x14ac:dyDescent="0.25">
      <c r="A51" s="90" t="s">
        <v>55</v>
      </c>
      <c r="B51" s="90" t="s">
        <v>233</v>
      </c>
      <c r="C51" s="90" t="s">
        <v>455</v>
      </c>
      <c r="D51" s="91">
        <v>4058972</v>
      </c>
      <c r="E51" s="91">
        <v>0</v>
      </c>
      <c r="F51" s="91">
        <v>560351</v>
      </c>
      <c r="G51" s="91">
        <v>143983</v>
      </c>
      <c r="H51" s="91">
        <v>86</v>
      </c>
      <c r="I51" s="91">
        <v>472</v>
      </c>
      <c r="J51" s="91">
        <v>0</v>
      </c>
    </row>
    <row r="52" spans="1:10" x14ac:dyDescent="0.25">
      <c r="A52" s="90" t="s">
        <v>56</v>
      </c>
      <c r="B52" s="90" t="s">
        <v>234</v>
      </c>
      <c r="C52" s="90" t="s">
        <v>455</v>
      </c>
      <c r="D52" s="91">
        <v>1249697</v>
      </c>
      <c r="E52" s="91">
        <v>0</v>
      </c>
      <c r="F52" s="91">
        <v>245896</v>
      </c>
      <c r="G52" s="91">
        <v>12874</v>
      </c>
      <c r="H52" s="89">
        <v>0</v>
      </c>
      <c r="I52" s="91">
        <v>15560</v>
      </c>
      <c r="J52" s="91">
        <v>0</v>
      </c>
    </row>
    <row r="53" spans="1:10" x14ac:dyDescent="0.25">
      <c r="A53" s="90" t="s">
        <v>57</v>
      </c>
      <c r="B53" s="90" t="s">
        <v>235</v>
      </c>
      <c r="C53" s="90" t="s">
        <v>455</v>
      </c>
      <c r="D53" s="91">
        <v>1699157</v>
      </c>
      <c r="E53" s="91">
        <v>0</v>
      </c>
      <c r="F53" s="91">
        <v>146684</v>
      </c>
      <c r="G53" s="91">
        <v>25500</v>
      </c>
      <c r="H53" s="91">
        <v>0</v>
      </c>
      <c r="I53" s="91">
        <v>0</v>
      </c>
      <c r="J53" s="91">
        <v>0</v>
      </c>
    </row>
    <row r="54" spans="1:10" x14ac:dyDescent="0.25">
      <c r="A54" s="90" t="s">
        <v>58</v>
      </c>
      <c r="B54" s="90" t="s">
        <v>236</v>
      </c>
      <c r="C54" s="90" t="s">
        <v>455</v>
      </c>
      <c r="D54" s="91">
        <v>7155565</v>
      </c>
      <c r="E54" s="91">
        <v>15287</v>
      </c>
      <c r="F54" s="91">
        <v>1234884</v>
      </c>
      <c r="G54" s="91">
        <v>161211</v>
      </c>
      <c r="H54" s="91">
        <v>0</v>
      </c>
      <c r="I54" s="91">
        <v>0</v>
      </c>
      <c r="J54" s="91">
        <v>0</v>
      </c>
    </row>
    <row r="55" spans="1:10" x14ac:dyDescent="0.25">
      <c r="A55" s="90" t="s">
        <v>59</v>
      </c>
      <c r="B55" s="90" t="s">
        <v>237</v>
      </c>
      <c r="C55" s="90" t="s">
        <v>455</v>
      </c>
      <c r="D55" s="91">
        <v>174917</v>
      </c>
      <c r="E55" s="91">
        <v>0</v>
      </c>
      <c r="F55" s="91">
        <v>65839</v>
      </c>
      <c r="G55" s="91">
        <v>9578</v>
      </c>
      <c r="H55" s="91">
        <v>0</v>
      </c>
      <c r="I55" s="91">
        <v>0</v>
      </c>
      <c r="J55" s="91">
        <v>0</v>
      </c>
    </row>
    <row r="56" spans="1:10" x14ac:dyDescent="0.25">
      <c r="A56" s="90" t="s">
        <v>60</v>
      </c>
      <c r="B56" s="90" t="s">
        <v>238</v>
      </c>
      <c r="C56" s="90" t="s">
        <v>455</v>
      </c>
      <c r="D56" s="91">
        <v>166287</v>
      </c>
      <c r="E56" s="91">
        <v>0</v>
      </c>
      <c r="F56" s="91">
        <v>87609</v>
      </c>
      <c r="G56" s="91">
        <v>0</v>
      </c>
      <c r="H56" s="91">
        <v>0</v>
      </c>
      <c r="I56" s="91">
        <v>0</v>
      </c>
      <c r="J56" s="91">
        <v>0</v>
      </c>
    </row>
    <row r="57" spans="1:10" x14ac:dyDescent="0.25">
      <c r="A57" s="90" t="s">
        <v>61</v>
      </c>
      <c r="B57" s="90" t="s">
        <v>239</v>
      </c>
      <c r="C57" s="90" t="s">
        <v>455</v>
      </c>
      <c r="D57" s="91">
        <v>543699</v>
      </c>
      <c r="E57" s="91">
        <v>0</v>
      </c>
      <c r="F57" s="91">
        <v>236546</v>
      </c>
      <c r="G57" s="91">
        <v>32591</v>
      </c>
      <c r="H57" s="91">
        <v>13900</v>
      </c>
      <c r="I57" s="91">
        <v>75916</v>
      </c>
      <c r="J57" s="91">
        <v>0</v>
      </c>
    </row>
    <row r="58" spans="1:10" x14ac:dyDescent="0.25">
      <c r="A58" s="90" t="s">
        <v>62</v>
      </c>
      <c r="B58" s="90" t="s">
        <v>240</v>
      </c>
      <c r="C58" s="90" t="s">
        <v>455</v>
      </c>
      <c r="D58" s="91">
        <v>147637</v>
      </c>
      <c r="E58" s="91">
        <v>0</v>
      </c>
      <c r="F58" s="91">
        <v>29694</v>
      </c>
      <c r="G58" s="91">
        <v>8148</v>
      </c>
      <c r="H58" s="91">
        <v>0</v>
      </c>
      <c r="I58" s="91">
        <v>0</v>
      </c>
      <c r="J58" s="91">
        <v>0</v>
      </c>
    </row>
    <row r="59" spans="1:10" x14ac:dyDescent="0.25">
      <c r="A59" s="90" t="s">
        <v>63</v>
      </c>
      <c r="B59" s="90" t="s">
        <v>456</v>
      </c>
      <c r="C59" s="90" t="s">
        <v>455</v>
      </c>
      <c r="D59" s="91">
        <v>116612</v>
      </c>
      <c r="E59" s="91">
        <v>0</v>
      </c>
      <c r="F59" s="91">
        <v>18253</v>
      </c>
      <c r="G59" s="91">
        <v>871</v>
      </c>
      <c r="H59" s="91">
        <v>0</v>
      </c>
      <c r="I59" s="91">
        <v>0</v>
      </c>
      <c r="J59" s="91">
        <v>0</v>
      </c>
    </row>
    <row r="60" spans="1:10" x14ac:dyDescent="0.25">
      <c r="A60" s="90" t="s">
        <v>64</v>
      </c>
      <c r="B60" s="90" t="s">
        <v>242</v>
      </c>
      <c r="C60" s="90" t="s">
        <v>455</v>
      </c>
      <c r="D60" s="91">
        <v>38683</v>
      </c>
      <c r="E60" s="91">
        <v>0</v>
      </c>
      <c r="F60" s="91">
        <v>6429</v>
      </c>
      <c r="G60" s="91">
        <v>1990</v>
      </c>
      <c r="H60" s="91">
        <v>0</v>
      </c>
      <c r="I60" s="91">
        <v>0</v>
      </c>
      <c r="J60" s="91">
        <v>0</v>
      </c>
    </row>
    <row r="61" spans="1:10" x14ac:dyDescent="0.25">
      <c r="A61" s="90" t="s">
        <v>65</v>
      </c>
      <c r="B61" s="90" t="s">
        <v>243</v>
      </c>
      <c r="C61" s="90" t="s">
        <v>455</v>
      </c>
      <c r="D61" s="91">
        <v>152419</v>
      </c>
      <c r="E61" s="91">
        <v>0</v>
      </c>
      <c r="F61" s="91">
        <v>59545</v>
      </c>
      <c r="G61" s="91">
        <v>14989</v>
      </c>
      <c r="H61" s="91">
        <v>0</v>
      </c>
      <c r="I61" s="91">
        <v>0</v>
      </c>
      <c r="J61" s="91">
        <v>0</v>
      </c>
    </row>
    <row r="62" spans="1:10" x14ac:dyDescent="0.25">
      <c r="A62" s="90" t="s">
        <v>66</v>
      </c>
      <c r="B62" s="90" t="s">
        <v>244</v>
      </c>
      <c r="C62" s="90" t="s">
        <v>455</v>
      </c>
      <c r="D62" s="91">
        <v>1061572</v>
      </c>
      <c r="E62" s="91">
        <v>0</v>
      </c>
      <c r="F62" s="91">
        <v>118984</v>
      </c>
      <c r="G62" s="91">
        <v>53177</v>
      </c>
      <c r="H62" s="91">
        <v>1295</v>
      </c>
      <c r="I62" s="91">
        <v>7073</v>
      </c>
      <c r="J62" s="91">
        <v>0</v>
      </c>
    </row>
    <row r="63" spans="1:10" x14ac:dyDescent="0.25">
      <c r="A63" s="90" t="s">
        <v>67</v>
      </c>
      <c r="B63" s="90" t="s">
        <v>457</v>
      </c>
      <c r="C63" s="90" t="s">
        <v>455</v>
      </c>
      <c r="D63" s="91">
        <v>22156</v>
      </c>
      <c r="E63" s="91">
        <v>0</v>
      </c>
      <c r="F63" s="91">
        <v>870</v>
      </c>
      <c r="G63" s="91">
        <v>0</v>
      </c>
      <c r="H63" s="91">
        <v>0</v>
      </c>
      <c r="I63" s="91">
        <v>0</v>
      </c>
      <c r="J63" s="91">
        <v>0</v>
      </c>
    </row>
    <row r="64" spans="1:10" x14ac:dyDescent="0.25">
      <c r="A64" s="90" t="s">
        <v>68</v>
      </c>
      <c r="B64" s="90" t="s">
        <v>458</v>
      </c>
      <c r="C64" s="90" t="s">
        <v>455</v>
      </c>
      <c r="D64" s="91">
        <v>146240</v>
      </c>
      <c r="E64" s="91">
        <v>0</v>
      </c>
      <c r="F64" s="91">
        <v>12084</v>
      </c>
      <c r="G64" s="91">
        <v>311</v>
      </c>
      <c r="H64" s="91">
        <v>0</v>
      </c>
      <c r="I64" s="91">
        <v>0</v>
      </c>
      <c r="J64" s="91">
        <v>0</v>
      </c>
    </row>
    <row r="65" spans="1:10" x14ac:dyDescent="0.25">
      <c r="A65" s="90" t="s">
        <v>69</v>
      </c>
      <c r="B65" s="90" t="s">
        <v>459</v>
      </c>
      <c r="C65" s="90" t="s">
        <v>460</v>
      </c>
      <c r="D65" s="91">
        <v>1058179</v>
      </c>
      <c r="E65" s="91">
        <v>137583</v>
      </c>
      <c r="F65" s="91">
        <v>187367</v>
      </c>
      <c r="G65" s="91">
        <v>2239</v>
      </c>
      <c r="H65" s="91">
        <v>0</v>
      </c>
      <c r="I65" s="91">
        <v>0</v>
      </c>
      <c r="J65" s="91">
        <v>68745</v>
      </c>
    </row>
    <row r="66" spans="1:10" x14ac:dyDescent="0.25">
      <c r="A66" s="90" t="s">
        <v>70</v>
      </c>
      <c r="B66" s="90" t="s">
        <v>461</v>
      </c>
      <c r="C66" s="90" t="s">
        <v>460</v>
      </c>
      <c r="D66" s="91">
        <v>447721</v>
      </c>
      <c r="E66" s="91">
        <v>0</v>
      </c>
      <c r="F66" s="91">
        <v>101193</v>
      </c>
      <c r="G66" s="91">
        <v>1493</v>
      </c>
      <c r="H66" s="89">
        <v>0</v>
      </c>
      <c r="I66" s="89">
        <v>0</v>
      </c>
      <c r="J66" s="91">
        <v>26193</v>
      </c>
    </row>
    <row r="67" spans="1:10" x14ac:dyDescent="0.25">
      <c r="A67" s="90" t="s">
        <v>71</v>
      </c>
      <c r="B67" s="90" t="s">
        <v>462</v>
      </c>
      <c r="C67" s="90" t="s">
        <v>460</v>
      </c>
      <c r="D67" s="91">
        <v>73925</v>
      </c>
      <c r="E67" s="91">
        <v>0</v>
      </c>
      <c r="F67" s="91">
        <v>6454</v>
      </c>
      <c r="G67" s="91">
        <v>0</v>
      </c>
      <c r="H67" s="91">
        <v>0</v>
      </c>
      <c r="I67" s="91">
        <v>0</v>
      </c>
      <c r="J67" s="91">
        <v>0</v>
      </c>
    </row>
    <row r="68" spans="1:10" x14ac:dyDescent="0.25">
      <c r="A68" s="90" t="s">
        <v>72</v>
      </c>
      <c r="B68" s="90" t="s">
        <v>463</v>
      </c>
      <c r="C68" s="90" t="s">
        <v>464</v>
      </c>
      <c r="D68" s="91">
        <v>555726</v>
      </c>
      <c r="E68" s="91">
        <v>0</v>
      </c>
      <c r="F68" s="91">
        <v>118797</v>
      </c>
      <c r="G68" s="91">
        <v>109029</v>
      </c>
      <c r="H68" s="91">
        <v>4230</v>
      </c>
      <c r="I68" s="91">
        <v>23105</v>
      </c>
      <c r="J68" s="91">
        <v>0</v>
      </c>
    </row>
    <row r="69" spans="1:10" x14ac:dyDescent="0.25">
      <c r="A69" s="90" t="s">
        <v>73</v>
      </c>
      <c r="B69" s="90" t="s">
        <v>465</v>
      </c>
      <c r="C69" s="90" t="s">
        <v>464</v>
      </c>
      <c r="D69" s="91">
        <v>619654</v>
      </c>
      <c r="E69" s="91">
        <v>0</v>
      </c>
      <c r="F69" s="91">
        <v>125560</v>
      </c>
      <c r="G69" s="91">
        <v>54421</v>
      </c>
      <c r="H69" s="91">
        <v>1036</v>
      </c>
      <c r="I69" s="91">
        <v>5658</v>
      </c>
      <c r="J69" s="91">
        <v>0</v>
      </c>
    </row>
    <row r="70" spans="1:10" x14ac:dyDescent="0.25">
      <c r="A70" s="90" t="s">
        <v>74</v>
      </c>
      <c r="B70" s="90" t="s">
        <v>252</v>
      </c>
      <c r="C70" s="90" t="s">
        <v>464</v>
      </c>
      <c r="D70" s="91">
        <v>216322</v>
      </c>
      <c r="E70" s="91">
        <v>0</v>
      </c>
      <c r="F70" s="91">
        <v>27861</v>
      </c>
      <c r="G70" s="91">
        <v>12564</v>
      </c>
      <c r="H70" s="91">
        <v>0</v>
      </c>
      <c r="I70" s="91">
        <v>0</v>
      </c>
      <c r="J70" s="91">
        <v>18169</v>
      </c>
    </row>
    <row r="71" spans="1:10" x14ac:dyDescent="0.25">
      <c r="A71" s="90" t="s">
        <v>75</v>
      </c>
      <c r="B71" s="90" t="s">
        <v>466</v>
      </c>
      <c r="C71" s="90" t="s">
        <v>467</v>
      </c>
      <c r="D71" s="91">
        <v>11485</v>
      </c>
      <c r="E71" s="91">
        <v>0</v>
      </c>
      <c r="F71" s="91">
        <v>10933</v>
      </c>
      <c r="G71" s="91">
        <v>0</v>
      </c>
      <c r="H71" s="91">
        <v>0</v>
      </c>
      <c r="I71" s="91">
        <v>0</v>
      </c>
      <c r="J71" s="91">
        <v>0</v>
      </c>
    </row>
    <row r="72" spans="1:10" x14ac:dyDescent="0.25">
      <c r="A72" s="90" t="s">
        <v>76</v>
      </c>
      <c r="B72" s="90" t="s">
        <v>468</v>
      </c>
      <c r="C72" s="90" t="s">
        <v>469</v>
      </c>
      <c r="D72" s="91">
        <v>85077</v>
      </c>
      <c r="E72" s="91">
        <v>0</v>
      </c>
      <c r="F72" s="91">
        <v>19354</v>
      </c>
      <c r="G72" s="91">
        <v>2488</v>
      </c>
      <c r="H72" s="91">
        <v>0</v>
      </c>
      <c r="I72" s="91">
        <v>0</v>
      </c>
      <c r="J72" s="91">
        <v>0</v>
      </c>
    </row>
    <row r="73" spans="1:10" x14ac:dyDescent="0.25">
      <c r="A73" s="90" t="s">
        <v>77</v>
      </c>
      <c r="B73" s="90" t="s">
        <v>255</v>
      </c>
      <c r="C73" s="90" t="s">
        <v>469</v>
      </c>
      <c r="D73" s="91">
        <v>172435</v>
      </c>
      <c r="E73" s="91">
        <v>0</v>
      </c>
      <c r="F73" s="91">
        <v>27572</v>
      </c>
      <c r="G73" s="91">
        <v>7215</v>
      </c>
      <c r="H73" s="91">
        <v>0</v>
      </c>
      <c r="I73" s="91">
        <v>0</v>
      </c>
      <c r="J73" s="91">
        <v>0</v>
      </c>
    </row>
    <row r="74" spans="1:10" x14ac:dyDescent="0.25">
      <c r="A74" s="90" t="s">
        <v>78</v>
      </c>
      <c r="B74" s="90" t="s">
        <v>470</v>
      </c>
      <c r="C74" s="90" t="s">
        <v>471</v>
      </c>
      <c r="D74" s="91">
        <v>277596</v>
      </c>
      <c r="E74" s="91">
        <v>0</v>
      </c>
      <c r="F74" s="91">
        <v>58240</v>
      </c>
      <c r="G74" s="91">
        <v>10573</v>
      </c>
      <c r="H74" s="91">
        <v>0</v>
      </c>
      <c r="I74" s="91">
        <v>0</v>
      </c>
      <c r="J74" s="91">
        <v>0</v>
      </c>
    </row>
    <row r="75" spans="1:10" x14ac:dyDescent="0.25">
      <c r="A75" s="90" t="s">
        <v>79</v>
      </c>
      <c r="B75" s="90" t="s">
        <v>472</v>
      </c>
      <c r="C75" s="90" t="s">
        <v>473</v>
      </c>
      <c r="D75" s="91">
        <v>24539</v>
      </c>
      <c r="E75" s="91">
        <v>0</v>
      </c>
      <c r="F75" s="91">
        <v>4042</v>
      </c>
      <c r="G75" s="91">
        <v>187</v>
      </c>
      <c r="H75" s="91">
        <v>0</v>
      </c>
      <c r="I75" s="91">
        <v>0</v>
      </c>
      <c r="J75" s="91">
        <v>0</v>
      </c>
    </row>
    <row r="76" spans="1:10" x14ac:dyDescent="0.25">
      <c r="A76" s="90" t="s">
        <v>80</v>
      </c>
      <c r="B76" s="90" t="s">
        <v>474</v>
      </c>
      <c r="C76" s="90" t="s">
        <v>475</v>
      </c>
      <c r="D76" s="91">
        <v>289633</v>
      </c>
      <c r="E76" s="91">
        <v>0</v>
      </c>
      <c r="F76" s="91">
        <v>63831</v>
      </c>
      <c r="G76" s="91">
        <v>746</v>
      </c>
      <c r="H76" s="91">
        <v>0</v>
      </c>
      <c r="I76" s="91">
        <v>0</v>
      </c>
      <c r="J76" s="91">
        <v>0</v>
      </c>
    </row>
    <row r="77" spans="1:10" x14ac:dyDescent="0.25">
      <c r="A77" s="90" t="s">
        <v>81</v>
      </c>
      <c r="B77" s="90" t="s">
        <v>476</v>
      </c>
      <c r="C77" s="90" t="s">
        <v>475</v>
      </c>
      <c r="D77" s="91">
        <v>28787</v>
      </c>
      <c r="E77" s="91">
        <v>0</v>
      </c>
      <c r="F77" s="91">
        <v>15280</v>
      </c>
      <c r="G77" s="91">
        <v>0</v>
      </c>
      <c r="H77" s="91">
        <v>0</v>
      </c>
      <c r="I77" s="91">
        <v>0</v>
      </c>
      <c r="J77" s="91">
        <v>0</v>
      </c>
    </row>
    <row r="78" spans="1:10" x14ac:dyDescent="0.25">
      <c r="A78" s="90" t="s">
        <v>82</v>
      </c>
      <c r="B78" s="90" t="s">
        <v>260</v>
      </c>
      <c r="C78" s="90" t="s">
        <v>477</v>
      </c>
      <c r="D78" s="91">
        <v>39900</v>
      </c>
      <c r="E78" s="91">
        <v>0</v>
      </c>
      <c r="F78" s="91">
        <v>11116</v>
      </c>
      <c r="G78" s="91">
        <v>1244</v>
      </c>
      <c r="H78" s="91">
        <v>0</v>
      </c>
      <c r="I78" s="91">
        <v>0</v>
      </c>
      <c r="J78" s="91">
        <v>0</v>
      </c>
    </row>
    <row r="79" spans="1:10" x14ac:dyDescent="0.25">
      <c r="A79" s="90" t="s">
        <v>83</v>
      </c>
      <c r="B79" s="90" t="s">
        <v>261</v>
      </c>
      <c r="C79" s="90" t="s">
        <v>478</v>
      </c>
      <c r="D79" s="91">
        <v>11137945</v>
      </c>
      <c r="E79" s="91">
        <v>36689</v>
      </c>
      <c r="F79" s="91">
        <v>1901702</v>
      </c>
      <c r="G79" s="91">
        <v>411548</v>
      </c>
      <c r="H79" s="91">
        <v>0</v>
      </c>
      <c r="I79" s="91">
        <v>0</v>
      </c>
      <c r="J79" s="91">
        <v>0</v>
      </c>
    </row>
    <row r="80" spans="1:10" x14ac:dyDescent="0.25">
      <c r="A80" s="90" t="s">
        <v>84</v>
      </c>
      <c r="B80" s="90" t="s">
        <v>479</v>
      </c>
      <c r="C80" s="90" t="s">
        <v>480</v>
      </c>
      <c r="D80" s="91">
        <v>24780</v>
      </c>
      <c r="E80" s="91">
        <v>0</v>
      </c>
      <c r="F80" s="91">
        <v>11912</v>
      </c>
      <c r="G80" s="91">
        <v>0</v>
      </c>
      <c r="H80" s="91">
        <v>0</v>
      </c>
      <c r="I80" s="91">
        <v>0</v>
      </c>
      <c r="J80" s="91">
        <v>0</v>
      </c>
    </row>
    <row r="81" spans="1:10" x14ac:dyDescent="0.25">
      <c r="A81" s="90" t="s">
        <v>85</v>
      </c>
      <c r="B81" s="90" t="s">
        <v>481</v>
      </c>
      <c r="C81" s="90" t="s">
        <v>480</v>
      </c>
      <c r="D81" s="91">
        <v>13620</v>
      </c>
      <c r="E81" s="91">
        <v>0</v>
      </c>
      <c r="F81" s="91">
        <v>878</v>
      </c>
      <c r="G81" s="91">
        <v>0</v>
      </c>
      <c r="H81" s="91">
        <v>0</v>
      </c>
      <c r="I81" s="91">
        <v>0</v>
      </c>
      <c r="J81" s="91">
        <v>0</v>
      </c>
    </row>
    <row r="82" spans="1:10" x14ac:dyDescent="0.25">
      <c r="A82" s="90" t="s">
        <v>86</v>
      </c>
      <c r="B82" s="90" t="s">
        <v>264</v>
      </c>
      <c r="C82" s="90" t="s">
        <v>482</v>
      </c>
      <c r="D82" s="91">
        <v>37403</v>
      </c>
      <c r="E82" s="91">
        <v>0</v>
      </c>
      <c r="F82" s="91">
        <v>11174</v>
      </c>
      <c r="G82" s="91">
        <v>0</v>
      </c>
      <c r="H82" s="91">
        <v>0</v>
      </c>
      <c r="I82" s="91">
        <v>0</v>
      </c>
      <c r="J82" s="91">
        <v>0</v>
      </c>
    </row>
    <row r="83" spans="1:10" x14ac:dyDescent="0.25">
      <c r="A83" s="90" t="s">
        <v>87</v>
      </c>
      <c r="B83" s="90" t="s">
        <v>265</v>
      </c>
      <c r="C83" s="90" t="s">
        <v>482</v>
      </c>
      <c r="D83" s="91">
        <v>22333</v>
      </c>
      <c r="E83" s="91">
        <v>0</v>
      </c>
      <c r="F83" s="91">
        <v>4350</v>
      </c>
      <c r="G83" s="91">
        <v>249</v>
      </c>
      <c r="H83" s="91">
        <v>0</v>
      </c>
      <c r="I83" s="91">
        <v>0</v>
      </c>
      <c r="J83" s="91">
        <v>0</v>
      </c>
    </row>
    <row r="84" spans="1:10" x14ac:dyDescent="0.25">
      <c r="A84" s="90" t="s">
        <v>88</v>
      </c>
      <c r="B84" s="90" t="s">
        <v>266</v>
      </c>
      <c r="C84" s="90" t="s">
        <v>482</v>
      </c>
      <c r="D84" s="91">
        <v>35451</v>
      </c>
      <c r="E84" s="91">
        <v>0</v>
      </c>
      <c r="F84" s="91">
        <v>9204</v>
      </c>
      <c r="G84" s="91">
        <v>1306</v>
      </c>
      <c r="H84" s="91">
        <v>0</v>
      </c>
      <c r="I84" s="91">
        <v>0</v>
      </c>
      <c r="J84" s="91">
        <v>0</v>
      </c>
    </row>
    <row r="85" spans="1:10" x14ac:dyDescent="0.25">
      <c r="A85" s="90" t="s">
        <v>89</v>
      </c>
      <c r="B85" s="90" t="s">
        <v>267</v>
      </c>
      <c r="C85" s="90" t="s">
        <v>482</v>
      </c>
      <c r="D85" s="91">
        <v>28638</v>
      </c>
      <c r="E85" s="91">
        <v>0</v>
      </c>
      <c r="F85" s="91">
        <v>3765</v>
      </c>
      <c r="G85" s="91">
        <v>1990</v>
      </c>
      <c r="H85" s="91">
        <v>0</v>
      </c>
      <c r="I85" s="91">
        <v>0</v>
      </c>
      <c r="J85" s="91">
        <v>0</v>
      </c>
    </row>
    <row r="86" spans="1:10" x14ac:dyDescent="0.25">
      <c r="A86" s="90" t="s">
        <v>90</v>
      </c>
      <c r="B86" s="90" t="s">
        <v>483</v>
      </c>
      <c r="C86" s="90" t="s">
        <v>482</v>
      </c>
      <c r="D86" s="91">
        <v>103490</v>
      </c>
      <c r="E86" s="91">
        <v>0</v>
      </c>
      <c r="F86" s="91">
        <v>31869</v>
      </c>
      <c r="G86" s="91">
        <v>10573</v>
      </c>
      <c r="H86" s="91">
        <v>0</v>
      </c>
      <c r="I86" s="91">
        <v>0</v>
      </c>
      <c r="J86" s="91">
        <v>0</v>
      </c>
    </row>
    <row r="87" spans="1:10" x14ac:dyDescent="0.25">
      <c r="A87" s="90" t="s">
        <v>91</v>
      </c>
      <c r="B87" s="90" t="s">
        <v>269</v>
      </c>
      <c r="C87" s="90" t="s">
        <v>484</v>
      </c>
      <c r="D87" s="91">
        <v>273952</v>
      </c>
      <c r="E87" s="91">
        <v>0</v>
      </c>
      <c r="F87" s="91">
        <v>43594</v>
      </c>
      <c r="G87" s="91">
        <v>24505</v>
      </c>
      <c r="H87" s="91">
        <v>0</v>
      </c>
      <c r="I87" s="91">
        <v>0</v>
      </c>
      <c r="J87" s="91">
        <v>18745</v>
      </c>
    </row>
    <row r="88" spans="1:10" x14ac:dyDescent="0.25">
      <c r="A88" s="90" t="s">
        <v>92</v>
      </c>
      <c r="B88" s="90" t="s">
        <v>270</v>
      </c>
      <c r="C88" s="90" t="s">
        <v>485</v>
      </c>
      <c r="D88" s="91">
        <v>492375</v>
      </c>
      <c r="E88" s="91">
        <v>3830</v>
      </c>
      <c r="F88" s="91">
        <v>165802</v>
      </c>
      <c r="G88" s="91">
        <v>12937</v>
      </c>
      <c r="H88" s="91">
        <v>0</v>
      </c>
      <c r="I88" s="91">
        <v>0</v>
      </c>
      <c r="J88" s="91">
        <v>0</v>
      </c>
    </row>
    <row r="89" spans="1:10" x14ac:dyDescent="0.25">
      <c r="A89" s="90" t="s">
        <v>93</v>
      </c>
      <c r="B89" s="90" t="s">
        <v>486</v>
      </c>
      <c r="C89" s="90" t="s">
        <v>485</v>
      </c>
      <c r="D89" s="91">
        <v>88806</v>
      </c>
      <c r="E89" s="91">
        <v>0</v>
      </c>
      <c r="F89" s="91">
        <v>29240</v>
      </c>
      <c r="G89" s="91">
        <v>0</v>
      </c>
      <c r="H89" s="91">
        <v>345</v>
      </c>
      <c r="I89" s="91">
        <v>1886</v>
      </c>
      <c r="J89" s="91">
        <v>0</v>
      </c>
    </row>
    <row r="90" spans="1:10" x14ac:dyDescent="0.25">
      <c r="A90" s="90" t="s">
        <v>94</v>
      </c>
      <c r="B90" s="90" t="s">
        <v>487</v>
      </c>
      <c r="C90" s="90" t="s">
        <v>485</v>
      </c>
      <c r="D90" s="91">
        <v>177474</v>
      </c>
      <c r="E90" s="91">
        <v>0</v>
      </c>
      <c r="F90" s="91">
        <v>51208</v>
      </c>
      <c r="G90" s="91">
        <v>0</v>
      </c>
      <c r="H90" s="91">
        <v>0</v>
      </c>
      <c r="I90" s="91">
        <v>0</v>
      </c>
      <c r="J90" s="91">
        <v>15103</v>
      </c>
    </row>
    <row r="91" spans="1:10" x14ac:dyDescent="0.25">
      <c r="A91" s="90" t="s">
        <v>95</v>
      </c>
      <c r="B91" s="90" t="s">
        <v>273</v>
      </c>
      <c r="C91" s="90" t="s">
        <v>488</v>
      </c>
      <c r="D91" s="91">
        <v>2746985</v>
      </c>
      <c r="E91" s="91">
        <v>47237</v>
      </c>
      <c r="F91" s="91">
        <v>680174</v>
      </c>
      <c r="G91" s="91">
        <v>128994</v>
      </c>
      <c r="H91" s="91">
        <v>0</v>
      </c>
      <c r="I91" s="91">
        <v>0</v>
      </c>
      <c r="J91" s="91">
        <v>0</v>
      </c>
    </row>
    <row r="92" spans="1:10" x14ac:dyDescent="0.25">
      <c r="A92" s="90" t="s">
        <v>96</v>
      </c>
      <c r="B92" s="90" t="s">
        <v>489</v>
      </c>
      <c r="C92" s="90" t="s">
        <v>488</v>
      </c>
      <c r="D92" s="91">
        <v>1592294</v>
      </c>
      <c r="E92" s="91">
        <v>0</v>
      </c>
      <c r="F92" s="91">
        <v>350837</v>
      </c>
      <c r="G92" s="91">
        <v>35452</v>
      </c>
      <c r="H92" s="91">
        <v>0</v>
      </c>
      <c r="I92" s="91">
        <v>0</v>
      </c>
      <c r="J92" s="91">
        <v>0</v>
      </c>
    </row>
    <row r="93" spans="1:10" x14ac:dyDescent="0.25">
      <c r="A93" s="90" t="s">
        <v>97</v>
      </c>
      <c r="B93" s="90" t="s">
        <v>490</v>
      </c>
      <c r="C93" s="90" t="s">
        <v>488</v>
      </c>
      <c r="D93" s="91">
        <v>83878</v>
      </c>
      <c r="E93" s="91">
        <v>0</v>
      </c>
      <c r="F93" s="91">
        <v>39492</v>
      </c>
      <c r="G93" s="91">
        <v>11817</v>
      </c>
      <c r="H93" s="91">
        <v>0</v>
      </c>
      <c r="I93" s="91">
        <v>0</v>
      </c>
      <c r="J93" s="91">
        <v>0</v>
      </c>
    </row>
    <row r="94" spans="1:10" x14ac:dyDescent="0.25">
      <c r="A94" s="90" t="s">
        <v>98</v>
      </c>
      <c r="B94" s="90" t="s">
        <v>276</v>
      </c>
      <c r="C94" s="90" t="s">
        <v>491</v>
      </c>
      <c r="D94" s="91">
        <v>366181</v>
      </c>
      <c r="E94" s="91">
        <v>0</v>
      </c>
      <c r="F94" s="91">
        <v>114895</v>
      </c>
      <c r="G94" s="91">
        <v>2674</v>
      </c>
      <c r="H94" s="91">
        <v>0</v>
      </c>
      <c r="I94" s="91">
        <v>0</v>
      </c>
      <c r="J94" s="91">
        <v>0</v>
      </c>
    </row>
    <row r="95" spans="1:10" x14ac:dyDescent="0.25">
      <c r="A95" s="90" t="s">
        <v>99</v>
      </c>
      <c r="B95" s="90" t="s">
        <v>277</v>
      </c>
      <c r="C95" s="90" t="s">
        <v>491</v>
      </c>
      <c r="D95" s="91">
        <v>32573</v>
      </c>
      <c r="E95" s="91">
        <v>0</v>
      </c>
      <c r="F95" s="91">
        <v>9054</v>
      </c>
      <c r="G95" s="91">
        <v>187</v>
      </c>
      <c r="H95" s="91">
        <v>0</v>
      </c>
      <c r="I95" s="91">
        <v>0</v>
      </c>
      <c r="J95" s="91">
        <v>0</v>
      </c>
    </row>
    <row r="96" spans="1:10" x14ac:dyDescent="0.25">
      <c r="A96" s="90" t="s">
        <v>100</v>
      </c>
      <c r="B96" s="90" t="s">
        <v>278</v>
      </c>
      <c r="C96" s="90" t="s">
        <v>491</v>
      </c>
      <c r="D96" s="91">
        <v>34711</v>
      </c>
      <c r="E96" s="91">
        <v>0</v>
      </c>
      <c r="F96" s="91">
        <v>12530</v>
      </c>
      <c r="G96" s="91">
        <v>373</v>
      </c>
      <c r="H96" s="91">
        <v>0</v>
      </c>
      <c r="I96" s="91">
        <v>0</v>
      </c>
      <c r="J96" s="91">
        <v>0</v>
      </c>
    </row>
    <row r="97" spans="1:10" x14ac:dyDescent="0.25">
      <c r="A97" s="90" t="s">
        <v>101</v>
      </c>
      <c r="B97" s="90" t="s">
        <v>492</v>
      </c>
      <c r="C97" s="90" t="s">
        <v>491</v>
      </c>
      <c r="D97" s="91">
        <v>94315</v>
      </c>
      <c r="E97" s="91">
        <v>0</v>
      </c>
      <c r="F97" s="91">
        <v>18199</v>
      </c>
      <c r="G97" s="91">
        <v>187</v>
      </c>
      <c r="H97" s="91">
        <v>0</v>
      </c>
      <c r="I97" s="91">
        <v>0</v>
      </c>
      <c r="J97" s="91">
        <v>0</v>
      </c>
    </row>
    <row r="98" spans="1:10" x14ac:dyDescent="0.25">
      <c r="A98" s="90" t="s">
        <v>102</v>
      </c>
      <c r="B98" s="90" t="s">
        <v>280</v>
      </c>
      <c r="C98" s="90" t="s">
        <v>491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</row>
    <row r="99" spans="1:10" x14ac:dyDescent="0.25">
      <c r="A99" s="90" t="s">
        <v>103</v>
      </c>
      <c r="B99" s="90" t="s">
        <v>281</v>
      </c>
      <c r="C99" s="90" t="s">
        <v>491</v>
      </c>
      <c r="D99" s="91">
        <v>1541</v>
      </c>
      <c r="E99" s="91">
        <v>0</v>
      </c>
      <c r="F99" s="91">
        <v>5204</v>
      </c>
      <c r="G99" s="91">
        <v>0</v>
      </c>
      <c r="H99" s="91">
        <v>0</v>
      </c>
      <c r="I99" s="91">
        <v>0</v>
      </c>
      <c r="J99" s="91">
        <v>0</v>
      </c>
    </row>
    <row r="100" spans="1:10" x14ac:dyDescent="0.25">
      <c r="A100" s="90" t="s">
        <v>104</v>
      </c>
      <c r="B100" s="90" t="s">
        <v>282</v>
      </c>
      <c r="C100" s="90" t="s">
        <v>493</v>
      </c>
      <c r="D100" s="91">
        <v>38757</v>
      </c>
      <c r="E100" s="91">
        <v>0</v>
      </c>
      <c r="F100" s="91">
        <v>11442</v>
      </c>
      <c r="G100" s="91">
        <v>0</v>
      </c>
      <c r="H100" s="91">
        <v>0</v>
      </c>
      <c r="I100" s="91">
        <v>0</v>
      </c>
      <c r="J100" s="91">
        <v>0</v>
      </c>
    </row>
    <row r="101" spans="1:10" x14ac:dyDescent="0.25">
      <c r="A101" s="90" t="s">
        <v>105</v>
      </c>
      <c r="B101" s="90" t="s">
        <v>494</v>
      </c>
      <c r="C101" s="90" t="s">
        <v>493</v>
      </c>
      <c r="D101" s="91">
        <v>78445</v>
      </c>
      <c r="E101" s="91">
        <v>0</v>
      </c>
      <c r="F101" s="91">
        <v>19317</v>
      </c>
      <c r="G101" s="91">
        <v>1306</v>
      </c>
      <c r="H101" s="91">
        <v>0</v>
      </c>
      <c r="I101" s="91">
        <v>0</v>
      </c>
      <c r="J101" s="91">
        <v>0</v>
      </c>
    </row>
    <row r="102" spans="1:10" x14ac:dyDescent="0.25">
      <c r="A102" s="90" t="s">
        <v>106</v>
      </c>
      <c r="B102" s="90" t="s">
        <v>495</v>
      </c>
      <c r="C102" s="90" t="s">
        <v>493</v>
      </c>
      <c r="D102" s="91">
        <v>16185</v>
      </c>
      <c r="E102" s="91">
        <v>0</v>
      </c>
      <c r="F102" s="91">
        <v>3350</v>
      </c>
      <c r="G102" s="91">
        <v>0</v>
      </c>
      <c r="H102" s="91">
        <v>0</v>
      </c>
      <c r="I102" s="91">
        <v>0</v>
      </c>
      <c r="J102" s="91">
        <v>0</v>
      </c>
    </row>
    <row r="103" spans="1:10" x14ac:dyDescent="0.25">
      <c r="A103" s="90" t="s">
        <v>107</v>
      </c>
      <c r="B103" s="90" t="s">
        <v>496</v>
      </c>
      <c r="C103" s="90" t="s">
        <v>497</v>
      </c>
      <c r="D103" s="91">
        <v>428678</v>
      </c>
      <c r="E103" s="91">
        <v>0</v>
      </c>
      <c r="F103" s="91">
        <v>121938</v>
      </c>
      <c r="G103" s="91">
        <v>7339</v>
      </c>
      <c r="H103" s="91">
        <v>0</v>
      </c>
      <c r="I103" s="91">
        <v>0</v>
      </c>
      <c r="J103" s="91">
        <v>0</v>
      </c>
    </row>
    <row r="104" spans="1:10" x14ac:dyDescent="0.25">
      <c r="A104" s="90" t="s">
        <v>108</v>
      </c>
      <c r="B104" s="90" t="s">
        <v>498</v>
      </c>
      <c r="C104" s="90" t="s">
        <v>497</v>
      </c>
      <c r="D104" s="91">
        <v>31736</v>
      </c>
      <c r="E104" s="91">
        <v>0</v>
      </c>
      <c r="F104" s="91">
        <v>5824</v>
      </c>
      <c r="G104" s="91">
        <v>0</v>
      </c>
      <c r="H104" s="91">
        <v>0</v>
      </c>
      <c r="I104" s="91">
        <v>0</v>
      </c>
      <c r="J104" s="91">
        <v>0</v>
      </c>
    </row>
    <row r="105" spans="1:10" x14ac:dyDescent="0.25">
      <c r="A105" s="90" t="s">
        <v>109</v>
      </c>
      <c r="B105" s="90" t="s">
        <v>499</v>
      </c>
      <c r="C105" s="90" t="s">
        <v>497</v>
      </c>
      <c r="D105" s="91">
        <v>22176</v>
      </c>
      <c r="E105" s="91">
        <v>0</v>
      </c>
      <c r="F105" s="91">
        <v>7606</v>
      </c>
      <c r="G105" s="91">
        <v>0</v>
      </c>
      <c r="H105" s="91">
        <v>0</v>
      </c>
      <c r="I105" s="91">
        <v>0</v>
      </c>
      <c r="J105" s="91">
        <v>0</v>
      </c>
    </row>
    <row r="106" spans="1:10" x14ac:dyDescent="0.25">
      <c r="A106" s="90" t="s">
        <v>110</v>
      </c>
      <c r="B106" s="90" t="s">
        <v>500</v>
      </c>
      <c r="C106" s="90" t="s">
        <v>497</v>
      </c>
      <c r="D106" s="91">
        <v>2101</v>
      </c>
      <c r="E106" s="91">
        <v>0</v>
      </c>
      <c r="F106" s="91">
        <v>5221</v>
      </c>
      <c r="G106" s="91">
        <v>0</v>
      </c>
      <c r="H106" s="91">
        <v>0</v>
      </c>
      <c r="I106" s="91">
        <v>0</v>
      </c>
      <c r="J106" s="91">
        <v>0</v>
      </c>
    </row>
    <row r="107" spans="1:10" x14ac:dyDescent="0.25">
      <c r="A107" s="90" t="s">
        <v>111</v>
      </c>
      <c r="B107" s="90" t="s">
        <v>501</v>
      </c>
      <c r="C107" s="90" t="s">
        <v>502</v>
      </c>
      <c r="D107" s="91">
        <v>22779</v>
      </c>
      <c r="E107" s="91">
        <v>0</v>
      </c>
      <c r="F107" s="91">
        <v>5993</v>
      </c>
      <c r="G107" s="91">
        <v>0</v>
      </c>
      <c r="H107" s="91">
        <v>0</v>
      </c>
      <c r="I107" s="91">
        <v>0</v>
      </c>
      <c r="J107" s="91">
        <v>0</v>
      </c>
    </row>
    <row r="108" spans="1:10" x14ac:dyDescent="0.25">
      <c r="A108" s="90" t="s">
        <v>112</v>
      </c>
      <c r="B108" s="90" t="s">
        <v>290</v>
      </c>
      <c r="C108" s="90" t="s">
        <v>502</v>
      </c>
      <c r="D108" s="91">
        <v>83549</v>
      </c>
      <c r="E108" s="91">
        <v>0</v>
      </c>
      <c r="F108" s="91">
        <v>16976</v>
      </c>
      <c r="G108" s="91">
        <v>0</v>
      </c>
      <c r="H108" s="91">
        <v>0</v>
      </c>
      <c r="I108" s="91">
        <v>0</v>
      </c>
      <c r="J108" s="91">
        <v>0</v>
      </c>
    </row>
    <row r="109" spans="1:10" x14ac:dyDescent="0.25">
      <c r="A109" s="90" t="s">
        <v>113</v>
      </c>
      <c r="B109" s="90" t="s">
        <v>291</v>
      </c>
      <c r="C109" s="90" t="s">
        <v>502</v>
      </c>
      <c r="D109" s="91">
        <v>4214972</v>
      </c>
      <c r="E109" s="91">
        <v>30576</v>
      </c>
      <c r="F109" s="91">
        <v>792610</v>
      </c>
      <c r="G109" s="91">
        <v>72334</v>
      </c>
      <c r="H109" s="91">
        <v>0</v>
      </c>
      <c r="I109" s="91">
        <v>0</v>
      </c>
      <c r="J109" s="91">
        <v>0</v>
      </c>
    </row>
    <row r="110" spans="1:10" x14ac:dyDescent="0.25">
      <c r="A110" s="90" t="s">
        <v>114</v>
      </c>
      <c r="B110" s="90" t="s">
        <v>503</v>
      </c>
      <c r="C110" s="90" t="s">
        <v>504</v>
      </c>
      <c r="D110" s="91">
        <v>1387</v>
      </c>
      <c r="E110" s="91">
        <v>0</v>
      </c>
      <c r="F110" s="91">
        <v>4360</v>
      </c>
      <c r="G110" s="91">
        <v>0</v>
      </c>
      <c r="H110" s="91">
        <v>0</v>
      </c>
      <c r="I110" s="91">
        <v>0</v>
      </c>
      <c r="J110" s="91">
        <v>0</v>
      </c>
    </row>
    <row r="111" spans="1:10" x14ac:dyDescent="0.25">
      <c r="A111" s="90" t="s">
        <v>115</v>
      </c>
      <c r="B111" s="90" t="s">
        <v>505</v>
      </c>
      <c r="C111" s="90" t="s">
        <v>506</v>
      </c>
      <c r="D111" s="91">
        <v>244368</v>
      </c>
      <c r="E111" s="91">
        <v>0</v>
      </c>
      <c r="F111" s="91">
        <v>89859</v>
      </c>
      <c r="G111" s="91">
        <v>14056</v>
      </c>
      <c r="H111" s="91">
        <v>0</v>
      </c>
      <c r="I111" s="91">
        <v>0</v>
      </c>
      <c r="J111" s="91">
        <v>0</v>
      </c>
    </row>
    <row r="112" spans="1:10" x14ac:dyDescent="0.25">
      <c r="A112" s="90" t="s">
        <v>116</v>
      </c>
      <c r="B112" s="90" t="s">
        <v>507</v>
      </c>
      <c r="C112" s="90" t="s">
        <v>508</v>
      </c>
      <c r="D112" s="91">
        <v>808632</v>
      </c>
      <c r="E112" s="91">
        <v>0</v>
      </c>
      <c r="F112" s="91">
        <v>186156</v>
      </c>
      <c r="G112" s="91">
        <v>11133</v>
      </c>
      <c r="H112" s="91">
        <v>0</v>
      </c>
      <c r="I112" s="91">
        <v>0</v>
      </c>
      <c r="J112" s="91">
        <v>51111</v>
      </c>
    </row>
    <row r="113" spans="1:10" x14ac:dyDescent="0.25">
      <c r="A113" s="90" t="s">
        <v>117</v>
      </c>
      <c r="B113" s="90" t="s">
        <v>509</v>
      </c>
      <c r="C113" s="90" t="s">
        <v>508</v>
      </c>
      <c r="D113" s="91">
        <v>132124</v>
      </c>
      <c r="E113" s="91">
        <v>0</v>
      </c>
      <c r="F113" s="91">
        <v>24320</v>
      </c>
      <c r="G113" s="91">
        <v>0</v>
      </c>
      <c r="H113" s="91">
        <v>0</v>
      </c>
      <c r="I113" s="91">
        <v>0</v>
      </c>
      <c r="J113" s="91">
        <v>13951</v>
      </c>
    </row>
    <row r="114" spans="1:10" x14ac:dyDescent="0.25">
      <c r="A114" s="90" t="s">
        <v>118</v>
      </c>
      <c r="B114" s="90" t="s">
        <v>510</v>
      </c>
      <c r="C114" s="90" t="s">
        <v>508</v>
      </c>
      <c r="D114" s="91">
        <v>94676</v>
      </c>
      <c r="E114" s="91">
        <v>0</v>
      </c>
      <c r="F114" s="91">
        <v>22083</v>
      </c>
      <c r="G114" s="91">
        <v>0</v>
      </c>
      <c r="H114" s="91">
        <v>345</v>
      </c>
      <c r="I114" s="91">
        <v>1886</v>
      </c>
      <c r="J114" s="91">
        <v>0</v>
      </c>
    </row>
    <row r="115" spans="1:10" x14ac:dyDescent="0.25">
      <c r="A115" s="90" t="s">
        <v>119</v>
      </c>
      <c r="B115" s="90" t="s">
        <v>511</v>
      </c>
      <c r="C115" s="90" t="s">
        <v>512</v>
      </c>
      <c r="D115" s="91">
        <v>1266562</v>
      </c>
      <c r="E115" s="91">
        <v>0</v>
      </c>
      <c r="F115" s="91">
        <v>226556</v>
      </c>
      <c r="G115" s="91">
        <v>61885</v>
      </c>
      <c r="H115" s="91">
        <v>0</v>
      </c>
      <c r="I115" s="91">
        <v>0</v>
      </c>
      <c r="J115" s="91">
        <v>110906</v>
      </c>
    </row>
    <row r="116" spans="1:10" x14ac:dyDescent="0.25">
      <c r="A116" s="90" t="s">
        <v>120</v>
      </c>
      <c r="B116" s="90" t="s">
        <v>513</v>
      </c>
      <c r="C116" s="90" t="s">
        <v>512</v>
      </c>
      <c r="D116" s="91">
        <v>67345</v>
      </c>
      <c r="E116" s="91">
        <v>0</v>
      </c>
      <c r="F116" s="91">
        <v>18077</v>
      </c>
      <c r="G116" s="91">
        <v>435</v>
      </c>
      <c r="H116" s="91">
        <v>0</v>
      </c>
      <c r="I116" s="91">
        <v>0</v>
      </c>
      <c r="J116" s="91">
        <v>0</v>
      </c>
    </row>
    <row r="117" spans="1:10" x14ac:dyDescent="0.25">
      <c r="A117" s="90" t="s">
        <v>121</v>
      </c>
      <c r="B117" s="90" t="s">
        <v>514</v>
      </c>
      <c r="C117" s="90" t="s">
        <v>515</v>
      </c>
      <c r="D117" s="91">
        <v>206970</v>
      </c>
      <c r="E117" s="91">
        <v>0</v>
      </c>
      <c r="F117" s="91">
        <v>55409</v>
      </c>
      <c r="G117" s="91">
        <v>13496</v>
      </c>
      <c r="H117" s="91">
        <v>0</v>
      </c>
      <c r="I117" s="91">
        <v>0</v>
      </c>
      <c r="J117" s="91">
        <v>0</v>
      </c>
    </row>
    <row r="118" spans="1:10" x14ac:dyDescent="0.25">
      <c r="A118" s="90" t="s">
        <v>122</v>
      </c>
      <c r="B118" s="90" t="s">
        <v>516</v>
      </c>
      <c r="C118" s="90" t="s">
        <v>515</v>
      </c>
      <c r="D118" s="91">
        <v>589685</v>
      </c>
      <c r="E118" s="91">
        <v>0</v>
      </c>
      <c r="F118" s="91">
        <v>144585</v>
      </c>
      <c r="G118" s="91">
        <v>57718</v>
      </c>
      <c r="H118" s="91">
        <v>2590</v>
      </c>
      <c r="I118" s="91">
        <v>14146</v>
      </c>
      <c r="J118" s="91">
        <v>56667</v>
      </c>
    </row>
    <row r="119" spans="1:10" x14ac:dyDescent="0.25">
      <c r="A119" s="90" t="s">
        <v>123</v>
      </c>
      <c r="B119" s="90" t="s">
        <v>517</v>
      </c>
      <c r="C119" s="90" t="s">
        <v>515</v>
      </c>
      <c r="D119" s="91">
        <v>10363</v>
      </c>
      <c r="E119" s="91">
        <v>0</v>
      </c>
      <c r="F119" s="91">
        <v>6938</v>
      </c>
      <c r="G119" s="91">
        <v>124</v>
      </c>
      <c r="H119" s="91">
        <v>0</v>
      </c>
      <c r="I119" s="91">
        <v>0</v>
      </c>
      <c r="J119" s="91">
        <v>0</v>
      </c>
    </row>
    <row r="120" spans="1:10" x14ac:dyDescent="0.25">
      <c r="A120" s="90" t="s">
        <v>124</v>
      </c>
      <c r="B120" s="90" t="s">
        <v>518</v>
      </c>
      <c r="C120" s="90" t="s">
        <v>515</v>
      </c>
      <c r="D120" s="91">
        <v>84209</v>
      </c>
      <c r="E120" s="91">
        <v>0</v>
      </c>
      <c r="F120" s="91">
        <v>14226</v>
      </c>
      <c r="G120" s="91">
        <v>5909</v>
      </c>
      <c r="H120" s="91">
        <v>0</v>
      </c>
      <c r="I120" s="91">
        <v>0</v>
      </c>
      <c r="J120" s="91">
        <v>0</v>
      </c>
    </row>
    <row r="121" spans="1:10" x14ac:dyDescent="0.25">
      <c r="A121" s="90" t="s">
        <v>125</v>
      </c>
      <c r="B121" s="90" t="s">
        <v>303</v>
      </c>
      <c r="C121" s="90" t="s">
        <v>519</v>
      </c>
      <c r="D121" s="91">
        <v>730774</v>
      </c>
      <c r="E121" s="91">
        <v>0</v>
      </c>
      <c r="F121" s="91">
        <v>102095</v>
      </c>
      <c r="G121" s="91">
        <v>1306</v>
      </c>
      <c r="H121" s="91">
        <v>0</v>
      </c>
      <c r="I121" s="91">
        <v>0</v>
      </c>
      <c r="J121" s="91">
        <v>24979</v>
      </c>
    </row>
    <row r="122" spans="1:10" x14ac:dyDescent="0.25">
      <c r="A122" s="90" t="s">
        <v>126</v>
      </c>
      <c r="B122" s="90" t="s">
        <v>304</v>
      </c>
      <c r="C122" s="90" t="s">
        <v>519</v>
      </c>
      <c r="D122" s="91">
        <v>512908</v>
      </c>
      <c r="E122" s="91">
        <v>0</v>
      </c>
      <c r="F122" s="91">
        <v>101553</v>
      </c>
      <c r="G122" s="91">
        <v>3359</v>
      </c>
      <c r="H122" s="91">
        <v>0</v>
      </c>
      <c r="I122" s="91">
        <v>0</v>
      </c>
      <c r="J122" s="91">
        <v>14856</v>
      </c>
    </row>
    <row r="123" spans="1:10" x14ac:dyDescent="0.25">
      <c r="A123" s="90" t="s">
        <v>127</v>
      </c>
      <c r="B123" s="90" t="s">
        <v>305</v>
      </c>
      <c r="C123" s="90" t="s">
        <v>519</v>
      </c>
      <c r="D123" s="91">
        <v>111959</v>
      </c>
      <c r="E123" s="91">
        <v>0</v>
      </c>
      <c r="F123" s="91">
        <v>14652</v>
      </c>
      <c r="G123" s="91">
        <v>1866</v>
      </c>
      <c r="H123" s="91">
        <v>0</v>
      </c>
      <c r="I123" s="91">
        <v>0</v>
      </c>
      <c r="J123" s="91">
        <v>0</v>
      </c>
    </row>
    <row r="124" spans="1:10" x14ac:dyDescent="0.25">
      <c r="A124" s="90" t="s">
        <v>128</v>
      </c>
      <c r="B124" s="90" t="s">
        <v>306</v>
      </c>
      <c r="C124" s="90" t="s">
        <v>519</v>
      </c>
      <c r="D124" s="91">
        <v>91106</v>
      </c>
      <c r="E124" s="91">
        <v>0</v>
      </c>
      <c r="F124" s="91">
        <v>21195</v>
      </c>
      <c r="G124" s="91">
        <v>124</v>
      </c>
      <c r="H124" s="91">
        <v>0</v>
      </c>
      <c r="I124" s="91">
        <v>0</v>
      </c>
      <c r="J124" s="91">
        <v>0</v>
      </c>
    </row>
    <row r="125" spans="1:10" x14ac:dyDescent="0.25">
      <c r="A125" s="90" t="s">
        <v>129</v>
      </c>
      <c r="B125" s="90" t="s">
        <v>307</v>
      </c>
      <c r="C125" s="90" t="s">
        <v>519</v>
      </c>
      <c r="D125" s="91">
        <v>34743</v>
      </c>
      <c r="E125" s="91">
        <v>0</v>
      </c>
      <c r="F125" s="91">
        <v>9657</v>
      </c>
      <c r="G125" s="91">
        <v>0</v>
      </c>
      <c r="H125" s="91">
        <v>0</v>
      </c>
      <c r="I125" s="91">
        <v>0</v>
      </c>
      <c r="J125" s="91">
        <v>0</v>
      </c>
    </row>
    <row r="126" spans="1:10" x14ac:dyDescent="0.25">
      <c r="A126" s="90" t="s">
        <v>130</v>
      </c>
      <c r="B126" s="90" t="s">
        <v>308</v>
      </c>
      <c r="C126" s="90" t="s">
        <v>519</v>
      </c>
      <c r="D126" s="91">
        <v>55059</v>
      </c>
      <c r="E126" s="91">
        <v>0</v>
      </c>
      <c r="F126" s="91">
        <v>10669</v>
      </c>
      <c r="G126" s="91">
        <v>0</v>
      </c>
      <c r="H126" s="91">
        <v>0</v>
      </c>
      <c r="I126" s="91">
        <v>0</v>
      </c>
      <c r="J126" s="91">
        <v>0</v>
      </c>
    </row>
    <row r="127" spans="1:10" x14ac:dyDescent="0.25">
      <c r="A127" s="90" t="s">
        <v>131</v>
      </c>
      <c r="B127" s="90" t="s">
        <v>309</v>
      </c>
      <c r="C127" s="90" t="s">
        <v>520</v>
      </c>
      <c r="D127" s="91">
        <v>24732</v>
      </c>
      <c r="E127" s="91">
        <v>0</v>
      </c>
      <c r="F127" s="91">
        <v>6036</v>
      </c>
      <c r="G127" s="91">
        <v>0</v>
      </c>
      <c r="H127" s="91">
        <v>0</v>
      </c>
      <c r="I127" s="91">
        <v>0</v>
      </c>
      <c r="J127" s="91">
        <v>0</v>
      </c>
    </row>
    <row r="128" spans="1:10" x14ac:dyDescent="0.25">
      <c r="A128" s="90" t="s">
        <v>132</v>
      </c>
      <c r="B128" s="90" t="s">
        <v>310</v>
      </c>
      <c r="C128" s="90" t="s">
        <v>520</v>
      </c>
      <c r="D128" s="91">
        <v>47202</v>
      </c>
      <c r="E128" s="91">
        <v>0</v>
      </c>
      <c r="F128" s="91">
        <v>8393</v>
      </c>
      <c r="G128" s="91">
        <v>809</v>
      </c>
      <c r="H128" s="91">
        <v>0</v>
      </c>
      <c r="I128" s="91">
        <v>0</v>
      </c>
      <c r="J128" s="91">
        <v>0</v>
      </c>
    </row>
    <row r="129" spans="1:10" x14ac:dyDescent="0.25">
      <c r="A129" s="90" t="s">
        <v>133</v>
      </c>
      <c r="B129" s="90" t="s">
        <v>311</v>
      </c>
      <c r="C129" s="90" t="s">
        <v>521</v>
      </c>
      <c r="D129" s="91">
        <v>141807</v>
      </c>
      <c r="E129" s="91">
        <v>0</v>
      </c>
      <c r="F129" s="91">
        <v>44888</v>
      </c>
      <c r="G129" s="91">
        <v>0</v>
      </c>
      <c r="H129" s="91">
        <v>0</v>
      </c>
      <c r="I129" s="91">
        <v>0</v>
      </c>
      <c r="J129" s="91">
        <v>0</v>
      </c>
    </row>
    <row r="130" spans="1:10" x14ac:dyDescent="0.25">
      <c r="A130" s="90" t="s">
        <v>134</v>
      </c>
      <c r="B130" s="90" t="s">
        <v>522</v>
      </c>
      <c r="C130" s="90" t="s">
        <v>521</v>
      </c>
      <c r="D130" s="91">
        <v>122000</v>
      </c>
      <c r="E130" s="91">
        <v>0</v>
      </c>
      <c r="F130" s="91">
        <v>17546</v>
      </c>
      <c r="G130" s="91">
        <v>0</v>
      </c>
      <c r="H130" s="91">
        <v>0</v>
      </c>
      <c r="I130" s="91">
        <v>0</v>
      </c>
      <c r="J130" s="91">
        <v>0</v>
      </c>
    </row>
    <row r="131" spans="1:10" x14ac:dyDescent="0.25">
      <c r="A131" s="90" t="s">
        <v>135</v>
      </c>
      <c r="B131" s="90" t="s">
        <v>523</v>
      </c>
      <c r="C131" s="90" t="s">
        <v>524</v>
      </c>
      <c r="D131" s="91">
        <v>89100</v>
      </c>
      <c r="E131" s="91">
        <v>0</v>
      </c>
      <c r="F131" s="91">
        <v>19811</v>
      </c>
      <c r="G131" s="91">
        <v>8956</v>
      </c>
      <c r="H131" s="91">
        <v>0</v>
      </c>
      <c r="I131" s="91">
        <v>0</v>
      </c>
      <c r="J131" s="91">
        <v>0</v>
      </c>
    </row>
    <row r="132" spans="1:10" x14ac:dyDescent="0.25">
      <c r="A132" s="90" t="s">
        <v>136</v>
      </c>
      <c r="B132" s="90" t="s">
        <v>525</v>
      </c>
      <c r="C132" s="90" t="s">
        <v>524</v>
      </c>
      <c r="D132" s="91">
        <v>29771</v>
      </c>
      <c r="E132" s="91">
        <v>0</v>
      </c>
      <c r="F132" s="91">
        <v>8958</v>
      </c>
      <c r="G132" s="91">
        <v>0</v>
      </c>
      <c r="H132" s="91">
        <v>0</v>
      </c>
      <c r="I132" s="91">
        <v>0</v>
      </c>
      <c r="J132" s="91">
        <v>0</v>
      </c>
    </row>
    <row r="133" spans="1:10" x14ac:dyDescent="0.25">
      <c r="A133" s="90" t="s">
        <v>137</v>
      </c>
      <c r="B133" s="90" t="s">
        <v>315</v>
      </c>
      <c r="C133" s="90" t="s">
        <v>526</v>
      </c>
      <c r="D133" s="91">
        <v>83319</v>
      </c>
      <c r="E133" s="91">
        <v>0</v>
      </c>
      <c r="F133" s="91">
        <v>25140</v>
      </c>
      <c r="G133" s="91">
        <v>11195</v>
      </c>
      <c r="H133" s="91">
        <v>0</v>
      </c>
      <c r="I133" s="91">
        <v>0</v>
      </c>
      <c r="J133" s="91">
        <v>0</v>
      </c>
    </row>
    <row r="134" spans="1:10" x14ac:dyDescent="0.25">
      <c r="A134" s="90" t="s">
        <v>138</v>
      </c>
      <c r="B134" s="90" t="s">
        <v>527</v>
      </c>
      <c r="C134" s="90" t="s">
        <v>528</v>
      </c>
      <c r="D134" s="91">
        <v>62658</v>
      </c>
      <c r="E134" s="91">
        <v>0</v>
      </c>
      <c r="F134" s="91">
        <v>14517</v>
      </c>
      <c r="G134" s="91">
        <v>1555</v>
      </c>
      <c r="H134" s="91">
        <v>0</v>
      </c>
      <c r="I134" s="91">
        <v>0</v>
      </c>
      <c r="J134" s="91">
        <v>0</v>
      </c>
    </row>
    <row r="135" spans="1:10" x14ac:dyDescent="0.25">
      <c r="A135" s="90" t="s">
        <v>139</v>
      </c>
      <c r="B135" s="90" t="s">
        <v>529</v>
      </c>
      <c r="C135" s="90" t="s">
        <v>528</v>
      </c>
      <c r="D135" s="91">
        <v>468449</v>
      </c>
      <c r="E135" s="91">
        <v>0</v>
      </c>
      <c r="F135" s="91">
        <v>120050</v>
      </c>
      <c r="G135" s="91">
        <v>7339</v>
      </c>
      <c r="H135" s="91">
        <v>0</v>
      </c>
      <c r="I135" s="91">
        <v>0</v>
      </c>
      <c r="J135" s="91">
        <v>0</v>
      </c>
    </row>
    <row r="136" spans="1:10" x14ac:dyDescent="0.25">
      <c r="A136" s="90" t="s">
        <v>140</v>
      </c>
      <c r="B136" s="90" t="s">
        <v>530</v>
      </c>
      <c r="C136" s="90" t="s">
        <v>528</v>
      </c>
      <c r="D136" s="91">
        <v>100173</v>
      </c>
      <c r="E136" s="91">
        <v>0</v>
      </c>
      <c r="F136" s="91">
        <v>14889</v>
      </c>
      <c r="G136" s="91">
        <v>4602</v>
      </c>
      <c r="H136" s="91">
        <v>0</v>
      </c>
      <c r="I136" s="91">
        <v>0</v>
      </c>
      <c r="J136" s="91">
        <v>0</v>
      </c>
    </row>
    <row r="137" spans="1:10" x14ac:dyDescent="0.25">
      <c r="A137" s="90" t="s">
        <v>141</v>
      </c>
      <c r="B137" s="90" t="s">
        <v>531</v>
      </c>
      <c r="C137" s="90" t="s">
        <v>528</v>
      </c>
      <c r="D137" s="91">
        <v>38363</v>
      </c>
      <c r="E137" s="91">
        <v>0</v>
      </c>
      <c r="F137" s="91">
        <v>13277</v>
      </c>
      <c r="G137" s="91">
        <v>684</v>
      </c>
      <c r="H137" s="91">
        <v>0</v>
      </c>
      <c r="I137" s="91">
        <v>0</v>
      </c>
      <c r="J137" s="91">
        <v>0</v>
      </c>
    </row>
    <row r="138" spans="1:10" x14ac:dyDescent="0.25">
      <c r="A138" s="90" t="s">
        <v>142</v>
      </c>
      <c r="B138" s="90" t="s">
        <v>320</v>
      </c>
      <c r="C138" s="90" t="s">
        <v>532</v>
      </c>
      <c r="D138" s="91">
        <v>5791514</v>
      </c>
      <c r="E138" s="91">
        <v>71849</v>
      </c>
      <c r="F138" s="91">
        <v>1116143</v>
      </c>
      <c r="G138" s="91">
        <v>67171</v>
      </c>
      <c r="H138" s="91">
        <v>0</v>
      </c>
      <c r="I138" s="91">
        <v>0</v>
      </c>
      <c r="J138" s="91">
        <v>0</v>
      </c>
    </row>
    <row r="139" spans="1:10" x14ac:dyDescent="0.25">
      <c r="A139" s="90" t="s">
        <v>143</v>
      </c>
      <c r="B139" s="90" t="s">
        <v>533</v>
      </c>
      <c r="C139" s="90" t="s">
        <v>532</v>
      </c>
      <c r="D139" s="91">
        <v>1108748</v>
      </c>
      <c r="E139" s="91">
        <v>0</v>
      </c>
      <c r="F139" s="91">
        <v>185937</v>
      </c>
      <c r="G139" s="91">
        <v>18410</v>
      </c>
      <c r="H139" s="91">
        <v>0</v>
      </c>
      <c r="I139" s="91">
        <v>0</v>
      </c>
      <c r="J139" s="91">
        <v>0</v>
      </c>
    </row>
    <row r="140" spans="1:10" x14ac:dyDescent="0.25">
      <c r="A140" s="90" t="s">
        <v>144</v>
      </c>
      <c r="B140" s="90" t="s">
        <v>534</v>
      </c>
      <c r="C140" s="90" t="s">
        <v>535</v>
      </c>
      <c r="D140" s="91">
        <v>46838</v>
      </c>
      <c r="E140" s="91">
        <v>0</v>
      </c>
      <c r="F140" s="91">
        <v>25082</v>
      </c>
      <c r="G140" s="91">
        <v>3545</v>
      </c>
      <c r="H140" s="91">
        <v>0</v>
      </c>
      <c r="I140" s="91">
        <v>0</v>
      </c>
      <c r="J140" s="91">
        <v>0</v>
      </c>
    </row>
    <row r="141" spans="1:10" x14ac:dyDescent="0.25">
      <c r="A141" s="90" t="s">
        <v>145</v>
      </c>
      <c r="B141" s="90" t="s">
        <v>536</v>
      </c>
      <c r="C141" s="90" t="s">
        <v>535</v>
      </c>
      <c r="D141" s="91">
        <v>65600</v>
      </c>
      <c r="E141" s="91">
        <v>0</v>
      </c>
      <c r="F141" s="91">
        <v>13091</v>
      </c>
      <c r="G141" s="91">
        <v>0</v>
      </c>
      <c r="H141" s="91">
        <v>0</v>
      </c>
      <c r="I141" s="91">
        <v>0</v>
      </c>
      <c r="J141" s="91">
        <v>0</v>
      </c>
    </row>
    <row r="142" spans="1:10" x14ac:dyDescent="0.25">
      <c r="A142" s="90" t="s">
        <v>146</v>
      </c>
      <c r="B142" s="90" t="s">
        <v>324</v>
      </c>
      <c r="C142" s="90" t="s">
        <v>537</v>
      </c>
      <c r="D142" s="91">
        <v>272226</v>
      </c>
      <c r="E142" s="91">
        <v>0</v>
      </c>
      <c r="F142" s="91">
        <v>39614</v>
      </c>
      <c r="G142" s="91">
        <v>1679</v>
      </c>
      <c r="H142" s="91">
        <v>0</v>
      </c>
      <c r="I142" s="91">
        <v>0</v>
      </c>
      <c r="J142" s="91">
        <v>0</v>
      </c>
    </row>
    <row r="143" spans="1:10" x14ac:dyDescent="0.25">
      <c r="A143" s="90" t="s">
        <v>147</v>
      </c>
      <c r="B143" s="90" t="s">
        <v>325</v>
      </c>
      <c r="C143" s="90" t="s">
        <v>537</v>
      </c>
      <c r="D143" s="91">
        <v>276082</v>
      </c>
      <c r="E143" s="91">
        <v>0</v>
      </c>
      <c r="F143" s="91">
        <v>92590</v>
      </c>
      <c r="G143" s="91">
        <v>8085</v>
      </c>
      <c r="H143" s="91">
        <v>0</v>
      </c>
      <c r="I143" s="91">
        <v>0</v>
      </c>
      <c r="J143" s="91">
        <v>20412</v>
      </c>
    </row>
    <row r="144" spans="1:10" x14ac:dyDescent="0.25">
      <c r="A144" s="90" t="s">
        <v>148</v>
      </c>
      <c r="B144" s="90" t="s">
        <v>538</v>
      </c>
      <c r="C144" s="90" t="s">
        <v>537</v>
      </c>
      <c r="D144" s="91">
        <v>64744</v>
      </c>
      <c r="E144" s="91">
        <v>0</v>
      </c>
      <c r="F144" s="91">
        <v>14364</v>
      </c>
      <c r="G144" s="91">
        <v>1493</v>
      </c>
      <c r="H144" s="91">
        <v>0</v>
      </c>
      <c r="I144" s="91">
        <v>0</v>
      </c>
      <c r="J144" s="91">
        <v>0</v>
      </c>
    </row>
    <row r="145" spans="1:10" x14ac:dyDescent="0.25">
      <c r="A145" s="90" t="s">
        <v>149</v>
      </c>
      <c r="B145" s="90" t="s">
        <v>539</v>
      </c>
      <c r="C145" s="90" t="s">
        <v>540</v>
      </c>
      <c r="D145" s="91">
        <v>71699</v>
      </c>
      <c r="E145" s="91">
        <v>0</v>
      </c>
      <c r="F145" s="91">
        <v>10517</v>
      </c>
      <c r="G145" s="91">
        <v>1120</v>
      </c>
      <c r="H145" s="91">
        <v>0</v>
      </c>
      <c r="I145" s="91">
        <v>0</v>
      </c>
      <c r="J145" s="91">
        <v>0</v>
      </c>
    </row>
    <row r="146" spans="1:10" x14ac:dyDescent="0.25">
      <c r="A146" s="90" t="s">
        <v>150</v>
      </c>
      <c r="B146" s="90" t="s">
        <v>541</v>
      </c>
      <c r="C146" s="90" t="s">
        <v>540</v>
      </c>
      <c r="D146" s="91">
        <v>140793</v>
      </c>
      <c r="E146" s="91">
        <v>0</v>
      </c>
      <c r="F146" s="91">
        <v>48941</v>
      </c>
      <c r="G146" s="91">
        <v>13310</v>
      </c>
      <c r="H146" s="91">
        <v>259</v>
      </c>
      <c r="I146" s="91">
        <v>1415</v>
      </c>
      <c r="J146" s="91">
        <v>0</v>
      </c>
    </row>
    <row r="147" spans="1:10" x14ac:dyDescent="0.25">
      <c r="A147" s="90" t="s">
        <v>151</v>
      </c>
      <c r="B147" s="90" t="s">
        <v>542</v>
      </c>
      <c r="C147" s="90" t="s">
        <v>540</v>
      </c>
      <c r="D147" s="91">
        <v>70955</v>
      </c>
      <c r="E147" s="91">
        <v>0</v>
      </c>
      <c r="F147" s="91">
        <v>11432</v>
      </c>
      <c r="G147" s="91">
        <v>933</v>
      </c>
      <c r="H147" s="91">
        <v>0</v>
      </c>
      <c r="I147" s="91">
        <v>0</v>
      </c>
      <c r="J147" s="91">
        <v>0</v>
      </c>
    </row>
    <row r="148" spans="1:10" x14ac:dyDescent="0.25">
      <c r="A148" s="90" t="s">
        <v>152</v>
      </c>
      <c r="B148" s="90" t="s">
        <v>543</v>
      </c>
      <c r="C148" s="90" t="s">
        <v>544</v>
      </c>
      <c r="D148" s="91">
        <v>90012</v>
      </c>
      <c r="E148" s="91">
        <v>0</v>
      </c>
      <c r="F148" s="91">
        <v>19417</v>
      </c>
      <c r="G148" s="91">
        <v>0</v>
      </c>
      <c r="H148" s="91">
        <v>0</v>
      </c>
      <c r="I148" s="91">
        <v>0</v>
      </c>
      <c r="J148" s="91">
        <v>0</v>
      </c>
    </row>
    <row r="149" spans="1:10" x14ac:dyDescent="0.25">
      <c r="A149" s="90" t="s">
        <v>153</v>
      </c>
      <c r="B149" s="90" t="s">
        <v>331</v>
      </c>
      <c r="C149" s="90" t="s">
        <v>544</v>
      </c>
      <c r="D149" s="91">
        <v>112185</v>
      </c>
      <c r="E149" s="91">
        <v>0</v>
      </c>
      <c r="F149" s="91">
        <v>10175</v>
      </c>
      <c r="G149" s="91">
        <v>0</v>
      </c>
      <c r="H149" s="89">
        <v>0</v>
      </c>
      <c r="I149" s="89">
        <v>0</v>
      </c>
      <c r="J149" s="91">
        <v>0</v>
      </c>
    </row>
    <row r="150" spans="1:10" x14ac:dyDescent="0.25">
      <c r="A150" s="90" t="s">
        <v>154</v>
      </c>
      <c r="B150" s="90" t="s">
        <v>545</v>
      </c>
      <c r="C150" s="90" t="s">
        <v>544</v>
      </c>
      <c r="D150" s="91">
        <v>455651</v>
      </c>
      <c r="E150" s="91">
        <v>0</v>
      </c>
      <c r="F150" s="91">
        <v>60228</v>
      </c>
      <c r="G150" s="91">
        <v>15425</v>
      </c>
      <c r="H150" s="91">
        <v>432</v>
      </c>
      <c r="I150" s="91">
        <v>2358</v>
      </c>
      <c r="J150" s="91">
        <v>0</v>
      </c>
    </row>
    <row r="151" spans="1:10" x14ac:dyDescent="0.25">
      <c r="A151" s="90" t="s">
        <v>155</v>
      </c>
      <c r="B151" s="90" t="s">
        <v>333</v>
      </c>
      <c r="C151" s="90" t="s">
        <v>546</v>
      </c>
      <c r="D151" s="91">
        <v>18106</v>
      </c>
      <c r="E151" s="91">
        <v>0</v>
      </c>
      <c r="F151" s="91">
        <v>6213</v>
      </c>
      <c r="G151" s="91">
        <v>0</v>
      </c>
      <c r="H151" s="91">
        <v>0</v>
      </c>
      <c r="I151" s="91">
        <v>0</v>
      </c>
      <c r="J151" s="91">
        <v>0</v>
      </c>
    </row>
    <row r="152" spans="1:10" x14ac:dyDescent="0.25">
      <c r="A152" s="90" t="s">
        <v>156</v>
      </c>
      <c r="B152" s="90" t="s">
        <v>334</v>
      </c>
      <c r="C152" s="90" t="s">
        <v>547</v>
      </c>
      <c r="D152" s="91">
        <v>74791</v>
      </c>
      <c r="E152" s="91">
        <v>0</v>
      </c>
      <c r="F152" s="91">
        <v>18786</v>
      </c>
      <c r="G152" s="91">
        <v>5846</v>
      </c>
      <c r="H152" s="91">
        <v>863</v>
      </c>
      <c r="I152" s="91">
        <v>4715</v>
      </c>
      <c r="J152" s="91">
        <v>0</v>
      </c>
    </row>
    <row r="153" spans="1:10" x14ac:dyDescent="0.25">
      <c r="A153" s="90" t="s">
        <v>157</v>
      </c>
      <c r="B153" s="90" t="s">
        <v>335</v>
      </c>
      <c r="C153" s="90" t="s">
        <v>547</v>
      </c>
      <c r="D153" s="91">
        <v>79601</v>
      </c>
      <c r="E153" s="91">
        <v>0</v>
      </c>
      <c r="F153" s="91">
        <v>9879</v>
      </c>
      <c r="G153" s="91">
        <v>1057</v>
      </c>
      <c r="H153" s="91">
        <v>0</v>
      </c>
      <c r="I153" s="91">
        <v>0</v>
      </c>
      <c r="J153" s="91">
        <v>0</v>
      </c>
    </row>
    <row r="154" spans="1:10" x14ac:dyDescent="0.25">
      <c r="A154" s="90" t="s">
        <v>158</v>
      </c>
      <c r="B154" s="90" t="s">
        <v>548</v>
      </c>
      <c r="C154" s="90" t="s">
        <v>549</v>
      </c>
      <c r="D154" s="91">
        <v>38482</v>
      </c>
      <c r="E154" s="91">
        <v>0</v>
      </c>
      <c r="F154" s="91">
        <v>10894</v>
      </c>
      <c r="G154" s="91">
        <v>1306</v>
      </c>
      <c r="H154" s="91">
        <v>0</v>
      </c>
      <c r="I154" s="91">
        <v>0</v>
      </c>
      <c r="J154" s="91">
        <v>0</v>
      </c>
    </row>
    <row r="155" spans="1:10" x14ac:dyDescent="0.25">
      <c r="A155" s="90" t="s">
        <v>159</v>
      </c>
      <c r="B155" s="90" t="s">
        <v>550</v>
      </c>
      <c r="C155" s="90" t="s">
        <v>549</v>
      </c>
      <c r="D155" s="91">
        <v>26254</v>
      </c>
      <c r="E155" s="91">
        <v>0</v>
      </c>
      <c r="F155" s="91">
        <v>8018</v>
      </c>
      <c r="G155" s="91">
        <v>0</v>
      </c>
      <c r="H155" s="91">
        <v>0</v>
      </c>
      <c r="I155" s="91">
        <v>0</v>
      </c>
      <c r="J155" s="91">
        <v>0</v>
      </c>
    </row>
    <row r="156" spans="1:10" x14ac:dyDescent="0.25">
      <c r="A156" s="90" t="s">
        <v>160</v>
      </c>
      <c r="B156" s="90" t="s">
        <v>551</v>
      </c>
      <c r="C156" s="90" t="s">
        <v>552</v>
      </c>
      <c r="D156" s="91">
        <v>256233</v>
      </c>
      <c r="E156" s="91">
        <v>0</v>
      </c>
      <c r="F156" s="91">
        <v>55814</v>
      </c>
      <c r="G156" s="91">
        <v>54048</v>
      </c>
      <c r="H156" s="91">
        <v>777</v>
      </c>
      <c r="I156" s="91">
        <v>4244</v>
      </c>
      <c r="J156" s="91">
        <v>0</v>
      </c>
    </row>
    <row r="157" spans="1:10" x14ac:dyDescent="0.25">
      <c r="A157" s="90" t="s">
        <v>161</v>
      </c>
      <c r="B157" s="90" t="s">
        <v>553</v>
      </c>
      <c r="C157" s="90" t="s">
        <v>554</v>
      </c>
      <c r="D157" s="91">
        <v>61191</v>
      </c>
      <c r="E157" s="91">
        <v>0</v>
      </c>
      <c r="F157" s="91">
        <v>15903</v>
      </c>
      <c r="G157" s="91">
        <v>435</v>
      </c>
      <c r="H157" s="91">
        <v>0</v>
      </c>
      <c r="I157" s="91">
        <v>0</v>
      </c>
      <c r="J157" s="91">
        <v>0</v>
      </c>
    </row>
    <row r="158" spans="1:10" x14ac:dyDescent="0.25">
      <c r="A158" s="90" t="s">
        <v>162</v>
      </c>
      <c r="B158" s="90" t="s">
        <v>555</v>
      </c>
      <c r="C158" s="90" t="s">
        <v>554</v>
      </c>
      <c r="D158" s="91">
        <v>282298</v>
      </c>
      <c r="E158" s="91">
        <v>0</v>
      </c>
      <c r="F158" s="91">
        <v>100826</v>
      </c>
      <c r="G158" s="91">
        <v>3048</v>
      </c>
      <c r="H158" s="91">
        <v>0</v>
      </c>
      <c r="I158" s="91">
        <v>0</v>
      </c>
      <c r="J158" s="91">
        <v>0</v>
      </c>
    </row>
    <row r="159" spans="1:10" x14ac:dyDescent="0.25">
      <c r="A159" s="90" t="s">
        <v>163</v>
      </c>
      <c r="B159" s="90" t="s">
        <v>340</v>
      </c>
      <c r="C159" s="90" t="s">
        <v>556</v>
      </c>
      <c r="D159" s="91">
        <v>54935</v>
      </c>
      <c r="E159" s="91">
        <v>0</v>
      </c>
      <c r="F159" s="91">
        <v>17950</v>
      </c>
      <c r="G159" s="91">
        <v>0</v>
      </c>
      <c r="H159" s="91">
        <v>0</v>
      </c>
      <c r="I159" s="91">
        <v>0</v>
      </c>
      <c r="J159" s="91">
        <v>0</v>
      </c>
    </row>
    <row r="160" spans="1:10" x14ac:dyDescent="0.25">
      <c r="A160" s="90" t="s">
        <v>164</v>
      </c>
      <c r="B160" s="90" t="s">
        <v>341</v>
      </c>
      <c r="C160" s="90" t="s">
        <v>556</v>
      </c>
      <c r="D160" s="91">
        <v>13895</v>
      </c>
      <c r="E160" s="91">
        <v>0</v>
      </c>
      <c r="F160" s="91">
        <v>3863</v>
      </c>
      <c r="G160" s="91">
        <v>1804</v>
      </c>
      <c r="H160" s="91">
        <v>0</v>
      </c>
      <c r="I160" s="91">
        <v>0</v>
      </c>
      <c r="J160" s="91">
        <v>0</v>
      </c>
    </row>
    <row r="161" spans="1:10" x14ac:dyDescent="0.25">
      <c r="A161" s="90" t="s">
        <v>165</v>
      </c>
      <c r="B161" s="90" t="s">
        <v>342</v>
      </c>
      <c r="C161" s="90" t="s">
        <v>556</v>
      </c>
      <c r="D161" s="91">
        <v>16736</v>
      </c>
      <c r="E161" s="91">
        <v>0</v>
      </c>
      <c r="F161" s="91">
        <v>4787</v>
      </c>
      <c r="G161" s="91">
        <v>0</v>
      </c>
      <c r="H161" s="91">
        <v>0</v>
      </c>
      <c r="I161" s="91">
        <v>0</v>
      </c>
      <c r="J161" s="91">
        <v>0</v>
      </c>
    </row>
    <row r="162" spans="1:10" x14ac:dyDescent="0.25">
      <c r="A162" s="90" t="s">
        <v>166</v>
      </c>
      <c r="B162" s="90" t="s">
        <v>343</v>
      </c>
      <c r="C162" s="90" t="s">
        <v>556</v>
      </c>
      <c r="D162" s="91">
        <v>1003</v>
      </c>
      <c r="E162" s="91">
        <v>0</v>
      </c>
      <c r="F162" s="91">
        <v>2385</v>
      </c>
      <c r="G162" s="91">
        <v>0</v>
      </c>
      <c r="H162" s="91">
        <v>0</v>
      </c>
      <c r="I162" s="91">
        <v>0</v>
      </c>
      <c r="J162" s="91">
        <v>0</v>
      </c>
    </row>
    <row r="163" spans="1:10" x14ac:dyDescent="0.25">
      <c r="A163" s="90" t="s">
        <v>167</v>
      </c>
      <c r="B163" s="90" t="s">
        <v>344</v>
      </c>
      <c r="C163" s="90" t="s">
        <v>556</v>
      </c>
      <c r="D163" s="91">
        <v>27809</v>
      </c>
      <c r="E163" s="91">
        <v>0</v>
      </c>
      <c r="F163" s="91">
        <v>3938</v>
      </c>
      <c r="G163" s="91">
        <v>124</v>
      </c>
      <c r="H163" s="91">
        <v>0</v>
      </c>
      <c r="I163" s="91">
        <v>0</v>
      </c>
      <c r="J163" s="91">
        <v>0</v>
      </c>
    </row>
    <row r="164" spans="1:10" x14ac:dyDescent="0.25">
      <c r="A164" s="90" t="s">
        <v>168</v>
      </c>
      <c r="B164" s="90" t="s">
        <v>557</v>
      </c>
      <c r="C164" s="90" t="s">
        <v>558</v>
      </c>
      <c r="D164" s="91">
        <v>320384</v>
      </c>
      <c r="E164" s="91">
        <v>0</v>
      </c>
      <c r="F164" s="91">
        <v>61651</v>
      </c>
      <c r="G164" s="91">
        <v>22577</v>
      </c>
      <c r="H164" s="91">
        <v>0</v>
      </c>
      <c r="I164" s="91">
        <v>0</v>
      </c>
      <c r="J164" s="91">
        <v>0</v>
      </c>
    </row>
    <row r="165" spans="1:10" x14ac:dyDescent="0.25">
      <c r="A165" s="90" t="s">
        <v>169</v>
      </c>
      <c r="B165" s="90" t="s">
        <v>559</v>
      </c>
      <c r="C165" s="90" t="s">
        <v>558</v>
      </c>
      <c r="D165" s="91">
        <v>142825</v>
      </c>
      <c r="E165" s="91">
        <v>0</v>
      </c>
      <c r="F165" s="91">
        <v>34393</v>
      </c>
      <c r="G165" s="91">
        <v>8023</v>
      </c>
      <c r="H165" s="91">
        <v>0</v>
      </c>
      <c r="I165" s="91">
        <v>0</v>
      </c>
      <c r="J165" s="91">
        <v>0</v>
      </c>
    </row>
    <row r="166" spans="1:10" x14ac:dyDescent="0.25">
      <c r="A166" s="90" t="s">
        <v>170</v>
      </c>
      <c r="B166" s="90" t="s">
        <v>398</v>
      </c>
      <c r="C166" s="90" t="s">
        <v>558</v>
      </c>
      <c r="D166" s="91">
        <v>211260</v>
      </c>
      <c r="E166" s="91">
        <v>0</v>
      </c>
      <c r="F166" s="91">
        <v>52170</v>
      </c>
      <c r="G166" s="91">
        <v>25438</v>
      </c>
      <c r="H166" s="91">
        <v>691</v>
      </c>
      <c r="I166" s="91">
        <v>3772</v>
      </c>
      <c r="J166" s="91">
        <v>0</v>
      </c>
    </row>
    <row r="167" spans="1:10" x14ac:dyDescent="0.25">
      <c r="A167" s="90" t="s">
        <v>171</v>
      </c>
      <c r="B167" s="90" t="s">
        <v>560</v>
      </c>
      <c r="C167" s="90" t="s">
        <v>558</v>
      </c>
      <c r="D167" s="91">
        <v>215568</v>
      </c>
      <c r="E167" s="91">
        <v>0</v>
      </c>
      <c r="F167" s="91">
        <v>52170</v>
      </c>
      <c r="G167" s="91">
        <v>4540</v>
      </c>
      <c r="H167" s="91">
        <v>0</v>
      </c>
      <c r="I167" s="91">
        <v>0</v>
      </c>
      <c r="J167" s="91">
        <v>0</v>
      </c>
    </row>
    <row r="168" spans="1:10" x14ac:dyDescent="0.25">
      <c r="A168" s="90" t="s">
        <v>172</v>
      </c>
      <c r="B168" s="90" t="s">
        <v>561</v>
      </c>
      <c r="C168" s="90" t="s">
        <v>558</v>
      </c>
      <c r="D168" s="91">
        <v>235121</v>
      </c>
      <c r="E168" s="91">
        <v>0</v>
      </c>
      <c r="F168" s="91">
        <v>52592</v>
      </c>
      <c r="G168" s="91">
        <v>16171</v>
      </c>
      <c r="H168" s="91">
        <v>0</v>
      </c>
      <c r="I168" s="91">
        <v>0</v>
      </c>
      <c r="J168" s="91">
        <v>0</v>
      </c>
    </row>
    <row r="169" spans="1:10" x14ac:dyDescent="0.25">
      <c r="A169" s="90" t="s">
        <v>173</v>
      </c>
      <c r="B169" s="90" t="s">
        <v>349</v>
      </c>
      <c r="C169" s="90" t="s">
        <v>558</v>
      </c>
      <c r="D169" s="91">
        <v>4868735</v>
      </c>
      <c r="E169" s="91">
        <v>15286</v>
      </c>
      <c r="F169" s="91">
        <v>662721</v>
      </c>
      <c r="G169" s="91">
        <v>301960</v>
      </c>
      <c r="H169" s="91">
        <v>0</v>
      </c>
      <c r="I169" s="91">
        <v>0</v>
      </c>
      <c r="J169" s="91">
        <v>0</v>
      </c>
    </row>
    <row r="170" spans="1:10" x14ac:dyDescent="0.25">
      <c r="A170" s="90" t="s">
        <v>174</v>
      </c>
      <c r="B170" s="90" t="s">
        <v>562</v>
      </c>
      <c r="C170" s="90" t="s">
        <v>558</v>
      </c>
      <c r="D170" s="91">
        <v>90035</v>
      </c>
      <c r="E170" s="91">
        <v>0</v>
      </c>
      <c r="F170" s="91">
        <v>20182</v>
      </c>
      <c r="G170" s="91">
        <v>5411</v>
      </c>
      <c r="H170" s="91">
        <v>0</v>
      </c>
      <c r="I170" s="91">
        <v>0</v>
      </c>
      <c r="J170" s="91">
        <v>0</v>
      </c>
    </row>
    <row r="171" spans="1:10" x14ac:dyDescent="0.25">
      <c r="A171" s="90" t="s">
        <v>175</v>
      </c>
      <c r="B171" s="90" t="s">
        <v>563</v>
      </c>
      <c r="C171" s="90" t="s">
        <v>558</v>
      </c>
      <c r="D171" s="91">
        <v>412385</v>
      </c>
      <c r="E171" s="91">
        <v>0</v>
      </c>
      <c r="F171" s="91">
        <v>100885</v>
      </c>
      <c r="G171" s="91">
        <v>47206</v>
      </c>
      <c r="H171" s="91">
        <v>0</v>
      </c>
      <c r="I171" s="91">
        <v>0</v>
      </c>
      <c r="J171" s="91">
        <v>0</v>
      </c>
    </row>
    <row r="172" spans="1:10" x14ac:dyDescent="0.25">
      <c r="A172" s="90" t="s">
        <v>176</v>
      </c>
      <c r="B172" s="90" t="s">
        <v>564</v>
      </c>
      <c r="C172" s="90" t="s">
        <v>558</v>
      </c>
      <c r="D172" s="91">
        <v>159149</v>
      </c>
      <c r="E172" s="91">
        <v>0</v>
      </c>
      <c r="F172" s="91">
        <v>45014</v>
      </c>
      <c r="G172" s="91">
        <v>5535</v>
      </c>
      <c r="H172" s="91">
        <v>0</v>
      </c>
      <c r="I172" s="91">
        <v>0</v>
      </c>
      <c r="J172" s="91">
        <v>0</v>
      </c>
    </row>
    <row r="173" spans="1:10" x14ac:dyDescent="0.25">
      <c r="A173" s="90" t="s">
        <v>177</v>
      </c>
      <c r="B173" s="90" t="s">
        <v>565</v>
      </c>
      <c r="C173" s="90" t="s">
        <v>558</v>
      </c>
      <c r="D173" s="91">
        <v>13128</v>
      </c>
      <c r="E173" s="91">
        <v>0</v>
      </c>
      <c r="F173" s="91">
        <v>3701</v>
      </c>
      <c r="G173" s="91">
        <v>124</v>
      </c>
      <c r="H173" s="91">
        <v>0</v>
      </c>
      <c r="I173" s="91">
        <v>0</v>
      </c>
      <c r="J173" s="91">
        <v>0</v>
      </c>
    </row>
    <row r="174" spans="1:10" x14ac:dyDescent="0.25">
      <c r="A174" s="90" t="s">
        <v>178</v>
      </c>
      <c r="B174" s="90" t="s">
        <v>566</v>
      </c>
      <c r="C174" s="90" t="s">
        <v>558</v>
      </c>
      <c r="D174" s="91">
        <v>15043</v>
      </c>
      <c r="E174" s="91">
        <v>0</v>
      </c>
      <c r="F174" s="91">
        <v>5613</v>
      </c>
      <c r="G174" s="91">
        <v>0</v>
      </c>
      <c r="H174" s="91">
        <v>0</v>
      </c>
      <c r="I174" s="91">
        <v>0</v>
      </c>
      <c r="J174" s="91">
        <v>0</v>
      </c>
    </row>
    <row r="175" spans="1:10" x14ac:dyDescent="0.25">
      <c r="A175" s="90" t="s">
        <v>179</v>
      </c>
      <c r="B175" s="90" t="s">
        <v>567</v>
      </c>
      <c r="C175" s="90" t="s">
        <v>558</v>
      </c>
      <c r="D175" s="91">
        <v>6281</v>
      </c>
      <c r="E175" s="91">
        <v>0</v>
      </c>
      <c r="F175" s="91">
        <v>4827</v>
      </c>
      <c r="G175" s="91">
        <v>0</v>
      </c>
      <c r="H175" s="91">
        <v>0</v>
      </c>
      <c r="I175" s="91">
        <v>0</v>
      </c>
      <c r="J175" s="91">
        <v>0</v>
      </c>
    </row>
    <row r="176" spans="1:10" x14ac:dyDescent="0.25">
      <c r="A176" s="90" t="s">
        <v>180</v>
      </c>
      <c r="B176" s="90" t="s">
        <v>356</v>
      </c>
      <c r="C176" s="90" t="s">
        <v>568</v>
      </c>
      <c r="D176" s="91">
        <v>151015</v>
      </c>
      <c r="E176" s="91">
        <v>0</v>
      </c>
      <c r="F176" s="91">
        <v>34559</v>
      </c>
      <c r="G176" s="91">
        <v>18596</v>
      </c>
      <c r="H176" s="91">
        <v>259</v>
      </c>
      <c r="I176" s="91">
        <v>1415</v>
      </c>
      <c r="J176" s="91">
        <v>0</v>
      </c>
    </row>
    <row r="177" spans="1:10" x14ac:dyDescent="0.25">
      <c r="A177" s="90" t="s">
        <v>181</v>
      </c>
      <c r="B177" s="90" t="s">
        <v>569</v>
      </c>
      <c r="C177" s="90" t="s">
        <v>568</v>
      </c>
      <c r="D177" s="91">
        <v>106817</v>
      </c>
      <c r="E177" s="91">
        <v>0</v>
      </c>
      <c r="F177" s="91">
        <v>22126</v>
      </c>
      <c r="G177" s="91">
        <v>7650</v>
      </c>
      <c r="H177" s="91">
        <v>0</v>
      </c>
      <c r="I177" s="91">
        <v>0</v>
      </c>
      <c r="J177" s="91">
        <v>0</v>
      </c>
    </row>
    <row r="178" spans="1:10" x14ac:dyDescent="0.25">
      <c r="A178" s="90" t="s">
        <v>182</v>
      </c>
      <c r="B178" s="90" t="s">
        <v>570</v>
      </c>
      <c r="C178" s="90" t="s">
        <v>568</v>
      </c>
      <c r="D178" s="91">
        <v>37779</v>
      </c>
      <c r="E178" s="91">
        <v>0</v>
      </c>
      <c r="F178" s="91">
        <v>6746</v>
      </c>
      <c r="G178" s="91">
        <v>2488</v>
      </c>
      <c r="H178" s="91">
        <v>173</v>
      </c>
      <c r="I178" s="91">
        <v>943</v>
      </c>
      <c r="J178" s="91">
        <v>0</v>
      </c>
    </row>
    <row r="179" spans="1:10" x14ac:dyDescent="0.25">
      <c r="A179" s="90" t="s">
        <v>183</v>
      </c>
      <c r="B179" s="90" t="s">
        <v>359</v>
      </c>
      <c r="C179" s="90" t="s">
        <v>568</v>
      </c>
      <c r="D179" s="91">
        <v>9402</v>
      </c>
      <c r="E179" s="91">
        <v>0</v>
      </c>
      <c r="F179" s="91">
        <v>5090</v>
      </c>
      <c r="G179" s="91">
        <v>311</v>
      </c>
      <c r="H179" s="91">
        <v>0</v>
      </c>
      <c r="I179" s="91">
        <v>0</v>
      </c>
      <c r="J179" s="91">
        <v>0</v>
      </c>
    </row>
    <row r="180" spans="1:10" x14ac:dyDescent="0.25">
      <c r="A180" s="90" t="s">
        <v>402</v>
      </c>
      <c r="B180" s="90" t="s">
        <v>571</v>
      </c>
      <c r="C180" s="90" t="s">
        <v>572</v>
      </c>
      <c r="D180" s="91">
        <v>1937006</v>
      </c>
      <c r="E180" s="91">
        <v>0</v>
      </c>
      <c r="F180" s="91">
        <v>31916</v>
      </c>
      <c r="G180" s="91">
        <v>207609</v>
      </c>
      <c r="H180" s="91">
        <v>5180</v>
      </c>
      <c r="I180" s="91">
        <v>28292</v>
      </c>
      <c r="J180" s="91">
        <v>0</v>
      </c>
    </row>
    <row r="181" spans="1:10" x14ac:dyDescent="0.25">
      <c r="A181" s="90" t="s">
        <v>362</v>
      </c>
      <c r="B181" s="90" t="s">
        <v>573</v>
      </c>
      <c r="C181" s="90" t="s">
        <v>572</v>
      </c>
      <c r="D181" s="89">
        <v>96246</v>
      </c>
      <c r="E181" s="91">
        <v>0</v>
      </c>
      <c r="F181" s="91">
        <v>9762</v>
      </c>
      <c r="G181" s="92">
        <v>0</v>
      </c>
      <c r="H181" s="92">
        <v>0</v>
      </c>
      <c r="I181" s="92">
        <v>0</v>
      </c>
      <c r="J181" s="92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CCFF"/>
  </sheetPr>
  <dimension ref="A1:AM225"/>
  <sheetViews>
    <sheetView zoomScale="98" zoomScaleNormal="98"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L20" sqref="AL20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8.5703125" style="7" customWidth="1"/>
    <col min="4" max="4" width="18.28515625" style="183" customWidth="1"/>
    <col min="5" max="5" width="28.140625" style="7" customWidth="1"/>
    <col min="6" max="6" width="15.7109375" style="7" customWidth="1"/>
    <col min="7" max="7" width="17.42578125" style="7" customWidth="1"/>
    <col min="8" max="16" width="15.7109375" style="7" customWidth="1"/>
    <col min="17" max="17" width="17.140625" style="94" customWidth="1"/>
    <col min="18" max="34" width="15.7109375" style="7" customWidth="1"/>
    <col min="35" max="35" width="14.42578125" style="7" customWidth="1"/>
    <col min="36" max="36" width="13.7109375" style="7" customWidth="1"/>
    <col min="37" max="37" width="12.85546875" style="7" customWidth="1"/>
    <col min="38" max="38" width="12" style="7" customWidth="1"/>
    <col min="39" max="39" width="12.85546875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663</v>
      </c>
      <c r="D1" s="178"/>
      <c r="E1" s="122"/>
      <c r="F1" s="63"/>
      <c r="G1" s="63"/>
      <c r="H1" s="66"/>
      <c r="I1" s="66"/>
      <c r="J1" s="65" t="str">
        <f>C1</f>
        <v>Title I-A Formula  (Revised Final)</v>
      </c>
      <c r="K1" s="65"/>
      <c r="L1" s="63"/>
      <c r="M1" s="63"/>
      <c r="N1" s="63"/>
      <c r="O1" s="63"/>
      <c r="P1" s="65" t="str">
        <f>C1</f>
        <v>Title I-A Formula  (Revised Final)</v>
      </c>
      <c r="Q1" s="97"/>
      <c r="R1" s="65"/>
      <c r="S1" s="65"/>
      <c r="T1" s="63"/>
      <c r="U1" s="63"/>
      <c r="V1" s="65" t="str">
        <f>C1</f>
        <v>Title I-A Formula  (Revised Final)</v>
      </c>
      <c r="W1" s="63"/>
      <c r="X1" s="66"/>
      <c r="Y1" s="66"/>
      <c r="Z1" s="65"/>
      <c r="AA1" s="65"/>
      <c r="AB1" s="65" t="str">
        <f>C1</f>
        <v>Title I-A Formula  (Revised Final)</v>
      </c>
      <c r="AC1" s="63"/>
      <c r="AD1" s="63"/>
      <c r="AE1" s="63"/>
      <c r="AF1" s="65" t="str">
        <f>C1</f>
        <v>Title I-A Formula  (Revised Final)</v>
      </c>
      <c r="AG1" s="66"/>
      <c r="AH1" s="65"/>
      <c r="AI1" s="122"/>
      <c r="AJ1" s="122"/>
      <c r="AK1" s="122"/>
      <c r="AL1" s="122"/>
      <c r="AM1" s="122"/>
    </row>
    <row r="2" spans="1:39" s="62" customFormat="1" ht="15.75" x14ac:dyDescent="0.25">
      <c r="A2" s="123" t="s">
        <v>1</v>
      </c>
      <c r="B2" s="64"/>
      <c r="C2" s="68" t="s">
        <v>363</v>
      </c>
      <c r="D2" s="179"/>
      <c r="E2" s="68"/>
      <c r="F2" s="67"/>
      <c r="G2" s="67"/>
      <c r="H2" s="66"/>
      <c r="I2" s="66"/>
      <c r="J2" s="67" t="str">
        <f>"FY"&amp;C4</f>
        <v>FY2020-2021</v>
      </c>
      <c r="K2" s="67"/>
      <c r="L2" s="69"/>
      <c r="M2" s="69"/>
      <c r="N2" s="67"/>
      <c r="O2" s="67"/>
      <c r="P2" s="67" t="str">
        <f>"FY"&amp;C4</f>
        <v>FY2020-2021</v>
      </c>
      <c r="Q2" s="98"/>
      <c r="R2" s="67"/>
      <c r="S2" s="67"/>
      <c r="T2" s="69"/>
      <c r="U2" s="69"/>
      <c r="V2" s="67" t="str">
        <f>"FY"&amp;C4</f>
        <v>FY2020-2021</v>
      </c>
      <c r="W2" s="67"/>
      <c r="X2" s="67"/>
      <c r="Y2" s="67"/>
      <c r="Z2" s="67"/>
      <c r="AA2" s="67"/>
      <c r="AB2" s="67" t="str">
        <f>"FY"&amp;C4</f>
        <v>FY2020-2021</v>
      </c>
      <c r="AC2" s="69"/>
      <c r="AD2" s="67"/>
      <c r="AE2" s="67"/>
      <c r="AF2" s="67" t="str">
        <f>"FY"&amp;C4</f>
        <v>FY2020-2021</v>
      </c>
      <c r="AG2" s="67"/>
      <c r="AH2" s="67"/>
      <c r="AI2" s="67"/>
      <c r="AJ2" s="67"/>
      <c r="AK2" s="67"/>
      <c r="AL2" s="67"/>
      <c r="AM2" s="67"/>
    </row>
    <row r="3" spans="1:39" s="62" customFormat="1" ht="15.75" x14ac:dyDescent="0.25">
      <c r="A3" s="123" t="s">
        <v>3</v>
      </c>
      <c r="B3" s="64"/>
      <c r="C3" s="123">
        <v>4010</v>
      </c>
      <c r="D3" s="180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spans="1:39" s="62" customFormat="1" ht="21" x14ac:dyDescent="0.35">
      <c r="A4" s="123" t="s">
        <v>2</v>
      </c>
      <c r="B4" s="64"/>
      <c r="C4" s="122" t="s">
        <v>641</v>
      </c>
      <c r="D4" s="180"/>
      <c r="E4" s="123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39" s="62" customFormat="1" ht="15.75" x14ac:dyDescent="0.25">
      <c r="A5" s="123" t="s">
        <v>392</v>
      </c>
      <c r="B5" s="64"/>
      <c r="C5" s="67" t="s">
        <v>619</v>
      </c>
      <c r="D5" s="180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s="62" customFormat="1" ht="15.75" x14ac:dyDescent="0.25">
      <c r="A6" s="123" t="s">
        <v>4</v>
      </c>
      <c r="B6" s="64"/>
      <c r="C6" s="67" t="s">
        <v>364</v>
      </c>
      <c r="D6" s="180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s="62" customFormat="1" ht="15.75" x14ac:dyDescent="0.25">
      <c r="A7" s="123"/>
      <c r="B7" s="64"/>
      <c r="C7" s="67" t="s">
        <v>630</v>
      </c>
      <c r="D7" s="180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s="62" customFormat="1" ht="15.75" x14ac:dyDescent="0.25">
      <c r="A8" s="123" t="s">
        <v>378</v>
      </c>
      <c r="B8" s="64"/>
      <c r="C8" s="67" t="s">
        <v>577</v>
      </c>
      <c r="D8" s="180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s="62" customFormat="1" ht="15.75" x14ac:dyDescent="0.25">
      <c r="A9" s="123" t="s">
        <v>379</v>
      </c>
      <c r="B9" s="64"/>
      <c r="C9" s="67" t="s">
        <v>380</v>
      </c>
      <c r="D9" s="180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s="62" customFormat="1" ht="16.5" thickBot="1" x14ac:dyDescent="0.3">
      <c r="A10" s="123" t="s">
        <v>393</v>
      </c>
      <c r="B10" s="64"/>
      <c r="C10" s="67" t="s">
        <v>642</v>
      </c>
      <c r="D10" s="180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s="37" customFormat="1" ht="48.75" customHeight="1" thickBot="1" x14ac:dyDescent="0.3">
      <c r="A11" s="114" t="s">
        <v>365</v>
      </c>
      <c r="B11" s="87" t="s">
        <v>366</v>
      </c>
      <c r="C11" s="293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s="3" customFormat="1" ht="18" customHeight="1" thickBot="1" x14ac:dyDescent="0.35">
      <c r="A12" s="149" t="s">
        <v>6</v>
      </c>
      <c r="B12" s="290" t="s">
        <v>184</v>
      </c>
      <c r="C12" s="295">
        <v>1157833</v>
      </c>
      <c r="D12" s="291"/>
      <c r="E12" s="187">
        <f>C12</f>
        <v>1157833</v>
      </c>
      <c r="F12" s="187">
        <f>SUM(H12:AK12)</f>
        <v>1157833.0000000002</v>
      </c>
      <c r="G12" s="187">
        <f>E12-(F12+AL12+AM12)</f>
        <v>0</v>
      </c>
      <c r="H12" s="190"/>
      <c r="I12" s="190"/>
      <c r="J12" s="190"/>
      <c r="K12" s="190"/>
      <c r="L12" s="190">
        <v>13128.52</v>
      </c>
      <c r="M12" s="190">
        <v>74944.97</v>
      </c>
      <c r="N12" s="190">
        <v>69438.289999999994</v>
      </c>
      <c r="O12" s="190">
        <v>86501.84</v>
      </c>
      <c r="P12" s="190">
        <v>186891.63</v>
      </c>
      <c r="Q12" s="190">
        <v>118948.17</v>
      </c>
      <c r="R12" s="190">
        <v>79829.67</v>
      </c>
      <c r="S12" s="190">
        <f>91387.86+216785.13</f>
        <v>308172.99</v>
      </c>
      <c r="T12" s="190">
        <v>63588.29</v>
      </c>
      <c r="U12" s="190"/>
      <c r="V12" s="190">
        <v>22254.04</v>
      </c>
      <c r="W12" s="190">
        <v>134134.59</v>
      </c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1"/>
      <c r="AK12" s="191"/>
      <c r="AL12" s="191"/>
      <c r="AM12" s="191"/>
    </row>
    <row r="13" spans="1:39" s="3" customFormat="1" ht="18" customHeight="1" thickBot="1" x14ac:dyDescent="0.35">
      <c r="A13" s="149" t="s">
        <v>7</v>
      </c>
      <c r="B13" s="290" t="s">
        <v>413</v>
      </c>
      <c r="C13" s="296">
        <v>4397526</v>
      </c>
      <c r="D13" s="291"/>
      <c r="E13" s="187">
        <f t="shared" ref="E13:E76" si="0">C13</f>
        <v>4397526</v>
      </c>
      <c r="F13" s="187">
        <f t="shared" ref="F13:F77" si="1">SUM(H13:AK13)</f>
        <v>4397526</v>
      </c>
      <c r="G13" s="187">
        <f t="shared" ref="G13:G77" si="2">E13-(F13+AL13+AM13)</f>
        <v>0</v>
      </c>
      <c r="H13" s="190"/>
      <c r="I13" s="190"/>
      <c r="J13" s="190"/>
      <c r="K13" s="190"/>
      <c r="L13" s="190">
        <v>101558.81</v>
      </c>
      <c r="M13" s="190">
        <v>462170.84</v>
      </c>
      <c r="N13" s="190">
        <v>364782.21</v>
      </c>
      <c r="O13" s="190">
        <v>244808.34</v>
      </c>
      <c r="P13" s="190">
        <v>243252.47</v>
      </c>
      <c r="Q13" s="190"/>
      <c r="R13" s="190">
        <f>376257.34+336365.02</f>
        <v>712622.3600000001</v>
      </c>
      <c r="S13" s="190">
        <v>396874.75</v>
      </c>
      <c r="T13" s="190">
        <v>415467.12</v>
      </c>
      <c r="U13" s="190">
        <v>410574.28</v>
      </c>
      <c r="V13" s="190">
        <v>349495.34</v>
      </c>
      <c r="W13" s="190"/>
      <c r="X13" s="190">
        <f>481493.3+214426.18</f>
        <v>695919.48</v>
      </c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1"/>
      <c r="AK13" s="191"/>
      <c r="AL13" s="191"/>
      <c r="AM13" s="191"/>
    </row>
    <row r="14" spans="1:39" s="3" customFormat="1" ht="18" customHeight="1" thickBot="1" x14ac:dyDescent="0.35">
      <c r="A14" s="149" t="s">
        <v>8</v>
      </c>
      <c r="B14" s="290" t="s">
        <v>186</v>
      </c>
      <c r="C14" s="296">
        <v>2031896</v>
      </c>
      <c r="D14" s="291"/>
      <c r="E14" s="187">
        <f t="shared" si="0"/>
        <v>2031896</v>
      </c>
      <c r="F14" s="187">
        <f t="shared" si="1"/>
        <v>2031895.9999999998</v>
      </c>
      <c r="G14" s="187">
        <f t="shared" si="2"/>
        <v>0</v>
      </c>
      <c r="H14" s="190"/>
      <c r="I14" s="190"/>
      <c r="J14" s="190"/>
      <c r="K14" s="190"/>
      <c r="L14" s="190">
        <v>285970.53000000003</v>
      </c>
      <c r="M14" s="190">
        <v>149144.78</v>
      </c>
      <c r="N14" s="190"/>
      <c r="O14" s="190">
        <f>192546.28+184752.9</f>
        <v>377299.18</v>
      </c>
      <c r="P14" s="190">
        <v>247422.54</v>
      </c>
      <c r="Q14" s="190">
        <v>178333.42</v>
      </c>
      <c r="R14" s="190">
        <v>214068.27</v>
      </c>
      <c r="S14" s="190">
        <v>208495.43</v>
      </c>
      <c r="T14" s="190"/>
      <c r="U14" s="190">
        <v>229730.65</v>
      </c>
      <c r="V14" s="190">
        <v>141431.20000000001</v>
      </c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191"/>
      <c r="AK14" s="191"/>
      <c r="AL14" s="191"/>
      <c r="AM14" s="191"/>
    </row>
    <row r="15" spans="1:39" s="3" customFormat="1" ht="18" customHeight="1" thickBot="1" x14ac:dyDescent="0.35">
      <c r="A15" s="149" t="s">
        <v>9</v>
      </c>
      <c r="B15" s="290" t="s">
        <v>396</v>
      </c>
      <c r="C15" s="296">
        <v>1257382</v>
      </c>
      <c r="D15" s="291"/>
      <c r="E15" s="187">
        <f t="shared" si="0"/>
        <v>1257382</v>
      </c>
      <c r="F15" s="187">
        <f t="shared" si="1"/>
        <v>1257382</v>
      </c>
      <c r="G15" s="187">
        <f t="shared" si="2"/>
        <v>0</v>
      </c>
      <c r="H15" s="190"/>
      <c r="I15" s="190"/>
      <c r="J15" s="190"/>
      <c r="K15" s="190"/>
      <c r="L15" s="190"/>
      <c r="M15" s="190">
        <v>405482</v>
      </c>
      <c r="N15" s="190"/>
      <c r="O15" s="190">
        <v>165466</v>
      </c>
      <c r="P15" s="190">
        <v>114861</v>
      </c>
      <c r="Q15" s="190"/>
      <c r="R15" s="190">
        <v>218180</v>
      </c>
      <c r="S15" s="190">
        <v>109650</v>
      </c>
      <c r="T15" s="190"/>
      <c r="U15" s="190"/>
      <c r="V15" s="190">
        <v>114614.14</v>
      </c>
      <c r="W15" s="190">
        <v>129128.86</v>
      </c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191"/>
      <c r="AK15" s="191"/>
      <c r="AL15" s="191"/>
      <c r="AM15" s="191"/>
    </row>
    <row r="16" spans="1:39" s="3" customFormat="1" ht="18" customHeight="1" thickBot="1" x14ac:dyDescent="0.35">
      <c r="A16" s="149" t="s">
        <v>10</v>
      </c>
      <c r="B16" s="290" t="s">
        <v>188</v>
      </c>
      <c r="C16" s="296">
        <v>78654</v>
      </c>
      <c r="D16" s="291">
        <v>9025</v>
      </c>
      <c r="E16" s="281">
        <v>0</v>
      </c>
      <c r="F16" s="187">
        <f t="shared" si="1"/>
        <v>0</v>
      </c>
      <c r="G16" s="187">
        <v>0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191"/>
      <c r="AK16" s="191"/>
      <c r="AL16" s="191"/>
      <c r="AM16" s="191"/>
    </row>
    <row r="17" spans="1:39" s="3" customFormat="1" ht="18" customHeight="1" thickBot="1" x14ac:dyDescent="0.35">
      <c r="A17" s="149" t="s">
        <v>11</v>
      </c>
      <c r="B17" s="290" t="s">
        <v>189</v>
      </c>
      <c r="C17" s="296">
        <v>31611</v>
      </c>
      <c r="D17" s="291">
        <v>9025</v>
      </c>
      <c r="E17" s="281">
        <f>0</f>
        <v>0</v>
      </c>
      <c r="F17" s="187">
        <f t="shared" si="1"/>
        <v>0</v>
      </c>
      <c r="G17" s="187">
        <f t="shared" si="2"/>
        <v>0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91"/>
      <c r="AK17" s="191"/>
      <c r="AL17" s="191"/>
      <c r="AM17" s="191"/>
    </row>
    <row r="18" spans="1:39" s="3" customFormat="1" ht="18" customHeight="1" thickBot="1" x14ac:dyDescent="0.35">
      <c r="A18" s="149" t="s">
        <v>12</v>
      </c>
      <c r="B18" s="290" t="s">
        <v>589</v>
      </c>
      <c r="C18" s="296">
        <v>2533251</v>
      </c>
      <c r="D18" s="291"/>
      <c r="E18" s="187">
        <f t="shared" si="0"/>
        <v>2533251</v>
      </c>
      <c r="F18" s="187">
        <f t="shared" si="1"/>
        <v>2533251</v>
      </c>
      <c r="G18" s="187">
        <f t="shared" si="2"/>
        <v>0</v>
      </c>
      <c r="H18" s="190"/>
      <c r="I18" s="190"/>
      <c r="J18" s="190"/>
      <c r="K18" s="190"/>
      <c r="L18" s="190"/>
      <c r="M18" s="190"/>
      <c r="N18" s="190">
        <v>342308.76</v>
      </c>
      <c r="O18" s="190">
        <v>141771.18</v>
      </c>
      <c r="P18" s="190">
        <v>150127.69</v>
      </c>
      <c r="Q18" s="190">
        <f>176830.16+204522.69</f>
        <v>381352.85</v>
      </c>
      <c r="R18" s="190">
        <v>259880.71</v>
      </c>
      <c r="S18" s="190">
        <v>629932.46</v>
      </c>
      <c r="T18" s="190"/>
      <c r="U18" s="190"/>
      <c r="V18" s="190">
        <v>264530.28000000003</v>
      </c>
      <c r="W18" s="190">
        <v>354739.89</v>
      </c>
      <c r="X18" s="190">
        <v>8607.18</v>
      </c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1"/>
      <c r="AJ18" s="191"/>
      <c r="AK18" s="191"/>
      <c r="AL18" s="191"/>
      <c r="AM18" s="191"/>
    </row>
    <row r="19" spans="1:39" s="3" customFormat="1" ht="18" customHeight="1" thickBot="1" x14ac:dyDescent="0.35">
      <c r="A19" s="149" t="s">
        <v>13</v>
      </c>
      <c r="B19" s="290" t="s">
        <v>414</v>
      </c>
      <c r="C19" s="296">
        <v>821794</v>
      </c>
      <c r="D19" s="291"/>
      <c r="E19" s="187">
        <f t="shared" si="0"/>
        <v>821794</v>
      </c>
      <c r="F19" s="187">
        <f t="shared" si="1"/>
        <v>821794.00000000012</v>
      </c>
      <c r="G19" s="187">
        <f t="shared" si="2"/>
        <v>0</v>
      </c>
      <c r="H19" s="190"/>
      <c r="I19" s="190"/>
      <c r="J19" s="190"/>
      <c r="K19" s="190"/>
      <c r="L19" s="190"/>
      <c r="M19" s="190"/>
      <c r="N19" s="190">
        <v>31425.040000000001</v>
      </c>
      <c r="O19" s="190">
        <v>53592.77</v>
      </c>
      <c r="P19" s="190">
        <v>62383.55</v>
      </c>
      <c r="Q19" s="190">
        <v>67606.81</v>
      </c>
      <c r="R19" s="190">
        <v>65429.15</v>
      </c>
      <c r="S19" s="190">
        <v>206207.48</v>
      </c>
      <c r="T19" s="190">
        <v>70081.710000000006</v>
      </c>
      <c r="U19" s="190">
        <v>61877.3</v>
      </c>
      <c r="V19" s="190">
        <f>65175.4+909.42</f>
        <v>66084.820000000007</v>
      </c>
      <c r="W19" s="190">
        <v>62459.63</v>
      </c>
      <c r="X19" s="190">
        <v>54897.03</v>
      </c>
      <c r="Y19" s="190">
        <v>19748.71</v>
      </c>
      <c r="Z19" s="190"/>
      <c r="AA19" s="190"/>
      <c r="AB19" s="190"/>
      <c r="AC19" s="190"/>
      <c r="AD19" s="190"/>
      <c r="AE19" s="190"/>
      <c r="AF19" s="190"/>
      <c r="AG19" s="190"/>
      <c r="AH19" s="190"/>
      <c r="AI19" s="191"/>
      <c r="AJ19" s="191"/>
      <c r="AK19" s="191"/>
      <c r="AL19" s="191"/>
      <c r="AM19" s="191"/>
    </row>
    <row r="20" spans="1:39" s="3" customFormat="1" ht="18" customHeight="1" thickBot="1" x14ac:dyDescent="0.35">
      <c r="A20" s="149" t="s">
        <v>14</v>
      </c>
      <c r="B20" s="290" t="s">
        <v>416</v>
      </c>
      <c r="C20" s="296">
        <v>88340</v>
      </c>
      <c r="D20" s="291"/>
      <c r="E20" s="187">
        <f t="shared" si="0"/>
        <v>88340</v>
      </c>
      <c r="F20" s="187">
        <f t="shared" si="1"/>
        <v>88340</v>
      </c>
      <c r="G20" s="187">
        <f t="shared" si="2"/>
        <v>0</v>
      </c>
      <c r="H20" s="190"/>
      <c r="I20" s="190"/>
      <c r="J20" s="190"/>
      <c r="K20" s="190"/>
      <c r="L20" s="190"/>
      <c r="M20" s="190"/>
      <c r="N20" s="192"/>
      <c r="O20" s="190">
        <v>53331.54</v>
      </c>
      <c r="P20" s="190"/>
      <c r="Q20" s="190"/>
      <c r="R20" s="190"/>
      <c r="S20" s="190">
        <v>33743.46</v>
      </c>
      <c r="T20" s="190"/>
      <c r="U20" s="190"/>
      <c r="V20" s="190"/>
      <c r="W20" s="190"/>
      <c r="X20" s="190">
        <v>1265</v>
      </c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91"/>
      <c r="AK20" s="191"/>
      <c r="AL20" s="191"/>
      <c r="AM20" s="191"/>
    </row>
    <row r="21" spans="1:39" s="3" customFormat="1" ht="18" customHeight="1" thickBot="1" x14ac:dyDescent="0.35">
      <c r="A21" s="149" t="s">
        <v>15</v>
      </c>
      <c r="B21" s="290" t="s">
        <v>193</v>
      </c>
      <c r="C21" s="296">
        <v>596867</v>
      </c>
      <c r="D21" s="291"/>
      <c r="E21" s="187">
        <f t="shared" si="0"/>
        <v>596867</v>
      </c>
      <c r="F21" s="187">
        <f t="shared" si="1"/>
        <v>596867</v>
      </c>
      <c r="G21" s="187">
        <f t="shared" si="2"/>
        <v>0</v>
      </c>
      <c r="H21" s="190"/>
      <c r="I21" s="190"/>
      <c r="J21" s="190"/>
      <c r="K21" s="190"/>
      <c r="L21" s="190">
        <v>24247</v>
      </c>
      <c r="M21" s="190">
        <v>42749</v>
      </c>
      <c r="N21" s="190">
        <v>41626</v>
      </c>
      <c r="O21" s="190">
        <v>44558</v>
      </c>
      <c r="P21" s="190">
        <v>43327</v>
      </c>
      <c r="Q21" s="190">
        <v>44476</v>
      </c>
      <c r="R21" s="190">
        <v>46231</v>
      </c>
      <c r="S21" s="223">
        <v>54686</v>
      </c>
      <c r="T21" s="190">
        <v>78553</v>
      </c>
      <c r="U21" s="190">
        <v>37548</v>
      </c>
      <c r="V21" s="190">
        <v>27982</v>
      </c>
      <c r="W21" s="190"/>
      <c r="X21" s="190"/>
      <c r="Y21" s="190">
        <v>110884</v>
      </c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191"/>
      <c r="AK21" s="191"/>
      <c r="AL21" s="191"/>
      <c r="AM21" s="191"/>
    </row>
    <row r="22" spans="1:39" s="3" customFormat="1" ht="18" customHeight="1" thickBot="1" x14ac:dyDescent="0.35">
      <c r="A22" s="149" t="s">
        <v>16</v>
      </c>
      <c r="B22" s="290" t="s">
        <v>194</v>
      </c>
      <c r="C22" s="296">
        <v>741937</v>
      </c>
      <c r="D22" s="291"/>
      <c r="E22" s="187">
        <f t="shared" si="0"/>
        <v>741937</v>
      </c>
      <c r="F22" s="187">
        <f t="shared" si="1"/>
        <v>741937</v>
      </c>
      <c r="G22" s="187">
        <f t="shared" si="2"/>
        <v>0</v>
      </c>
      <c r="H22" s="190"/>
      <c r="I22" s="190"/>
      <c r="J22" s="190"/>
      <c r="K22" s="190"/>
      <c r="L22" s="190"/>
      <c r="M22" s="190"/>
      <c r="N22" s="190">
        <v>67462.91</v>
      </c>
      <c r="O22" s="190"/>
      <c r="P22" s="192"/>
      <c r="Q22" s="190">
        <v>240028.22</v>
      </c>
      <c r="R22" s="190"/>
      <c r="S22" s="190">
        <v>143839.35</v>
      </c>
      <c r="T22" s="190"/>
      <c r="U22" s="190">
        <v>146257.5</v>
      </c>
      <c r="V22" s="190"/>
      <c r="W22" s="190">
        <f>64077.72+2347</f>
        <v>66424.72</v>
      </c>
      <c r="X22" s="190">
        <v>77924.3</v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/>
      <c r="AJ22" s="191"/>
      <c r="AK22" s="191"/>
      <c r="AL22" s="191"/>
      <c r="AM22" s="191"/>
    </row>
    <row r="23" spans="1:39" s="3" customFormat="1" ht="18" customHeight="1" thickBot="1" x14ac:dyDescent="0.35">
      <c r="A23" s="149" t="s">
        <v>17</v>
      </c>
      <c r="B23" s="290" t="s">
        <v>195</v>
      </c>
      <c r="C23" s="296">
        <v>4478357</v>
      </c>
      <c r="D23" s="291"/>
      <c r="E23" s="187">
        <f t="shared" si="0"/>
        <v>4478357</v>
      </c>
      <c r="F23" s="187">
        <f t="shared" si="1"/>
        <v>4478357</v>
      </c>
      <c r="G23" s="187">
        <f t="shared" si="2"/>
        <v>0</v>
      </c>
      <c r="H23" s="190"/>
      <c r="I23" s="190"/>
      <c r="J23" s="190"/>
      <c r="K23" s="190"/>
      <c r="L23" s="190"/>
      <c r="M23" s="190"/>
      <c r="N23" s="190"/>
      <c r="O23" s="190"/>
      <c r="P23" s="190">
        <v>1638877.04</v>
      </c>
      <c r="Q23" s="190">
        <v>352613.69</v>
      </c>
      <c r="R23" s="190">
        <v>596839.81999999995</v>
      </c>
      <c r="S23" s="190">
        <v>37297.760000000002</v>
      </c>
      <c r="T23" s="190">
        <v>361527.74</v>
      </c>
      <c r="U23" s="190"/>
      <c r="V23" s="190">
        <v>858119.21</v>
      </c>
      <c r="W23" s="190"/>
      <c r="X23" s="190"/>
      <c r="Y23" s="190"/>
      <c r="Z23" s="190"/>
      <c r="AA23" s="190"/>
      <c r="AB23" s="190"/>
      <c r="AC23" s="190"/>
      <c r="AD23" s="190"/>
      <c r="AE23" s="190"/>
      <c r="AF23" s="190">
        <v>633081.74</v>
      </c>
      <c r="AG23" s="190"/>
      <c r="AH23" s="190"/>
      <c r="AI23" s="191"/>
      <c r="AJ23" s="191"/>
      <c r="AK23" s="191"/>
      <c r="AL23" s="191"/>
      <c r="AM23" s="191"/>
    </row>
    <row r="24" spans="1:39" s="3" customFormat="1" ht="18" customHeight="1" thickBot="1" x14ac:dyDescent="0.35">
      <c r="A24" s="149" t="s">
        <v>18</v>
      </c>
      <c r="B24" s="290" t="s">
        <v>196</v>
      </c>
      <c r="C24" s="296">
        <v>425462</v>
      </c>
      <c r="D24" s="291"/>
      <c r="E24" s="187">
        <f t="shared" si="0"/>
        <v>425462</v>
      </c>
      <c r="F24" s="187">
        <f t="shared" si="1"/>
        <v>425461.99000000005</v>
      </c>
      <c r="G24" s="187">
        <f t="shared" si="2"/>
        <v>9.9999999511055648E-3</v>
      </c>
      <c r="H24" s="190"/>
      <c r="I24" s="190"/>
      <c r="J24" s="190"/>
      <c r="K24" s="190"/>
      <c r="L24" s="190"/>
      <c r="M24" s="190"/>
      <c r="N24" s="190"/>
      <c r="O24" s="190">
        <v>54204.94</v>
      </c>
      <c r="P24" s="190">
        <v>76669.86</v>
      </c>
      <c r="Q24" s="190">
        <v>74374.98</v>
      </c>
      <c r="R24" s="190">
        <v>91680.05</v>
      </c>
      <c r="S24" s="190">
        <v>74904.88</v>
      </c>
      <c r="T24" s="190"/>
      <c r="U24" s="190">
        <v>14091.44</v>
      </c>
      <c r="V24" s="190">
        <v>12342.69</v>
      </c>
      <c r="W24" s="190">
        <v>6441.28</v>
      </c>
      <c r="X24" s="190">
        <v>20751.87</v>
      </c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1"/>
      <c r="AJ24" s="191"/>
      <c r="AK24" s="191"/>
      <c r="AL24" s="191"/>
      <c r="AM24" s="191"/>
    </row>
    <row r="25" spans="1:39" s="3" customFormat="1" ht="18" customHeight="1" thickBot="1" x14ac:dyDescent="0.35">
      <c r="A25" s="149" t="s">
        <v>19</v>
      </c>
      <c r="B25" s="290" t="s">
        <v>197</v>
      </c>
      <c r="C25" s="296">
        <v>22505</v>
      </c>
      <c r="D25" s="291">
        <v>9025</v>
      </c>
      <c r="E25" s="281">
        <f>0</f>
        <v>0</v>
      </c>
      <c r="F25" s="187">
        <f t="shared" si="1"/>
        <v>0</v>
      </c>
      <c r="G25" s="187">
        <f t="shared" si="2"/>
        <v>0</v>
      </c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  <c r="AJ25" s="191"/>
      <c r="AK25" s="191"/>
      <c r="AL25" s="191"/>
      <c r="AM25" s="191"/>
    </row>
    <row r="26" spans="1:39" s="3" customFormat="1" ht="18" customHeight="1" thickBot="1" x14ac:dyDescent="0.35">
      <c r="A26" s="149" t="s">
        <v>20</v>
      </c>
      <c r="B26" s="290" t="s">
        <v>198</v>
      </c>
      <c r="C26" s="296">
        <v>10339427</v>
      </c>
      <c r="D26" s="291"/>
      <c r="E26" s="187">
        <f t="shared" si="0"/>
        <v>10339427</v>
      </c>
      <c r="F26" s="187">
        <f t="shared" si="1"/>
        <v>10339430</v>
      </c>
      <c r="G26" s="187">
        <f t="shared" si="2"/>
        <v>-3</v>
      </c>
      <c r="H26" s="190"/>
      <c r="I26" s="190"/>
      <c r="J26" s="190"/>
      <c r="K26" s="190"/>
      <c r="L26" s="190"/>
      <c r="M26" s="190">
        <v>2229852.2599999998</v>
      </c>
      <c r="N26" s="190"/>
      <c r="O26" s="190">
        <v>1449151.65</v>
      </c>
      <c r="P26" s="190">
        <v>740395.14</v>
      </c>
      <c r="Q26" s="190">
        <v>902557.95</v>
      </c>
      <c r="R26" s="190">
        <v>807039.45</v>
      </c>
      <c r="S26" s="190">
        <v>947253.23</v>
      </c>
      <c r="T26" s="190"/>
      <c r="U26" s="190"/>
      <c r="V26" s="190"/>
      <c r="W26" s="190">
        <v>1768082.74</v>
      </c>
      <c r="X26" s="190"/>
      <c r="Y26" s="190"/>
      <c r="Z26" s="190">
        <f>968781.74+526315.84</f>
        <v>1495097.58</v>
      </c>
      <c r="AA26" s="190"/>
      <c r="AB26" s="190"/>
      <c r="AC26" s="190"/>
      <c r="AD26" s="190"/>
      <c r="AE26" s="190"/>
      <c r="AF26" s="190"/>
      <c r="AG26" s="190"/>
      <c r="AH26" s="190"/>
      <c r="AI26" s="191"/>
      <c r="AJ26" s="191"/>
      <c r="AK26" s="191"/>
      <c r="AL26" s="191"/>
      <c r="AM26" s="191"/>
    </row>
    <row r="27" spans="1:39" s="3" customFormat="1" ht="18" customHeight="1" thickBot="1" x14ac:dyDescent="0.35">
      <c r="A27" s="149" t="s">
        <v>21</v>
      </c>
      <c r="B27" s="290" t="s">
        <v>199</v>
      </c>
      <c r="C27" s="296">
        <v>352254</v>
      </c>
      <c r="D27" s="291"/>
      <c r="E27" s="187">
        <f t="shared" si="0"/>
        <v>352254</v>
      </c>
      <c r="F27" s="187">
        <f t="shared" si="1"/>
        <v>352254</v>
      </c>
      <c r="G27" s="187">
        <f t="shared" si="2"/>
        <v>0</v>
      </c>
      <c r="H27" s="190"/>
      <c r="I27" s="190"/>
      <c r="J27" s="190"/>
      <c r="K27" s="190"/>
      <c r="L27" s="190"/>
      <c r="M27" s="190">
        <v>85799</v>
      </c>
      <c r="N27" s="190"/>
      <c r="O27" s="190"/>
      <c r="P27" s="190"/>
      <c r="Q27" s="190"/>
      <c r="R27" s="190">
        <v>241364.24</v>
      </c>
      <c r="S27" s="190">
        <v>25089.759999999998</v>
      </c>
      <c r="T27" s="190"/>
      <c r="U27" s="190"/>
      <c r="V27" s="190"/>
      <c r="W27" s="190"/>
      <c r="X27" s="190">
        <v>1</v>
      </c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191"/>
      <c r="AK27" s="191"/>
      <c r="AL27" s="191"/>
      <c r="AM27" s="191"/>
    </row>
    <row r="28" spans="1:39" s="3" customFormat="1" ht="18" customHeight="1" thickBot="1" x14ac:dyDescent="0.35">
      <c r="A28" s="149" t="s">
        <v>22</v>
      </c>
      <c r="B28" s="290" t="s">
        <v>418</v>
      </c>
      <c r="C28" s="296">
        <v>373002</v>
      </c>
      <c r="D28" s="291"/>
      <c r="E28" s="187">
        <f t="shared" si="0"/>
        <v>373002</v>
      </c>
      <c r="F28" s="187">
        <f t="shared" si="1"/>
        <v>373002.00000000006</v>
      </c>
      <c r="G28" s="187">
        <f t="shared" si="2"/>
        <v>0</v>
      </c>
      <c r="H28" s="190"/>
      <c r="I28" s="190"/>
      <c r="J28" s="190"/>
      <c r="K28" s="190"/>
      <c r="L28" s="190"/>
      <c r="M28" s="190">
        <v>66469.919999999998</v>
      </c>
      <c r="N28" s="190"/>
      <c r="O28" s="190">
        <f>51840.29+6750</f>
        <v>58590.29</v>
      </c>
      <c r="P28" s="190"/>
      <c r="Q28" s="190">
        <f>62620.73+9375</f>
        <v>71995.73000000001</v>
      </c>
      <c r="R28" s="190">
        <v>28734.98</v>
      </c>
      <c r="S28" s="190">
        <v>34250.97</v>
      </c>
      <c r="T28" s="190">
        <f>13069+29839.33</f>
        <v>42908.33</v>
      </c>
      <c r="U28" s="190">
        <v>34478.089999999997</v>
      </c>
      <c r="V28" s="190"/>
      <c r="W28" s="190"/>
      <c r="X28" s="190"/>
      <c r="Y28" s="190"/>
      <c r="Z28" s="190"/>
      <c r="AA28" s="190">
        <v>35573.69</v>
      </c>
      <c r="AB28" s="190"/>
      <c r="AC28" s="190"/>
      <c r="AD28" s="190"/>
      <c r="AE28" s="190"/>
      <c r="AF28" s="190"/>
      <c r="AG28" s="190"/>
      <c r="AH28" s="190"/>
      <c r="AI28" s="191"/>
      <c r="AJ28" s="191"/>
      <c r="AK28" s="191"/>
      <c r="AL28" s="191"/>
      <c r="AM28" s="191"/>
    </row>
    <row r="29" spans="1:39" s="3" customFormat="1" ht="18" customHeight="1" thickBot="1" x14ac:dyDescent="0.35">
      <c r="A29" s="149" t="s">
        <v>23</v>
      </c>
      <c r="B29" s="290" t="s">
        <v>420</v>
      </c>
      <c r="C29" s="296">
        <v>38593</v>
      </c>
      <c r="D29" s="291"/>
      <c r="E29" s="187">
        <f t="shared" si="0"/>
        <v>38593</v>
      </c>
      <c r="F29" s="187">
        <f t="shared" si="1"/>
        <v>38593</v>
      </c>
      <c r="G29" s="187">
        <f t="shared" si="2"/>
        <v>0</v>
      </c>
      <c r="H29" s="190"/>
      <c r="I29" s="190"/>
      <c r="J29" s="190"/>
      <c r="K29" s="190"/>
      <c r="L29" s="190"/>
      <c r="M29" s="190">
        <v>18476</v>
      </c>
      <c r="N29" s="190"/>
      <c r="O29" s="190"/>
      <c r="P29" s="190"/>
      <c r="Q29" s="190"/>
      <c r="R29" s="190"/>
      <c r="S29" s="190">
        <v>19792</v>
      </c>
      <c r="T29" s="190"/>
      <c r="U29" s="190"/>
      <c r="V29" s="190"/>
      <c r="W29" s="190"/>
      <c r="X29" s="190"/>
      <c r="Y29" s="190"/>
      <c r="Z29" s="190">
        <v>325</v>
      </c>
      <c r="AA29" s="190"/>
      <c r="AB29" s="190"/>
      <c r="AC29" s="190"/>
      <c r="AD29" s="190"/>
      <c r="AE29" s="190"/>
      <c r="AF29" s="190"/>
      <c r="AG29" s="190"/>
      <c r="AH29" s="190"/>
      <c r="AI29" s="191"/>
      <c r="AJ29" s="191"/>
      <c r="AK29" s="191"/>
      <c r="AL29" s="191"/>
      <c r="AM29" s="191"/>
    </row>
    <row r="30" spans="1:39" s="3" customFormat="1" ht="18" customHeight="1" thickBot="1" x14ac:dyDescent="0.35">
      <c r="A30" s="149" t="s">
        <v>24</v>
      </c>
      <c r="B30" s="290" t="s">
        <v>422</v>
      </c>
      <c r="C30" s="296">
        <v>13606</v>
      </c>
      <c r="D30" s="291"/>
      <c r="E30" s="187">
        <f t="shared" si="0"/>
        <v>13606</v>
      </c>
      <c r="F30" s="187">
        <f t="shared" si="1"/>
        <v>0</v>
      </c>
      <c r="G30" s="187">
        <f t="shared" si="2"/>
        <v>13606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1"/>
      <c r="AJ30" s="191"/>
      <c r="AK30" s="191"/>
      <c r="AL30" s="191"/>
      <c r="AM30" s="191"/>
    </row>
    <row r="31" spans="1:39" s="3" customFormat="1" ht="18" customHeight="1" thickBot="1" x14ac:dyDescent="0.35">
      <c r="A31" s="149" t="s">
        <v>25</v>
      </c>
      <c r="B31" s="290" t="s">
        <v>423</v>
      </c>
      <c r="C31" s="296">
        <v>142595</v>
      </c>
      <c r="D31" s="291"/>
      <c r="E31" s="187">
        <f t="shared" si="0"/>
        <v>142595</v>
      </c>
      <c r="F31" s="187">
        <f t="shared" si="1"/>
        <v>142595</v>
      </c>
      <c r="G31" s="187">
        <f t="shared" si="2"/>
        <v>0</v>
      </c>
      <c r="H31" s="190"/>
      <c r="I31" s="190"/>
      <c r="J31" s="190"/>
      <c r="K31" s="190"/>
      <c r="L31" s="190"/>
      <c r="M31" s="190"/>
      <c r="N31" s="190"/>
      <c r="O31" s="190"/>
      <c r="P31" s="190">
        <f>44850.18+8149.37</f>
        <v>52999.55</v>
      </c>
      <c r="Q31" s="190"/>
      <c r="R31" s="190">
        <v>18845.29</v>
      </c>
      <c r="S31" s="190">
        <v>40038.15</v>
      </c>
      <c r="T31" s="190"/>
      <c r="U31" s="190"/>
      <c r="V31" s="190"/>
      <c r="W31" s="190"/>
      <c r="X31" s="190"/>
      <c r="Y31" s="190"/>
      <c r="Z31" s="190"/>
      <c r="AA31" s="190"/>
      <c r="AB31" s="190"/>
      <c r="AC31" s="190">
        <v>30712.01</v>
      </c>
      <c r="AD31" s="190"/>
      <c r="AE31" s="190"/>
      <c r="AF31" s="190"/>
      <c r="AG31" s="190"/>
      <c r="AH31" s="190"/>
      <c r="AI31" s="191"/>
      <c r="AJ31" s="191"/>
      <c r="AK31" s="191"/>
      <c r="AL31" s="191"/>
      <c r="AM31" s="191"/>
    </row>
    <row r="32" spans="1:39" s="3" customFormat="1" ht="18" customHeight="1" thickBot="1" x14ac:dyDescent="0.35">
      <c r="A32" s="149" t="s">
        <v>26</v>
      </c>
      <c r="B32" s="290" t="s">
        <v>424</v>
      </c>
      <c r="C32" s="296">
        <v>16895</v>
      </c>
      <c r="D32" s="291"/>
      <c r="E32" s="187">
        <f t="shared" si="0"/>
        <v>16895</v>
      </c>
      <c r="F32" s="187">
        <f t="shared" si="1"/>
        <v>16895</v>
      </c>
      <c r="G32" s="187">
        <f t="shared" si="2"/>
        <v>0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>
        <v>16895</v>
      </c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1"/>
      <c r="AJ32" s="191"/>
      <c r="AK32" s="191"/>
      <c r="AL32" s="191"/>
      <c r="AM32" s="191"/>
    </row>
    <row r="33" spans="1:39" s="3" customFormat="1" ht="18" customHeight="1" thickBot="1" x14ac:dyDescent="0.35">
      <c r="A33" s="149" t="s">
        <v>27</v>
      </c>
      <c r="B33" s="290" t="s">
        <v>205</v>
      </c>
      <c r="C33" s="296">
        <v>12363</v>
      </c>
      <c r="D33" s="291"/>
      <c r="E33" s="187">
        <f t="shared" si="0"/>
        <v>12363</v>
      </c>
      <c r="F33" s="187">
        <f t="shared" si="1"/>
        <v>12363</v>
      </c>
      <c r="G33" s="187">
        <f t="shared" si="2"/>
        <v>0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>
        <v>12363</v>
      </c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  <c r="AJ33" s="191"/>
      <c r="AK33" s="191"/>
      <c r="AL33" s="191"/>
      <c r="AM33" s="191"/>
    </row>
    <row r="34" spans="1:39" s="3" customFormat="1" ht="18" customHeight="1" thickBot="1" x14ac:dyDescent="0.35">
      <c r="A34" s="149" t="s">
        <v>28</v>
      </c>
      <c r="B34" s="290" t="s">
        <v>426</v>
      </c>
      <c r="C34" s="296">
        <v>640244</v>
      </c>
      <c r="D34" s="291"/>
      <c r="E34" s="187">
        <f t="shared" si="0"/>
        <v>640244</v>
      </c>
      <c r="F34" s="187">
        <f t="shared" si="1"/>
        <v>640244</v>
      </c>
      <c r="G34" s="187">
        <f t="shared" si="2"/>
        <v>0</v>
      </c>
      <c r="H34" s="190"/>
      <c r="I34" s="190"/>
      <c r="J34" s="190"/>
      <c r="K34" s="190"/>
      <c r="L34" s="190"/>
      <c r="M34" s="190"/>
      <c r="N34" s="190">
        <v>186992</v>
      </c>
      <c r="O34" s="190"/>
      <c r="P34" s="190"/>
      <c r="Q34" s="190"/>
      <c r="R34" s="190"/>
      <c r="S34" s="190"/>
      <c r="T34" s="190">
        <v>79288.490000000005</v>
      </c>
      <c r="U34" s="190">
        <v>268349.51</v>
      </c>
      <c r="V34" s="190"/>
      <c r="W34" s="190"/>
      <c r="X34" s="190"/>
      <c r="Y34" s="190"/>
      <c r="Z34" s="190"/>
      <c r="AA34" s="190"/>
      <c r="AB34" s="190"/>
      <c r="AC34" s="190"/>
      <c r="AD34" s="190"/>
      <c r="AE34" s="190">
        <v>105614</v>
      </c>
      <c r="AF34" s="190"/>
      <c r="AG34" s="190"/>
      <c r="AH34" s="190"/>
      <c r="AI34" s="191"/>
      <c r="AJ34" s="191"/>
      <c r="AK34" s="191"/>
      <c r="AL34" s="191"/>
      <c r="AM34" s="191"/>
    </row>
    <row r="35" spans="1:39" s="3" customFormat="1" ht="18" customHeight="1" thickBot="1" x14ac:dyDescent="0.35">
      <c r="A35" s="149" t="s">
        <v>29</v>
      </c>
      <c r="B35" s="290" t="s">
        <v>428</v>
      </c>
      <c r="C35" s="296">
        <v>44066</v>
      </c>
      <c r="D35" s="291"/>
      <c r="E35" s="187">
        <f t="shared" si="0"/>
        <v>44066</v>
      </c>
      <c r="F35" s="187">
        <f t="shared" si="1"/>
        <v>44066</v>
      </c>
      <c r="G35" s="187">
        <f t="shared" si="2"/>
        <v>0</v>
      </c>
      <c r="H35" s="190"/>
      <c r="I35" s="190"/>
      <c r="J35" s="190"/>
      <c r="K35" s="190"/>
      <c r="L35" s="190">
        <v>4405.5</v>
      </c>
      <c r="M35" s="190"/>
      <c r="N35" s="190"/>
      <c r="O35" s="190"/>
      <c r="P35" s="190">
        <v>18070.349999999999</v>
      </c>
      <c r="Q35" s="190"/>
      <c r="R35" s="190">
        <v>21590.15</v>
      </c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1"/>
      <c r="AJ35" s="191"/>
      <c r="AK35" s="191"/>
      <c r="AL35" s="191"/>
      <c r="AM35" s="191"/>
    </row>
    <row r="36" spans="1:39" s="3" customFormat="1" ht="18" customHeight="1" thickBot="1" x14ac:dyDescent="0.35">
      <c r="A36" s="149" t="s">
        <v>30</v>
      </c>
      <c r="B36" s="290" t="s">
        <v>208</v>
      </c>
      <c r="C36" s="296">
        <v>2796751</v>
      </c>
      <c r="D36" s="291"/>
      <c r="E36" s="187">
        <f t="shared" si="0"/>
        <v>2796751</v>
      </c>
      <c r="F36" s="187">
        <f t="shared" si="1"/>
        <v>2796751</v>
      </c>
      <c r="G36" s="187">
        <f t="shared" si="2"/>
        <v>0</v>
      </c>
      <c r="H36" s="190"/>
      <c r="I36" s="190"/>
      <c r="J36" s="190"/>
      <c r="K36" s="190"/>
      <c r="L36" s="190"/>
      <c r="M36" s="190"/>
      <c r="N36" s="190">
        <v>504737.79</v>
      </c>
      <c r="O36" s="190"/>
      <c r="P36" s="190"/>
      <c r="Q36" s="190">
        <v>584653.85</v>
      </c>
      <c r="R36" s="190"/>
      <c r="S36" s="190">
        <v>377253.93</v>
      </c>
      <c r="T36" s="190"/>
      <c r="U36" s="190"/>
      <c r="V36" s="190"/>
      <c r="W36" s="190">
        <v>711742.37</v>
      </c>
      <c r="X36" s="190"/>
      <c r="Y36" s="190"/>
      <c r="Z36" s="190"/>
      <c r="AA36" s="190"/>
      <c r="AB36" s="190"/>
      <c r="AC36" s="190"/>
      <c r="AD36" s="190">
        <v>618363.06000000006</v>
      </c>
      <c r="AE36" s="190"/>
      <c r="AF36" s="190"/>
      <c r="AG36" s="190"/>
      <c r="AH36" s="190"/>
      <c r="AI36" s="191"/>
      <c r="AJ36" s="191"/>
      <c r="AK36" s="191"/>
      <c r="AL36" s="191"/>
      <c r="AM36" s="191"/>
    </row>
    <row r="37" spans="1:39" s="3" customFormat="1" ht="18" customHeight="1" thickBot="1" x14ac:dyDescent="0.35">
      <c r="A37" s="149" t="s">
        <v>31</v>
      </c>
      <c r="B37" s="290" t="s">
        <v>209</v>
      </c>
      <c r="C37" s="296">
        <v>1873552</v>
      </c>
      <c r="D37" s="291"/>
      <c r="E37" s="187">
        <f t="shared" si="0"/>
        <v>1873552</v>
      </c>
      <c r="F37" s="187">
        <f t="shared" si="1"/>
        <v>1873552</v>
      </c>
      <c r="G37" s="187">
        <f t="shared" si="2"/>
        <v>0</v>
      </c>
      <c r="H37" s="190"/>
      <c r="I37" s="190"/>
      <c r="J37" s="190"/>
      <c r="K37" s="190">
        <v>49585.11</v>
      </c>
      <c r="L37" s="190">
        <v>179439.38</v>
      </c>
      <c r="M37" s="190">
        <v>177186.23</v>
      </c>
      <c r="N37" s="190">
        <v>157669.64000000001</v>
      </c>
      <c r="O37" s="190">
        <v>182123.83</v>
      </c>
      <c r="P37" s="190">
        <v>179058.1</v>
      </c>
      <c r="Q37" s="190">
        <v>179862.2</v>
      </c>
      <c r="R37" s="190">
        <v>203773.09</v>
      </c>
      <c r="S37" s="190">
        <v>209145.25</v>
      </c>
      <c r="T37" s="190"/>
      <c r="U37" s="190"/>
      <c r="V37" s="190">
        <v>133426.04</v>
      </c>
      <c r="W37" s="190">
        <v>222283.13</v>
      </c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1"/>
      <c r="AJ37" s="191"/>
      <c r="AK37" s="191"/>
      <c r="AL37" s="191"/>
      <c r="AM37" s="191"/>
    </row>
    <row r="38" spans="1:39" s="3" customFormat="1" ht="18" customHeight="1" thickBot="1" x14ac:dyDescent="0.35">
      <c r="A38" s="149" t="s">
        <v>32</v>
      </c>
      <c r="B38" s="290" t="s">
        <v>210</v>
      </c>
      <c r="C38" s="296">
        <v>149570</v>
      </c>
      <c r="D38" s="291"/>
      <c r="E38" s="187">
        <f t="shared" si="0"/>
        <v>149570</v>
      </c>
      <c r="F38" s="187">
        <f t="shared" si="1"/>
        <v>149570</v>
      </c>
      <c r="G38" s="187">
        <f t="shared" si="2"/>
        <v>0</v>
      </c>
      <c r="H38" s="190"/>
      <c r="I38" s="190"/>
      <c r="J38" s="190"/>
      <c r="K38" s="190"/>
      <c r="L38" s="190"/>
      <c r="M38" s="190">
        <v>74758.5</v>
      </c>
      <c r="N38" s="190"/>
      <c r="O38" s="190"/>
      <c r="P38" s="190"/>
      <c r="Q38" s="190"/>
      <c r="R38" s="190"/>
      <c r="S38" s="190"/>
      <c r="T38" s="190">
        <v>74811.5</v>
      </c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1"/>
      <c r="AJ38" s="191"/>
      <c r="AK38" s="191"/>
      <c r="AL38" s="191"/>
      <c r="AM38" s="191"/>
    </row>
    <row r="39" spans="1:39" s="3" customFormat="1" ht="18" customHeight="1" thickBot="1" x14ac:dyDescent="0.35">
      <c r="A39" s="149" t="s">
        <v>33</v>
      </c>
      <c r="B39" s="290" t="s">
        <v>211</v>
      </c>
      <c r="C39" s="296">
        <v>158744</v>
      </c>
      <c r="D39" s="291"/>
      <c r="E39" s="187">
        <f t="shared" si="0"/>
        <v>158744</v>
      </c>
      <c r="F39" s="187">
        <f t="shared" si="1"/>
        <v>158744</v>
      </c>
      <c r="G39" s="187">
        <f t="shared" si="2"/>
        <v>0</v>
      </c>
      <c r="H39" s="190"/>
      <c r="I39" s="190"/>
      <c r="J39" s="190"/>
      <c r="K39" s="190"/>
      <c r="L39" s="190"/>
      <c r="M39" s="190">
        <f>31575.34+15887.99</f>
        <v>47463.33</v>
      </c>
      <c r="N39" s="190">
        <v>15789.34</v>
      </c>
      <c r="O39" s="190">
        <v>15789.34</v>
      </c>
      <c r="P39" s="190">
        <v>15789.34</v>
      </c>
      <c r="Q39" s="190">
        <v>15789.34</v>
      </c>
      <c r="R39" s="190">
        <v>15789.34</v>
      </c>
      <c r="S39" s="190">
        <v>15789.34</v>
      </c>
      <c r="T39" s="190">
        <v>16544.63</v>
      </c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191"/>
      <c r="AK39" s="191"/>
      <c r="AL39" s="191"/>
      <c r="AM39" s="191"/>
    </row>
    <row r="40" spans="1:39" s="3" customFormat="1" ht="18" customHeight="1" thickBot="1" x14ac:dyDescent="0.35">
      <c r="A40" s="149" t="s">
        <v>34</v>
      </c>
      <c r="B40" s="290" t="s">
        <v>212</v>
      </c>
      <c r="C40" s="296">
        <v>20885</v>
      </c>
      <c r="D40" s="291">
        <v>9025</v>
      </c>
      <c r="E40" s="281">
        <f>0</f>
        <v>0</v>
      </c>
      <c r="F40" s="187">
        <f t="shared" si="1"/>
        <v>0</v>
      </c>
      <c r="G40" s="187">
        <f t="shared" si="2"/>
        <v>0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1"/>
      <c r="AJ40" s="191"/>
      <c r="AK40" s="191"/>
      <c r="AL40" s="191"/>
      <c r="AM40" s="191"/>
    </row>
    <row r="41" spans="1:39" s="3" customFormat="1" ht="18" customHeight="1" thickBot="1" x14ac:dyDescent="0.35">
      <c r="A41" s="149" t="s">
        <v>35</v>
      </c>
      <c r="B41" s="290" t="s">
        <v>434</v>
      </c>
      <c r="C41" s="296">
        <v>49689</v>
      </c>
      <c r="D41" s="291">
        <v>9025</v>
      </c>
      <c r="E41" s="281">
        <f>0</f>
        <v>0</v>
      </c>
      <c r="F41" s="187">
        <f t="shared" si="1"/>
        <v>0</v>
      </c>
      <c r="G41" s="187">
        <f t="shared" si="2"/>
        <v>0</v>
      </c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1"/>
      <c r="AJ41" s="191"/>
      <c r="AK41" s="191"/>
      <c r="AL41" s="191"/>
      <c r="AM41" s="191"/>
    </row>
    <row r="42" spans="1:39" s="3" customFormat="1" ht="18" customHeight="1" thickBot="1" x14ac:dyDescent="0.35">
      <c r="A42" s="149" t="s">
        <v>36</v>
      </c>
      <c r="B42" s="290" t="s">
        <v>435</v>
      </c>
      <c r="C42" s="296">
        <v>95579</v>
      </c>
      <c r="D42" s="291"/>
      <c r="E42" s="187">
        <f t="shared" si="0"/>
        <v>95579</v>
      </c>
      <c r="F42" s="187">
        <f t="shared" si="1"/>
        <v>95579</v>
      </c>
      <c r="G42" s="187">
        <f t="shared" si="2"/>
        <v>0</v>
      </c>
      <c r="H42" s="190"/>
      <c r="I42" s="190"/>
      <c r="J42" s="190"/>
      <c r="K42" s="190"/>
      <c r="L42" s="190">
        <v>7466.62</v>
      </c>
      <c r="M42" s="190"/>
      <c r="N42" s="190">
        <v>22995.86</v>
      </c>
      <c r="O42" s="190"/>
      <c r="P42" s="190"/>
      <c r="Q42" s="190"/>
      <c r="R42" s="190">
        <v>22657.72</v>
      </c>
      <c r="S42" s="190">
        <v>15249.22</v>
      </c>
      <c r="T42" s="190">
        <v>7295.14</v>
      </c>
      <c r="U42" s="190"/>
      <c r="V42" s="190">
        <v>13911.38</v>
      </c>
      <c r="W42" s="190"/>
      <c r="X42" s="190"/>
      <c r="Y42" s="190"/>
      <c r="Z42" s="190">
        <v>6003.06</v>
      </c>
      <c r="AA42" s="190"/>
      <c r="AB42" s="190"/>
      <c r="AC42" s="190"/>
      <c r="AD42" s="190"/>
      <c r="AE42" s="190"/>
      <c r="AF42" s="190"/>
      <c r="AG42" s="190"/>
      <c r="AH42" s="190"/>
      <c r="AI42" s="191"/>
      <c r="AJ42" s="191"/>
      <c r="AK42" s="191"/>
      <c r="AL42" s="191"/>
      <c r="AM42" s="191"/>
    </row>
    <row r="43" spans="1:39" s="3" customFormat="1" ht="18" customHeight="1" thickBot="1" x14ac:dyDescent="0.35">
      <c r="A43" s="149" t="s">
        <v>37</v>
      </c>
      <c r="B43" s="290" t="s">
        <v>437</v>
      </c>
      <c r="C43" s="296">
        <v>294967</v>
      </c>
      <c r="D43" s="291"/>
      <c r="E43" s="187">
        <f t="shared" si="0"/>
        <v>294967</v>
      </c>
      <c r="F43" s="187">
        <f t="shared" si="1"/>
        <v>294967</v>
      </c>
      <c r="G43" s="187">
        <f t="shared" si="2"/>
        <v>0</v>
      </c>
      <c r="H43" s="190"/>
      <c r="I43" s="190"/>
      <c r="J43" s="190"/>
      <c r="K43" s="190">
        <v>36380.43</v>
      </c>
      <c r="L43" s="190"/>
      <c r="M43" s="190">
        <v>34642.94</v>
      </c>
      <c r="N43" s="190"/>
      <c r="O43" s="190"/>
      <c r="P43" s="190">
        <v>37891.230000000003</v>
      </c>
      <c r="Q43" s="190">
        <v>25687.87</v>
      </c>
      <c r="R43" s="190">
        <v>21906.83</v>
      </c>
      <c r="S43" s="190">
        <v>39855.339999999997</v>
      </c>
      <c r="T43" s="190">
        <v>25623.8</v>
      </c>
      <c r="U43" s="190">
        <v>25642.32</v>
      </c>
      <c r="V43" s="190">
        <v>45686.5</v>
      </c>
      <c r="W43" s="190">
        <v>1649.74</v>
      </c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1"/>
      <c r="AJ43" s="191"/>
      <c r="AK43" s="191"/>
      <c r="AL43" s="191"/>
      <c r="AM43" s="191"/>
    </row>
    <row r="44" spans="1:39" s="3" customFormat="1" ht="18" customHeight="1" thickBot="1" x14ac:dyDescent="0.35">
      <c r="A44" s="149" t="s">
        <v>38</v>
      </c>
      <c r="B44" s="290" t="s">
        <v>216</v>
      </c>
      <c r="C44" s="296">
        <v>91014</v>
      </c>
      <c r="D44" s="291"/>
      <c r="E44" s="187">
        <f t="shared" si="0"/>
        <v>91014</v>
      </c>
      <c r="F44" s="187">
        <f t="shared" si="1"/>
        <v>91014</v>
      </c>
      <c r="G44" s="187">
        <f t="shared" si="2"/>
        <v>0</v>
      </c>
      <c r="H44" s="190"/>
      <c r="I44" s="190"/>
      <c r="J44" s="190"/>
      <c r="K44" s="190"/>
      <c r="L44" s="190"/>
      <c r="M44" s="190"/>
      <c r="N44" s="190"/>
      <c r="O44" s="190"/>
      <c r="P44" s="190"/>
      <c r="Q44" s="190">
        <v>25311</v>
      </c>
      <c r="R44" s="190"/>
      <c r="S44" s="190">
        <v>53521</v>
      </c>
      <c r="T44" s="190"/>
      <c r="U44" s="190"/>
      <c r="V44" s="190"/>
      <c r="W44" s="190">
        <v>11566</v>
      </c>
      <c r="X44" s="190"/>
      <c r="Y44" s="190"/>
      <c r="Z44" s="190"/>
      <c r="AA44" s="190">
        <v>616</v>
      </c>
      <c r="AB44" s="190"/>
      <c r="AC44" s="190"/>
      <c r="AD44" s="190"/>
      <c r="AE44" s="190"/>
      <c r="AF44" s="190"/>
      <c r="AG44" s="190"/>
      <c r="AH44" s="190"/>
      <c r="AI44" s="191"/>
      <c r="AJ44" s="191"/>
      <c r="AK44" s="191"/>
      <c r="AL44" s="191"/>
      <c r="AM44" s="191"/>
    </row>
    <row r="45" spans="1:39" s="3" customFormat="1" ht="18" customHeight="1" thickBot="1" x14ac:dyDescent="0.35">
      <c r="A45" s="149" t="s">
        <v>39</v>
      </c>
      <c r="B45" s="290" t="s">
        <v>439</v>
      </c>
      <c r="C45" s="296">
        <v>143269</v>
      </c>
      <c r="D45" s="291"/>
      <c r="E45" s="187">
        <f t="shared" si="0"/>
        <v>143269</v>
      </c>
      <c r="F45" s="187">
        <f t="shared" si="1"/>
        <v>143269</v>
      </c>
      <c r="G45" s="187">
        <f t="shared" si="2"/>
        <v>0</v>
      </c>
      <c r="H45" s="190"/>
      <c r="I45" s="190"/>
      <c r="J45" s="190"/>
      <c r="K45" s="190"/>
      <c r="L45" s="190"/>
      <c r="M45" s="190">
        <v>4428.51</v>
      </c>
      <c r="N45" s="190"/>
      <c r="O45" s="190">
        <v>6523.31</v>
      </c>
      <c r="P45" s="190">
        <v>7982.94</v>
      </c>
      <c r="Q45" s="190">
        <v>28077.29</v>
      </c>
      <c r="R45" s="190">
        <v>15510.25</v>
      </c>
      <c r="S45" s="3">
        <v>17211.39</v>
      </c>
      <c r="T45" s="190">
        <v>17248.509999999998</v>
      </c>
      <c r="U45" s="190">
        <v>18601.95</v>
      </c>
      <c r="V45" s="190"/>
      <c r="W45" s="190">
        <v>11485.05</v>
      </c>
      <c r="X45" s="190">
        <v>10038.32</v>
      </c>
      <c r="Y45" s="190"/>
      <c r="Z45" s="190">
        <v>6161.48</v>
      </c>
      <c r="AA45" s="190"/>
      <c r="AB45" s="190"/>
      <c r="AC45" s="190"/>
      <c r="AD45" s="190"/>
      <c r="AE45" s="190"/>
      <c r="AF45" s="190"/>
      <c r="AG45" s="190"/>
      <c r="AH45" s="190"/>
      <c r="AI45" s="191"/>
      <c r="AJ45" s="191"/>
      <c r="AK45" s="191"/>
      <c r="AL45" s="191"/>
      <c r="AM45" s="191"/>
    </row>
    <row r="46" spans="1:39" s="3" customFormat="1" ht="18" customHeight="1" thickBot="1" x14ac:dyDescent="0.35">
      <c r="A46" s="149" t="s">
        <v>40</v>
      </c>
      <c r="B46" s="290" t="s">
        <v>218</v>
      </c>
      <c r="C46" s="296">
        <v>156966</v>
      </c>
      <c r="D46" s="291"/>
      <c r="E46" s="187">
        <f t="shared" si="0"/>
        <v>156966</v>
      </c>
      <c r="F46" s="187">
        <f t="shared" si="1"/>
        <v>156966</v>
      </c>
      <c r="G46" s="187">
        <f t="shared" si="2"/>
        <v>0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>
        <v>156966</v>
      </c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1"/>
      <c r="AJ46" s="191"/>
      <c r="AK46" s="191"/>
      <c r="AL46" s="191"/>
      <c r="AM46" s="191"/>
    </row>
    <row r="47" spans="1:39" s="3" customFormat="1" ht="18" customHeight="1" thickBot="1" x14ac:dyDescent="0.35">
      <c r="A47" s="149" t="s">
        <v>41</v>
      </c>
      <c r="B47" s="290" t="s">
        <v>219</v>
      </c>
      <c r="C47" s="296">
        <v>165472</v>
      </c>
      <c r="D47" s="291"/>
      <c r="E47" s="187">
        <f t="shared" si="0"/>
        <v>165472</v>
      </c>
      <c r="F47" s="187">
        <f t="shared" si="1"/>
        <v>165472</v>
      </c>
      <c r="G47" s="187">
        <f t="shared" si="2"/>
        <v>0</v>
      </c>
      <c r="H47" s="190"/>
      <c r="I47" s="190"/>
      <c r="J47" s="190"/>
      <c r="K47" s="190"/>
      <c r="L47" s="190"/>
      <c r="M47" s="190"/>
      <c r="N47" s="190"/>
      <c r="O47" s="190">
        <v>74081.63</v>
      </c>
      <c r="P47" s="190"/>
      <c r="Q47" s="190"/>
      <c r="R47" s="190">
        <v>31292.07</v>
      </c>
      <c r="S47" s="190">
        <v>60098.3</v>
      </c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1"/>
      <c r="AJ47" s="191"/>
      <c r="AK47" s="191"/>
      <c r="AL47" s="191"/>
      <c r="AM47" s="191"/>
    </row>
    <row r="48" spans="1:39" s="3" customFormat="1" ht="18" customHeight="1" thickBot="1" x14ac:dyDescent="0.35">
      <c r="A48" s="149" t="s">
        <v>42</v>
      </c>
      <c r="B48" s="290" t="s">
        <v>441</v>
      </c>
      <c r="C48" s="296">
        <v>226011</v>
      </c>
      <c r="D48" s="291"/>
      <c r="E48" s="187">
        <f t="shared" si="0"/>
        <v>226011</v>
      </c>
      <c r="F48" s="187">
        <f t="shared" si="1"/>
        <v>226011</v>
      </c>
      <c r="G48" s="187">
        <f t="shared" si="2"/>
        <v>0</v>
      </c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>
        <v>179177.36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>
        <f>1+46832.64</f>
        <v>46833.64</v>
      </c>
      <c r="AF48" s="190"/>
      <c r="AG48" s="190"/>
      <c r="AH48" s="190"/>
      <c r="AI48" s="191"/>
      <c r="AJ48" s="191"/>
      <c r="AK48" s="191"/>
      <c r="AL48" s="191"/>
      <c r="AM48" s="191"/>
    </row>
    <row r="49" spans="1:39" s="3" customFormat="1" ht="18" customHeight="1" thickBot="1" x14ac:dyDescent="0.35">
      <c r="A49" s="149" t="s">
        <v>43</v>
      </c>
      <c r="B49" s="290" t="s">
        <v>443</v>
      </c>
      <c r="C49" s="296">
        <v>145447</v>
      </c>
      <c r="D49" s="291"/>
      <c r="E49" s="187">
        <f t="shared" si="0"/>
        <v>145447</v>
      </c>
      <c r="F49" s="187">
        <f t="shared" si="1"/>
        <v>145447</v>
      </c>
      <c r="G49" s="187">
        <f t="shared" si="2"/>
        <v>0</v>
      </c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>
        <v>137235.94</v>
      </c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>
        <v>8211.06</v>
      </c>
      <c r="AI49" s="191"/>
      <c r="AJ49" s="191"/>
      <c r="AK49" s="191"/>
      <c r="AL49" s="191"/>
      <c r="AM49" s="191"/>
    </row>
    <row r="50" spans="1:39" s="3" customFormat="1" ht="18" customHeight="1" thickBot="1" x14ac:dyDescent="0.35">
      <c r="A50" s="149" t="s">
        <v>44</v>
      </c>
      <c r="B50" s="290" t="s">
        <v>222</v>
      </c>
      <c r="C50" s="296">
        <v>1115928</v>
      </c>
      <c r="D50" s="291"/>
      <c r="E50" s="187">
        <f t="shared" si="0"/>
        <v>1115928</v>
      </c>
      <c r="F50" s="187">
        <f t="shared" si="1"/>
        <v>1115928</v>
      </c>
      <c r="G50" s="187">
        <f t="shared" si="2"/>
        <v>0</v>
      </c>
      <c r="H50" s="190"/>
      <c r="I50" s="190"/>
      <c r="J50" s="190"/>
      <c r="K50" s="190"/>
      <c r="L50" s="190">
        <v>290795.08</v>
      </c>
      <c r="M50" s="190">
        <v>984.36</v>
      </c>
      <c r="N50" s="190"/>
      <c r="O50" s="190">
        <v>263605.33</v>
      </c>
      <c r="P50" s="190">
        <v>11195.97</v>
      </c>
      <c r="Q50" s="190">
        <v>175698.12</v>
      </c>
      <c r="R50" s="190">
        <v>105530.32</v>
      </c>
      <c r="S50" s="190">
        <v>90893.41</v>
      </c>
      <c r="T50" s="190"/>
      <c r="U50" s="190"/>
      <c r="V50" s="190">
        <v>88379.76</v>
      </c>
      <c r="W50" s="190">
        <v>10677.55</v>
      </c>
      <c r="X50" s="190"/>
      <c r="Y50" s="190">
        <v>78168.100000000006</v>
      </c>
      <c r="Z50" s="190"/>
      <c r="AA50" s="190"/>
      <c r="AB50" s="190"/>
      <c r="AC50" s="190"/>
      <c r="AD50" s="190"/>
      <c r="AE50" s="190"/>
      <c r="AF50" s="190"/>
      <c r="AG50" s="190"/>
      <c r="AH50" s="190"/>
      <c r="AI50" s="191"/>
      <c r="AJ50" s="191"/>
      <c r="AK50" s="191"/>
      <c r="AL50" s="191"/>
      <c r="AM50" s="191"/>
    </row>
    <row r="51" spans="1:39" s="3" customFormat="1" ht="18" customHeight="1" thickBot="1" x14ac:dyDescent="0.35">
      <c r="A51" s="149" t="s">
        <v>45</v>
      </c>
      <c r="B51" s="290" t="s">
        <v>223</v>
      </c>
      <c r="C51" s="296">
        <v>28097096</v>
      </c>
      <c r="D51" s="291"/>
      <c r="E51" s="187">
        <f t="shared" si="0"/>
        <v>28097096</v>
      </c>
      <c r="F51" s="187">
        <f t="shared" si="1"/>
        <v>28097100</v>
      </c>
      <c r="G51" s="187">
        <f t="shared" si="2"/>
        <v>-4</v>
      </c>
      <c r="H51" s="190"/>
      <c r="I51" s="190"/>
      <c r="J51" s="190"/>
      <c r="K51" s="190"/>
      <c r="L51" s="190"/>
      <c r="M51" s="190"/>
      <c r="N51" s="190"/>
      <c r="O51" s="190"/>
      <c r="P51" s="190"/>
      <c r="Q51" s="190">
        <v>14000545.4</v>
      </c>
      <c r="R51" s="190">
        <v>2119411.64</v>
      </c>
      <c r="S51" s="190"/>
      <c r="T51" s="190">
        <f>3135369.57+3042644.26</f>
        <v>6178013.8300000001</v>
      </c>
      <c r="U51" s="190"/>
      <c r="V51" s="190"/>
      <c r="W51" s="190">
        <v>4952015.72</v>
      </c>
      <c r="X51" s="190"/>
      <c r="Y51" s="190"/>
      <c r="Z51" s="190">
        <v>847113.41</v>
      </c>
      <c r="AA51" s="190"/>
      <c r="AB51" s="190"/>
      <c r="AC51" s="190"/>
      <c r="AD51" s="190"/>
      <c r="AE51" s="190"/>
      <c r="AF51" s="190"/>
      <c r="AG51" s="190"/>
      <c r="AH51" s="190"/>
      <c r="AI51" s="191"/>
      <c r="AJ51" s="191"/>
      <c r="AK51" s="191"/>
      <c r="AL51" s="191"/>
      <c r="AM51" s="191"/>
    </row>
    <row r="52" spans="1:39" s="3" customFormat="1" ht="18" customHeight="1" thickBot="1" x14ac:dyDescent="0.35">
      <c r="A52" s="149" t="s">
        <v>46</v>
      </c>
      <c r="B52" s="290" t="s">
        <v>590</v>
      </c>
      <c r="C52" s="296">
        <v>49425</v>
      </c>
      <c r="D52" s="291"/>
      <c r="E52" s="187">
        <f t="shared" si="0"/>
        <v>49425</v>
      </c>
      <c r="F52" s="187">
        <f t="shared" si="1"/>
        <v>49425</v>
      </c>
      <c r="G52" s="187">
        <f t="shared" si="2"/>
        <v>0</v>
      </c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>
        <v>49425</v>
      </c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1"/>
      <c r="AJ52" s="191"/>
      <c r="AK52" s="191"/>
      <c r="AL52" s="191"/>
      <c r="AM52" s="191"/>
    </row>
    <row r="53" spans="1:39" s="3" customFormat="1" ht="18" customHeight="1" thickBot="1" x14ac:dyDescent="0.35">
      <c r="A53" s="149" t="s">
        <v>47</v>
      </c>
      <c r="B53" s="290" t="s">
        <v>449</v>
      </c>
      <c r="C53" s="296">
        <v>1569796</v>
      </c>
      <c r="D53" s="291"/>
      <c r="E53" s="187">
        <f t="shared" si="0"/>
        <v>1569796</v>
      </c>
      <c r="F53" s="187">
        <f t="shared" si="1"/>
        <v>1569796</v>
      </c>
      <c r="G53" s="187">
        <f t="shared" si="2"/>
        <v>0</v>
      </c>
      <c r="H53" s="190"/>
      <c r="I53" s="190"/>
      <c r="J53" s="190"/>
      <c r="K53" s="190"/>
      <c r="L53" s="190">
        <v>287600.06</v>
      </c>
      <c r="M53" s="190">
        <v>136974.81</v>
      </c>
      <c r="N53" s="190"/>
      <c r="O53" s="190">
        <v>254197.56</v>
      </c>
      <c r="P53" s="190">
        <v>125201.78</v>
      </c>
      <c r="Q53" s="190">
        <v>127763.51</v>
      </c>
      <c r="R53" s="190">
        <v>125678.45</v>
      </c>
      <c r="S53" s="190">
        <v>89775.08</v>
      </c>
      <c r="T53" s="190">
        <v>182441.93</v>
      </c>
      <c r="U53" s="190"/>
      <c r="V53" s="190">
        <v>104094.97</v>
      </c>
      <c r="W53" s="190"/>
      <c r="X53" s="190"/>
      <c r="Y53" s="190"/>
      <c r="Z53" s="190">
        <v>136067.85</v>
      </c>
      <c r="AA53" s="190"/>
      <c r="AB53" s="190"/>
      <c r="AC53" s="190"/>
      <c r="AD53" s="190"/>
      <c r="AE53" s="190"/>
      <c r="AF53" s="190"/>
      <c r="AG53" s="190"/>
      <c r="AH53" s="190"/>
      <c r="AI53" s="191"/>
      <c r="AJ53" s="191"/>
      <c r="AK53" s="191"/>
      <c r="AL53" s="191"/>
      <c r="AM53" s="191"/>
    </row>
    <row r="54" spans="1:39" s="3" customFormat="1" ht="18" customHeight="1" thickBot="1" x14ac:dyDescent="0.35">
      <c r="A54" s="149" t="s">
        <v>48</v>
      </c>
      <c r="B54" s="290" t="s">
        <v>226</v>
      </c>
      <c r="C54" s="296">
        <v>516130</v>
      </c>
      <c r="D54" s="291"/>
      <c r="E54" s="187">
        <f t="shared" si="0"/>
        <v>516130</v>
      </c>
      <c r="F54" s="187">
        <f t="shared" si="1"/>
        <v>516130</v>
      </c>
      <c r="G54" s="187">
        <f t="shared" si="2"/>
        <v>0</v>
      </c>
      <c r="H54" s="190"/>
      <c r="I54" s="190"/>
      <c r="J54" s="190"/>
      <c r="K54" s="190"/>
      <c r="L54" s="190"/>
      <c r="M54" s="190"/>
      <c r="N54" s="190"/>
      <c r="O54" s="190">
        <f>112191.65+111741.25</f>
        <v>223932.9</v>
      </c>
      <c r="P54" s="190">
        <v>77031.72</v>
      </c>
      <c r="Q54" s="190"/>
      <c r="R54" s="190">
        <v>97415.56</v>
      </c>
      <c r="S54" s="190">
        <v>117749.82</v>
      </c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91"/>
      <c r="AK54" s="191"/>
      <c r="AL54" s="191"/>
      <c r="AM54" s="191"/>
    </row>
    <row r="55" spans="1:39" s="3" customFormat="1" ht="18" customHeight="1" thickBot="1" x14ac:dyDescent="0.35">
      <c r="A55" s="149" t="s">
        <v>49</v>
      </c>
      <c r="B55" s="290" t="s">
        <v>227</v>
      </c>
      <c r="C55" s="296">
        <v>146631</v>
      </c>
      <c r="D55" s="291"/>
      <c r="E55" s="187">
        <f t="shared" si="0"/>
        <v>146631</v>
      </c>
      <c r="F55" s="187">
        <f t="shared" si="1"/>
        <v>146631</v>
      </c>
      <c r="G55" s="187">
        <f t="shared" si="2"/>
        <v>0</v>
      </c>
      <c r="H55" s="190"/>
      <c r="I55" s="190"/>
      <c r="J55" s="190"/>
      <c r="K55" s="190"/>
      <c r="L55" s="190"/>
      <c r="M55" s="190"/>
      <c r="N55" s="190"/>
      <c r="O55" s="190">
        <v>51613.89</v>
      </c>
      <c r="P55" s="190"/>
      <c r="Q55" s="190">
        <v>34371.519999999997</v>
      </c>
      <c r="R55" s="190"/>
      <c r="S55" s="190">
        <v>57821.89</v>
      </c>
      <c r="T55" s="190">
        <v>2823.7</v>
      </c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1"/>
      <c r="AJ55" s="191"/>
      <c r="AK55" s="191"/>
      <c r="AL55" s="191"/>
      <c r="AM55" s="191"/>
    </row>
    <row r="56" spans="1:39" s="3" customFormat="1" ht="18" customHeight="1" thickBot="1" x14ac:dyDescent="0.35">
      <c r="A56" s="149" t="s">
        <v>50</v>
      </c>
      <c r="B56" s="290" t="s">
        <v>228</v>
      </c>
      <c r="C56" s="296">
        <v>28244</v>
      </c>
      <c r="D56" s="291">
        <v>9025</v>
      </c>
      <c r="E56" s="281">
        <f>0</f>
        <v>0</v>
      </c>
      <c r="F56" s="187">
        <f t="shared" si="1"/>
        <v>0</v>
      </c>
      <c r="G56" s="187">
        <f t="shared" si="2"/>
        <v>0</v>
      </c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1"/>
      <c r="AJ56" s="191"/>
      <c r="AK56" s="191"/>
      <c r="AL56" s="191"/>
      <c r="AM56" s="191"/>
    </row>
    <row r="57" spans="1:39" s="3" customFormat="1" ht="18" customHeight="1" thickBot="1" x14ac:dyDescent="0.35">
      <c r="A57" s="149" t="s">
        <v>51</v>
      </c>
      <c r="B57" s="290" t="s">
        <v>229</v>
      </c>
      <c r="C57" s="296">
        <v>38288</v>
      </c>
      <c r="D57" s="291"/>
      <c r="E57" s="187">
        <f t="shared" si="0"/>
        <v>38288</v>
      </c>
      <c r="F57" s="187">
        <f t="shared" si="1"/>
        <v>38288</v>
      </c>
      <c r="G57" s="187">
        <f t="shared" si="2"/>
        <v>0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>
        <v>38288</v>
      </c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1"/>
      <c r="AJ57" s="191"/>
      <c r="AK57" s="191"/>
      <c r="AL57" s="191"/>
      <c r="AM57" s="191"/>
    </row>
    <row r="58" spans="1:39" s="3" customFormat="1" ht="18" customHeight="1" thickBot="1" x14ac:dyDescent="0.35">
      <c r="A58" s="149" t="s">
        <v>52</v>
      </c>
      <c r="B58" s="290" t="s">
        <v>230</v>
      </c>
      <c r="C58" s="296">
        <v>25049</v>
      </c>
      <c r="D58" s="291"/>
      <c r="E58" s="187">
        <f t="shared" si="0"/>
        <v>25049</v>
      </c>
      <c r="F58" s="187">
        <f t="shared" si="1"/>
        <v>25049</v>
      </c>
      <c r="G58" s="187">
        <f t="shared" si="2"/>
        <v>0</v>
      </c>
      <c r="H58" s="190"/>
      <c r="I58" s="190"/>
      <c r="J58" s="190"/>
      <c r="K58" s="190"/>
      <c r="L58" s="190"/>
      <c r="M58" s="190"/>
      <c r="N58" s="190">
        <v>12524.5</v>
      </c>
      <c r="O58" s="190"/>
      <c r="P58" s="190"/>
      <c r="Q58" s="190"/>
      <c r="R58" s="190"/>
      <c r="S58" s="190">
        <v>12524.5</v>
      </c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  <c r="AJ58" s="191"/>
      <c r="AK58" s="191"/>
      <c r="AL58" s="191"/>
      <c r="AM58" s="191"/>
    </row>
    <row r="59" spans="1:39" s="3" customFormat="1" ht="18" customHeight="1" thickBot="1" x14ac:dyDescent="0.35">
      <c r="A59" s="149" t="s">
        <v>53</v>
      </c>
      <c r="B59" s="290" t="s">
        <v>231</v>
      </c>
      <c r="C59" s="296">
        <v>13356</v>
      </c>
      <c r="D59" s="291">
        <v>9025</v>
      </c>
      <c r="E59" s="281">
        <f>0</f>
        <v>0</v>
      </c>
      <c r="F59" s="187">
        <f t="shared" si="1"/>
        <v>0</v>
      </c>
      <c r="G59" s="187">
        <f t="shared" si="2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1"/>
      <c r="AJ59" s="191"/>
      <c r="AK59" s="191"/>
      <c r="AL59" s="191"/>
      <c r="AM59" s="191"/>
    </row>
    <row r="60" spans="1:39" s="3" customFormat="1" ht="18" customHeight="1" thickBot="1" x14ac:dyDescent="0.35">
      <c r="A60" s="149" t="s">
        <v>54</v>
      </c>
      <c r="B60" s="290" t="s">
        <v>232</v>
      </c>
      <c r="C60" s="296">
        <v>84879</v>
      </c>
      <c r="D60" s="291"/>
      <c r="E60" s="187">
        <f t="shared" si="0"/>
        <v>84879</v>
      </c>
      <c r="F60" s="187">
        <f t="shared" si="1"/>
        <v>84879</v>
      </c>
      <c r="G60" s="187">
        <f t="shared" si="2"/>
        <v>0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>
        <v>56899.68</v>
      </c>
      <c r="X60" s="190"/>
      <c r="Y60" s="190"/>
      <c r="Z60" s="190"/>
      <c r="AA60" s="190"/>
      <c r="AB60" s="190"/>
      <c r="AC60" s="190"/>
      <c r="AD60" s="190"/>
      <c r="AE60" s="190">
        <v>27979.32</v>
      </c>
      <c r="AF60" s="190"/>
      <c r="AG60" s="190"/>
      <c r="AH60" s="190"/>
      <c r="AI60" s="191"/>
      <c r="AJ60" s="191"/>
      <c r="AK60" s="191"/>
      <c r="AL60" s="191"/>
      <c r="AM60" s="191"/>
    </row>
    <row r="61" spans="1:39" s="3" customFormat="1" ht="18" customHeight="1" thickBot="1" x14ac:dyDescent="0.35">
      <c r="A61" s="149" t="s">
        <v>55</v>
      </c>
      <c r="B61" s="290" t="s">
        <v>233</v>
      </c>
      <c r="C61" s="296">
        <v>4290652</v>
      </c>
      <c r="D61" s="291"/>
      <c r="E61" s="187">
        <f t="shared" si="0"/>
        <v>4290652</v>
      </c>
      <c r="F61" s="187">
        <f t="shared" si="1"/>
        <v>4290652</v>
      </c>
      <c r="G61" s="187">
        <f t="shared" si="2"/>
        <v>0</v>
      </c>
      <c r="H61" s="190"/>
      <c r="I61" s="190"/>
      <c r="J61" s="190"/>
      <c r="K61" s="190"/>
      <c r="L61" s="190"/>
      <c r="M61" s="190"/>
      <c r="N61" s="190"/>
      <c r="O61" s="190"/>
      <c r="P61" s="190">
        <v>138763.47</v>
      </c>
      <c r="Q61" s="190"/>
      <c r="R61" s="190"/>
      <c r="S61" s="190">
        <v>1501464.84</v>
      </c>
      <c r="T61" s="190"/>
      <c r="U61" s="190"/>
      <c r="V61" s="190"/>
      <c r="W61" s="190"/>
      <c r="X61" s="190"/>
      <c r="Y61" s="190"/>
      <c r="Z61" s="190"/>
      <c r="AA61" s="190"/>
      <c r="AB61" s="190"/>
      <c r="AC61" s="190">
        <f>2035152.83+615270.86</f>
        <v>2650423.69</v>
      </c>
      <c r="AD61" s="190"/>
      <c r="AE61" s="190"/>
      <c r="AF61" s="190"/>
      <c r="AG61" s="190"/>
      <c r="AH61" s="190"/>
      <c r="AI61" s="191"/>
      <c r="AJ61" s="191"/>
      <c r="AK61" s="191"/>
      <c r="AL61" s="191"/>
      <c r="AM61" s="191"/>
    </row>
    <row r="62" spans="1:39" s="3" customFormat="1" ht="18" customHeight="1" thickBot="1" x14ac:dyDescent="0.35">
      <c r="A62" s="149" t="s">
        <v>56</v>
      </c>
      <c r="B62" s="290" t="s">
        <v>234</v>
      </c>
      <c r="C62" s="296">
        <v>1498018</v>
      </c>
      <c r="D62" s="291"/>
      <c r="E62" s="187">
        <f t="shared" si="0"/>
        <v>1498018</v>
      </c>
      <c r="F62" s="187">
        <f t="shared" si="1"/>
        <v>1498018</v>
      </c>
      <c r="G62" s="187">
        <f t="shared" si="2"/>
        <v>0</v>
      </c>
      <c r="H62" s="190"/>
      <c r="I62" s="190"/>
      <c r="J62" s="190"/>
      <c r="K62" s="190"/>
      <c r="L62" s="190"/>
      <c r="M62" s="190">
        <v>279252.44</v>
      </c>
      <c r="N62" s="190"/>
      <c r="O62" s="190">
        <v>369443.73</v>
      </c>
      <c r="P62" s="190">
        <v>122347.88</v>
      </c>
      <c r="Q62" s="190">
        <v>122881.69</v>
      </c>
      <c r="R62" s="190">
        <v>125551.56</v>
      </c>
      <c r="S62" s="190"/>
      <c r="T62" s="190"/>
      <c r="U62" s="190"/>
      <c r="V62" s="190"/>
      <c r="W62" s="190">
        <v>382319.27</v>
      </c>
      <c r="X62" s="190"/>
      <c r="Y62" s="190">
        <v>96221.43</v>
      </c>
      <c r="Z62" s="190"/>
      <c r="AA62" s="190"/>
      <c r="AB62" s="190"/>
      <c r="AC62" s="190"/>
      <c r="AD62" s="190"/>
      <c r="AE62" s="190"/>
      <c r="AF62" s="190"/>
      <c r="AG62" s="190"/>
      <c r="AH62" s="190"/>
      <c r="AI62" s="191"/>
      <c r="AJ62" s="191"/>
      <c r="AK62" s="191"/>
      <c r="AL62" s="191"/>
      <c r="AM62" s="191"/>
    </row>
    <row r="63" spans="1:39" s="3" customFormat="1" ht="18" customHeight="1" thickBot="1" x14ac:dyDescent="0.35">
      <c r="A63" s="149" t="s">
        <v>57</v>
      </c>
      <c r="B63" s="290" t="s">
        <v>235</v>
      </c>
      <c r="C63" s="296">
        <v>1326580</v>
      </c>
      <c r="D63" s="291"/>
      <c r="E63" s="187">
        <f t="shared" si="0"/>
        <v>1326580</v>
      </c>
      <c r="F63" s="187">
        <f t="shared" si="1"/>
        <v>1326580.0000000002</v>
      </c>
      <c r="G63" s="187">
        <f t="shared" si="2"/>
        <v>0</v>
      </c>
      <c r="H63" s="190"/>
      <c r="I63" s="190"/>
      <c r="J63" s="190"/>
      <c r="K63" s="190">
        <v>293795.25</v>
      </c>
      <c r="L63" s="190"/>
      <c r="M63" s="190">
        <f>118725.9+106227</f>
        <v>224952.9</v>
      </c>
      <c r="N63" s="190">
        <v>107355.01</v>
      </c>
      <c r="O63" s="190">
        <v>105663.48</v>
      </c>
      <c r="P63" s="190"/>
      <c r="Q63" s="190">
        <f>114275+115740</f>
        <v>230015</v>
      </c>
      <c r="R63" s="190">
        <v>75151</v>
      </c>
      <c r="S63" s="190"/>
      <c r="T63" s="190">
        <v>221465</v>
      </c>
      <c r="U63" s="190"/>
      <c r="V63" s="190"/>
      <c r="W63" s="190"/>
      <c r="X63" s="190">
        <v>68182.36</v>
      </c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1"/>
      <c r="AJ63" s="191"/>
      <c r="AK63" s="191"/>
      <c r="AL63" s="191"/>
      <c r="AM63" s="191"/>
    </row>
    <row r="64" spans="1:39" s="3" customFormat="1" ht="18" customHeight="1" thickBot="1" x14ac:dyDescent="0.35">
      <c r="A64" s="149" t="s">
        <v>58</v>
      </c>
      <c r="B64" s="290" t="s">
        <v>236</v>
      </c>
      <c r="C64" s="296">
        <v>8024125</v>
      </c>
      <c r="D64" s="291"/>
      <c r="E64" s="187">
        <f t="shared" si="0"/>
        <v>8024125</v>
      </c>
      <c r="F64" s="187">
        <f t="shared" si="1"/>
        <v>8024125</v>
      </c>
      <c r="G64" s="187">
        <f t="shared" si="2"/>
        <v>0</v>
      </c>
      <c r="H64" s="190"/>
      <c r="I64" s="190"/>
      <c r="J64" s="190"/>
      <c r="K64" s="190"/>
      <c r="L64" s="190">
        <v>236512.57</v>
      </c>
      <c r="M64" s="190"/>
      <c r="N64" s="190">
        <f>592294.39+777925.75</f>
        <v>1370220.1400000001</v>
      </c>
      <c r="O64" s="190">
        <v>635759.47</v>
      </c>
      <c r="P64" s="190">
        <v>74004.800000000003</v>
      </c>
      <c r="Q64" s="190">
        <v>648915.53</v>
      </c>
      <c r="R64" s="190">
        <v>699687.07</v>
      </c>
      <c r="S64" s="223">
        <v>633003.07999999996</v>
      </c>
      <c r="T64" s="190">
        <v>885767.74</v>
      </c>
      <c r="U64" s="190"/>
      <c r="V64" s="190">
        <v>716861.74</v>
      </c>
      <c r="W64" s="190">
        <v>823045.62</v>
      </c>
      <c r="X64" s="190">
        <v>566812.09</v>
      </c>
      <c r="Y64" s="190">
        <v>733535.15</v>
      </c>
      <c r="Z64" s="190"/>
      <c r="AA64" s="190"/>
      <c r="AB64" s="190"/>
      <c r="AC64" s="190"/>
      <c r="AD64" s="190"/>
      <c r="AE64" s="190"/>
      <c r="AF64" s="190"/>
      <c r="AG64" s="190"/>
      <c r="AH64" s="190"/>
      <c r="AI64" s="191"/>
      <c r="AJ64" s="191"/>
      <c r="AK64" s="191"/>
      <c r="AL64" s="191"/>
      <c r="AM64" s="191"/>
    </row>
    <row r="65" spans="1:39" s="3" customFormat="1" ht="18" customHeight="1" thickBot="1" x14ac:dyDescent="0.35">
      <c r="A65" s="149" t="s">
        <v>59</v>
      </c>
      <c r="B65" s="290" t="s">
        <v>237</v>
      </c>
      <c r="C65" s="296">
        <v>261986</v>
      </c>
      <c r="D65" s="291"/>
      <c r="E65" s="187">
        <f t="shared" si="0"/>
        <v>261986</v>
      </c>
      <c r="F65" s="187">
        <f t="shared" si="1"/>
        <v>261986.00000000003</v>
      </c>
      <c r="G65" s="187">
        <f t="shared" si="2"/>
        <v>0</v>
      </c>
      <c r="H65" s="190"/>
      <c r="I65" s="190"/>
      <c r="J65" s="190"/>
      <c r="K65" s="190"/>
      <c r="L65" s="190"/>
      <c r="M65" s="190"/>
      <c r="N65" s="190"/>
      <c r="O65" s="190"/>
      <c r="P65" s="190"/>
      <c r="Q65" s="190">
        <v>39880.54</v>
      </c>
      <c r="R65" s="190"/>
      <c r="S65" s="190">
        <v>143093</v>
      </c>
      <c r="T65" s="190"/>
      <c r="U65" s="190"/>
      <c r="V65" s="190"/>
      <c r="W65" s="190">
        <v>62550.98</v>
      </c>
      <c r="X65" s="190"/>
      <c r="Y65" s="190"/>
      <c r="Z65" s="190"/>
      <c r="AA65" s="190"/>
      <c r="AB65" s="190"/>
      <c r="AC65" s="190"/>
      <c r="AD65" s="190"/>
      <c r="AE65" s="190">
        <v>16461.48</v>
      </c>
      <c r="AF65" s="190"/>
      <c r="AG65" s="190"/>
      <c r="AH65" s="190"/>
      <c r="AI65" s="191"/>
      <c r="AJ65" s="191"/>
      <c r="AK65" s="191"/>
      <c r="AL65" s="191"/>
      <c r="AM65" s="191"/>
    </row>
    <row r="66" spans="1:39" s="3" customFormat="1" ht="18" customHeight="1" thickBot="1" x14ac:dyDescent="0.35">
      <c r="A66" s="149" t="s">
        <v>60</v>
      </c>
      <c r="B66" s="290" t="s">
        <v>238</v>
      </c>
      <c r="C66" s="296">
        <v>130969</v>
      </c>
      <c r="D66" s="291"/>
      <c r="E66" s="187">
        <f t="shared" si="0"/>
        <v>130969</v>
      </c>
      <c r="F66" s="187">
        <f t="shared" si="1"/>
        <v>130969</v>
      </c>
      <c r="G66" s="187">
        <f t="shared" si="2"/>
        <v>0</v>
      </c>
      <c r="H66" s="190"/>
      <c r="I66" s="190"/>
      <c r="J66" s="190"/>
      <c r="K66" s="190"/>
      <c r="L66" s="190"/>
      <c r="M66" s="190"/>
      <c r="N66" s="190"/>
      <c r="O66" s="190"/>
      <c r="P66" s="190">
        <v>70812</v>
      </c>
      <c r="Q66" s="190"/>
      <c r="R66" s="190"/>
      <c r="S66" s="190">
        <v>60157</v>
      </c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1"/>
      <c r="AJ66" s="191"/>
      <c r="AK66" s="191"/>
      <c r="AL66" s="191"/>
      <c r="AM66" s="191"/>
    </row>
    <row r="67" spans="1:39" s="3" customFormat="1" ht="18" customHeight="1" thickBot="1" x14ac:dyDescent="0.35">
      <c r="A67" s="149" t="s">
        <v>61</v>
      </c>
      <c r="B67" s="290" t="s">
        <v>239</v>
      </c>
      <c r="C67" s="296">
        <v>1158136</v>
      </c>
      <c r="D67" s="291"/>
      <c r="E67" s="187">
        <f t="shared" si="0"/>
        <v>1158136</v>
      </c>
      <c r="F67" s="187">
        <f t="shared" si="1"/>
        <v>1158136</v>
      </c>
      <c r="G67" s="187">
        <f t="shared" si="2"/>
        <v>0</v>
      </c>
      <c r="H67" s="190"/>
      <c r="I67" s="190"/>
      <c r="J67" s="190"/>
      <c r="K67" s="190"/>
      <c r="L67" s="190"/>
      <c r="M67" s="190">
        <v>185061.84</v>
      </c>
      <c r="N67" s="190"/>
      <c r="O67" s="190">
        <v>250758.1</v>
      </c>
      <c r="P67" s="190"/>
      <c r="Q67" s="190"/>
      <c r="R67" s="190">
        <v>298167.25</v>
      </c>
      <c r="S67" s="190">
        <v>51655.1</v>
      </c>
      <c r="T67" s="190">
        <v>152529.88</v>
      </c>
      <c r="U67" s="190"/>
      <c r="V67" s="190">
        <v>91170.83</v>
      </c>
      <c r="W67" s="190"/>
      <c r="X67" s="190">
        <v>128793</v>
      </c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1"/>
      <c r="AJ67" s="191"/>
      <c r="AK67" s="191"/>
      <c r="AL67" s="191"/>
      <c r="AM67" s="191"/>
    </row>
    <row r="68" spans="1:39" s="3" customFormat="1" ht="18" customHeight="1" thickBot="1" x14ac:dyDescent="0.35">
      <c r="A68" s="149" t="s">
        <v>62</v>
      </c>
      <c r="B68" s="290" t="s">
        <v>240</v>
      </c>
      <c r="C68" s="296">
        <v>176598</v>
      </c>
      <c r="D68" s="291"/>
      <c r="E68" s="187">
        <f t="shared" si="0"/>
        <v>176598</v>
      </c>
      <c r="F68" s="187">
        <f t="shared" si="1"/>
        <v>176598</v>
      </c>
      <c r="G68" s="187">
        <f t="shared" si="2"/>
        <v>0</v>
      </c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>
        <v>176598</v>
      </c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1"/>
      <c r="AJ68" s="191"/>
      <c r="AK68" s="191"/>
      <c r="AL68" s="191"/>
      <c r="AM68" s="191"/>
    </row>
    <row r="69" spans="1:39" s="3" customFormat="1" ht="18" customHeight="1" thickBot="1" x14ac:dyDescent="0.35">
      <c r="A69" s="149" t="s">
        <v>63</v>
      </c>
      <c r="B69" s="290" t="s">
        <v>456</v>
      </c>
      <c r="C69" s="296">
        <v>75298</v>
      </c>
      <c r="D69" s="291"/>
      <c r="E69" s="187">
        <f t="shared" si="0"/>
        <v>75298</v>
      </c>
      <c r="F69" s="187">
        <f t="shared" si="1"/>
        <v>75298.000000000015</v>
      </c>
      <c r="G69" s="187">
        <f t="shared" si="2"/>
        <v>0</v>
      </c>
      <c r="H69" s="190"/>
      <c r="I69" s="190"/>
      <c r="J69" s="190"/>
      <c r="K69" s="190"/>
      <c r="L69" s="190"/>
      <c r="M69" s="190">
        <v>31669.4</v>
      </c>
      <c r="N69" s="190"/>
      <c r="O69" s="190"/>
      <c r="P69" s="190"/>
      <c r="Q69" s="190">
        <v>25965.599999999999</v>
      </c>
      <c r="R69" s="190"/>
      <c r="S69" s="190"/>
      <c r="T69" s="190"/>
      <c r="U69" s="190"/>
      <c r="V69" s="190"/>
      <c r="W69" s="190">
        <v>11314.29</v>
      </c>
      <c r="X69" s="190"/>
      <c r="Y69" s="190"/>
      <c r="Z69" s="190"/>
      <c r="AA69" s="190">
        <v>6348.71</v>
      </c>
      <c r="AB69" s="190"/>
      <c r="AC69" s="190"/>
      <c r="AD69" s="190"/>
      <c r="AE69" s="190"/>
      <c r="AF69" s="190"/>
      <c r="AG69" s="190"/>
      <c r="AH69" s="190"/>
      <c r="AI69" s="191"/>
      <c r="AJ69" s="191"/>
      <c r="AK69" s="191"/>
      <c r="AL69" s="191"/>
      <c r="AM69" s="191"/>
    </row>
    <row r="70" spans="1:39" s="3" customFormat="1" ht="18" customHeight="1" thickBot="1" x14ac:dyDescent="0.35">
      <c r="A70" s="149" t="s">
        <v>64</v>
      </c>
      <c r="B70" s="290" t="s">
        <v>242</v>
      </c>
      <c r="C70" s="296">
        <v>66038</v>
      </c>
      <c r="D70" s="291"/>
      <c r="E70" s="187">
        <f t="shared" si="0"/>
        <v>66038</v>
      </c>
      <c r="F70" s="187">
        <f t="shared" si="1"/>
        <v>66038</v>
      </c>
      <c r="G70" s="187">
        <f t="shared" si="2"/>
        <v>0</v>
      </c>
      <c r="H70" s="190"/>
      <c r="I70" s="190"/>
      <c r="J70" s="190"/>
      <c r="K70" s="190"/>
      <c r="L70" s="190"/>
      <c r="M70" s="190"/>
      <c r="N70" s="190"/>
      <c r="O70" s="190">
        <v>40200</v>
      </c>
      <c r="P70" s="190"/>
      <c r="Q70" s="190"/>
      <c r="R70" s="190">
        <v>22927.84</v>
      </c>
      <c r="S70" s="190">
        <v>2910.16</v>
      </c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1"/>
      <c r="AJ70" s="191"/>
      <c r="AK70" s="191"/>
      <c r="AL70" s="191"/>
      <c r="AM70" s="191"/>
    </row>
    <row r="71" spans="1:39" s="3" customFormat="1" ht="16.899999999999999" customHeight="1" thickBot="1" x14ac:dyDescent="0.35">
      <c r="A71" s="149" t="s">
        <v>65</v>
      </c>
      <c r="B71" s="290" t="s">
        <v>243</v>
      </c>
      <c r="C71" s="296">
        <v>369066</v>
      </c>
      <c r="D71" s="291"/>
      <c r="E71" s="187">
        <f t="shared" si="0"/>
        <v>369066</v>
      </c>
      <c r="F71" s="187">
        <f t="shared" si="1"/>
        <v>369066.00000000006</v>
      </c>
      <c r="G71" s="187">
        <f t="shared" si="2"/>
        <v>0</v>
      </c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>
        <v>128058.58</v>
      </c>
      <c r="T71" s="190"/>
      <c r="U71" s="190"/>
      <c r="V71" s="190"/>
      <c r="W71" s="190"/>
      <c r="X71" s="190"/>
      <c r="Y71" s="190"/>
      <c r="Z71" s="190"/>
      <c r="AA71" s="190"/>
      <c r="AB71" s="190">
        <f>24478.07+131605.45</f>
        <v>156083.52000000002</v>
      </c>
      <c r="AC71" s="190"/>
      <c r="AD71" s="190"/>
      <c r="AE71" s="190">
        <f>41468.65+16763.12</f>
        <v>58231.770000000004</v>
      </c>
      <c r="AF71" s="190"/>
      <c r="AG71" s="190">
        <v>26692.13</v>
      </c>
      <c r="AH71" s="190"/>
      <c r="AI71" s="191"/>
      <c r="AJ71" s="191"/>
      <c r="AK71" s="191"/>
      <c r="AL71" s="191"/>
      <c r="AM71" s="191"/>
    </row>
    <row r="72" spans="1:39" s="3" customFormat="1" ht="18" customHeight="1" thickBot="1" x14ac:dyDescent="0.35">
      <c r="A72" s="149" t="s">
        <v>66</v>
      </c>
      <c r="B72" s="290" t="s">
        <v>244</v>
      </c>
      <c r="C72" s="296">
        <v>2064617</v>
      </c>
      <c r="D72" s="291"/>
      <c r="E72" s="187">
        <f t="shared" si="0"/>
        <v>2064617</v>
      </c>
      <c r="F72" s="187">
        <f t="shared" si="1"/>
        <v>2064617</v>
      </c>
      <c r="G72" s="187">
        <f t="shared" si="2"/>
        <v>0</v>
      </c>
      <c r="H72" s="190"/>
      <c r="I72" s="190"/>
      <c r="J72" s="190"/>
      <c r="K72" s="190"/>
      <c r="L72" s="190"/>
      <c r="M72" s="190"/>
      <c r="N72" s="190"/>
      <c r="O72" s="190"/>
      <c r="P72" s="190">
        <v>310822</v>
      </c>
      <c r="Q72" s="190"/>
      <c r="R72" s="190">
        <v>871922</v>
      </c>
      <c r="S72" s="190"/>
      <c r="T72" s="190"/>
      <c r="U72" s="190">
        <v>265302</v>
      </c>
      <c r="V72" s="190"/>
      <c r="W72" s="190"/>
      <c r="X72" s="190"/>
      <c r="Y72" s="190">
        <v>464817</v>
      </c>
      <c r="Z72" s="190"/>
      <c r="AA72" s="190">
        <v>144451</v>
      </c>
      <c r="AB72" s="190"/>
      <c r="AC72" s="190">
        <v>7303</v>
      </c>
      <c r="AD72" s="190"/>
      <c r="AE72" s="190"/>
      <c r="AF72" s="190"/>
      <c r="AG72" s="190"/>
      <c r="AH72" s="190"/>
      <c r="AI72" s="191"/>
      <c r="AJ72" s="191"/>
      <c r="AK72" s="191"/>
      <c r="AL72" s="191"/>
      <c r="AM72" s="191"/>
    </row>
    <row r="73" spans="1:39" s="3" customFormat="1" ht="18" customHeight="1" thickBot="1" x14ac:dyDescent="0.35">
      <c r="A73" s="149" t="s">
        <v>67</v>
      </c>
      <c r="B73" s="290" t="s">
        <v>457</v>
      </c>
      <c r="C73" s="296">
        <v>20297</v>
      </c>
      <c r="D73" s="291"/>
      <c r="E73" s="187">
        <f t="shared" si="0"/>
        <v>20297</v>
      </c>
      <c r="F73" s="187">
        <f t="shared" si="1"/>
        <v>20297</v>
      </c>
      <c r="G73" s="187">
        <f t="shared" si="2"/>
        <v>0</v>
      </c>
      <c r="H73" s="190"/>
      <c r="I73" s="190"/>
      <c r="J73" s="190"/>
      <c r="K73" s="190"/>
      <c r="L73" s="190"/>
      <c r="M73" s="190"/>
      <c r="N73" s="190"/>
      <c r="O73" s="190"/>
      <c r="P73" s="190">
        <v>10149</v>
      </c>
      <c r="Q73" s="190"/>
      <c r="R73" s="190">
        <v>10148</v>
      </c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1"/>
      <c r="AJ73" s="191"/>
      <c r="AK73" s="191"/>
      <c r="AL73" s="191"/>
      <c r="AM73" s="191"/>
    </row>
    <row r="74" spans="1:39" s="3" customFormat="1" ht="18" customHeight="1" thickBot="1" x14ac:dyDescent="0.35">
      <c r="A74" s="149" t="s">
        <v>68</v>
      </c>
      <c r="B74" s="290" t="s">
        <v>591</v>
      </c>
      <c r="C74" s="296">
        <v>88393</v>
      </c>
      <c r="D74" s="291"/>
      <c r="E74" s="187">
        <f t="shared" si="0"/>
        <v>88393</v>
      </c>
      <c r="F74" s="187">
        <f t="shared" si="1"/>
        <v>88393</v>
      </c>
      <c r="G74" s="187">
        <f t="shared" si="2"/>
        <v>0</v>
      </c>
      <c r="H74" s="190"/>
      <c r="I74" s="190"/>
      <c r="J74" s="190"/>
      <c r="K74" s="190"/>
      <c r="L74" s="190">
        <v>33401.67</v>
      </c>
      <c r="M74" s="190"/>
      <c r="N74" s="190">
        <v>25598</v>
      </c>
      <c r="O74" s="190"/>
      <c r="P74" s="190"/>
      <c r="Q74" s="190">
        <v>29393.33</v>
      </c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1"/>
      <c r="AJ74" s="191"/>
      <c r="AK74" s="191"/>
      <c r="AL74" s="191"/>
      <c r="AM74" s="191"/>
    </row>
    <row r="75" spans="1:39" s="3" customFormat="1" ht="18" customHeight="1" thickBot="1" x14ac:dyDescent="0.35">
      <c r="A75" s="149" t="s">
        <v>69</v>
      </c>
      <c r="B75" s="290" t="s">
        <v>459</v>
      </c>
      <c r="C75" s="296">
        <v>1011398</v>
      </c>
      <c r="D75" s="291"/>
      <c r="E75" s="187">
        <f t="shared" si="0"/>
        <v>1011398</v>
      </c>
      <c r="F75" s="187">
        <f t="shared" si="1"/>
        <v>1011398</v>
      </c>
      <c r="G75" s="187">
        <f t="shared" si="2"/>
        <v>0</v>
      </c>
      <c r="H75" s="190"/>
      <c r="I75" s="190"/>
      <c r="J75" s="190"/>
      <c r="K75" s="190"/>
      <c r="L75" s="190">
        <v>96590</v>
      </c>
      <c r="M75" s="190"/>
      <c r="N75" s="190">
        <v>178425</v>
      </c>
      <c r="O75" s="190"/>
      <c r="P75" s="190">
        <v>157868</v>
      </c>
      <c r="Q75" s="190"/>
      <c r="R75" s="190"/>
      <c r="S75" s="190">
        <f>185564+83722</f>
        <v>269286</v>
      </c>
      <c r="T75" s="190"/>
      <c r="U75" s="190">
        <f>247537+8622</f>
        <v>256159</v>
      </c>
      <c r="V75" s="190"/>
      <c r="W75" s="190"/>
      <c r="X75" s="190"/>
      <c r="Y75" s="190"/>
      <c r="Z75" s="190"/>
      <c r="AA75" s="190"/>
      <c r="AB75" s="190"/>
      <c r="AC75" s="190"/>
      <c r="AD75" s="190">
        <v>53070</v>
      </c>
      <c r="AE75" s="190"/>
      <c r="AF75" s="190"/>
      <c r="AG75" s="190"/>
      <c r="AH75" s="190"/>
      <c r="AI75" s="191"/>
      <c r="AJ75" s="191"/>
      <c r="AK75" s="191"/>
      <c r="AL75" s="191"/>
      <c r="AM75" s="191"/>
    </row>
    <row r="76" spans="1:39" s="3" customFormat="1" ht="18" customHeight="1" thickBot="1" x14ac:dyDescent="0.35">
      <c r="A76" s="149" t="s">
        <v>70</v>
      </c>
      <c r="B76" s="290" t="s">
        <v>461</v>
      </c>
      <c r="C76" s="296">
        <v>346591</v>
      </c>
      <c r="D76" s="291"/>
      <c r="E76" s="187">
        <f t="shared" si="0"/>
        <v>346591</v>
      </c>
      <c r="F76" s="187">
        <f t="shared" si="1"/>
        <v>346591</v>
      </c>
      <c r="G76" s="187">
        <f t="shared" si="2"/>
        <v>0</v>
      </c>
      <c r="H76" s="190"/>
      <c r="I76" s="190"/>
      <c r="J76" s="190"/>
      <c r="K76" s="190"/>
      <c r="L76" s="190"/>
      <c r="M76" s="190">
        <v>5004.82</v>
      </c>
      <c r="N76" s="190"/>
      <c r="O76" s="190"/>
      <c r="P76" s="190"/>
      <c r="Q76" s="192"/>
      <c r="R76" s="190">
        <v>215287.1</v>
      </c>
      <c r="S76" s="190">
        <v>37169.949999999997</v>
      </c>
      <c r="T76" s="190">
        <f>17782.13+61990.07</f>
        <v>79772.2</v>
      </c>
      <c r="U76" s="190"/>
      <c r="V76" s="190"/>
      <c r="W76" s="190">
        <v>9356.93</v>
      </c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1"/>
      <c r="AJ76" s="191"/>
      <c r="AK76" s="191"/>
      <c r="AL76" s="191"/>
      <c r="AM76" s="191"/>
    </row>
    <row r="77" spans="1:39" s="3" customFormat="1" ht="18" customHeight="1" thickBot="1" x14ac:dyDescent="0.35">
      <c r="A77" s="149" t="s">
        <v>71</v>
      </c>
      <c r="B77" s="290" t="s">
        <v>462</v>
      </c>
      <c r="C77" s="296">
        <v>77183</v>
      </c>
      <c r="D77" s="291"/>
      <c r="E77" s="187">
        <f t="shared" ref="E77:E140" si="3">C77</f>
        <v>77183</v>
      </c>
      <c r="F77" s="187">
        <f t="shared" si="1"/>
        <v>77183</v>
      </c>
      <c r="G77" s="187">
        <f t="shared" si="2"/>
        <v>0</v>
      </c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>
        <v>53949</v>
      </c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>
        <v>23234</v>
      </c>
      <c r="AF77" s="190"/>
      <c r="AG77" s="190"/>
      <c r="AH77" s="190"/>
      <c r="AI77" s="191"/>
      <c r="AJ77" s="191"/>
      <c r="AK77" s="191"/>
      <c r="AL77" s="191"/>
      <c r="AM77" s="191"/>
    </row>
    <row r="78" spans="1:39" s="3" customFormat="1" ht="18" customHeight="1" thickBot="1" x14ac:dyDescent="0.35">
      <c r="A78" s="149" t="s">
        <v>72</v>
      </c>
      <c r="B78" s="290" t="s">
        <v>463</v>
      </c>
      <c r="C78" s="296">
        <v>570313</v>
      </c>
      <c r="D78" s="291"/>
      <c r="E78" s="187">
        <f t="shared" si="3"/>
        <v>570313</v>
      </c>
      <c r="F78" s="187">
        <f t="shared" ref="F78:F141" si="4">SUM(H78:AK78)</f>
        <v>570312.99999999988</v>
      </c>
      <c r="G78" s="187">
        <f t="shared" ref="G78:G141" si="5">E78-(F78+AL78+AM78)</f>
        <v>0</v>
      </c>
      <c r="H78" s="190"/>
      <c r="I78" s="190"/>
      <c r="J78" s="190"/>
      <c r="K78" s="190"/>
      <c r="L78" s="190"/>
      <c r="M78" s="190"/>
      <c r="N78" s="190"/>
      <c r="O78" s="190">
        <v>201535.39</v>
      </c>
      <c r="P78" s="190"/>
      <c r="Q78" s="192"/>
      <c r="R78" s="190">
        <v>136771.57999999999</v>
      </c>
      <c r="S78" s="190"/>
      <c r="T78" s="190"/>
      <c r="U78" s="190">
        <v>151274.01</v>
      </c>
      <c r="V78" s="190"/>
      <c r="W78" s="190">
        <v>80724.929999999993</v>
      </c>
      <c r="X78" s="190"/>
      <c r="Y78" s="190"/>
      <c r="Z78" s="190"/>
      <c r="AA78" s="190">
        <v>7.09</v>
      </c>
      <c r="AB78" s="190"/>
      <c r="AC78" s="190"/>
      <c r="AD78" s="190"/>
      <c r="AE78" s="190"/>
      <c r="AF78" s="190"/>
      <c r="AG78" s="190"/>
      <c r="AH78" s="190"/>
      <c r="AI78" s="191"/>
      <c r="AJ78" s="191"/>
      <c r="AK78" s="191"/>
      <c r="AL78" s="191"/>
      <c r="AM78" s="191"/>
    </row>
    <row r="79" spans="1:39" s="3" customFormat="1" ht="18" customHeight="1" thickBot="1" x14ac:dyDescent="0.35">
      <c r="A79" s="149" t="s">
        <v>73</v>
      </c>
      <c r="B79" s="290" t="s">
        <v>465</v>
      </c>
      <c r="C79" s="296">
        <v>605731</v>
      </c>
      <c r="D79" s="291"/>
      <c r="E79" s="187">
        <f t="shared" si="3"/>
        <v>605731</v>
      </c>
      <c r="F79" s="187">
        <f t="shared" si="4"/>
        <v>605731</v>
      </c>
      <c r="G79" s="187">
        <f t="shared" si="5"/>
        <v>0</v>
      </c>
      <c r="H79" s="190"/>
      <c r="I79" s="190"/>
      <c r="J79" s="190"/>
      <c r="K79" s="190"/>
      <c r="L79" s="190"/>
      <c r="M79" s="190"/>
      <c r="N79" s="190"/>
      <c r="O79" s="190"/>
      <c r="P79" s="190"/>
      <c r="Q79" s="190">
        <v>147985.89000000001</v>
      </c>
      <c r="R79" s="190">
        <v>42391.98</v>
      </c>
      <c r="S79" s="190">
        <v>162042.84</v>
      </c>
      <c r="T79" s="190"/>
      <c r="U79" s="190"/>
      <c r="V79" s="190"/>
      <c r="W79" s="190">
        <v>121153.2</v>
      </c>
      <c r="X79" s="190">
        <v>33101.43</v>
      </c>
      <c r="Y79" s="190"/>
      <c r="Z79" s="190">
        <v>99055.66</v>
      </c>
      <c r="AA79" s="190"/>
      <c r="AB79" s="190"/>
      <c r="AC79" s="190"/>
      <c r="AD79" s="190"/>
      <c r="AE79" s="190"/>
      <c r="AF79" s="190"/>
      <c r="AG79" s="190"/>
      <c r="AH79" s="190"/>
      <c r="AI79" s="191"/>
      <c r="AJ79" s="191"/>
      <c r="AK79" s="191"/>
      <c r="AL79" s="191"/>
      <c r="AM79" s="191"/>
    </row>
    <row r="80" spans="1:39" s="3" customFormat="1" ht="18" customHeight="1" thickBot="1" x14ac:dyDescent="0.35">
      <c r="A80" s="149" t="s">
        <v>74</v>
      </c>
      <c r="B80" s="290" t="s">
        <v>252</v>
      </c>
      <c r="C80" s="296">
        <v>147877</v>
      </c>
      <c r="D80" s="291"/>
      <c r="E80" s="187">
        <f t="shared" si="3"/>
        <v>147877</v>
      </c>
      <c r="F80" s="187">
        <f t="shared" si="4"/>
        <v>147877</v>
      </c>
      <c r="G80" s="187">
        <f t="shared" si="5"/>
        <v>0</v>
      </c>
      <c r="H80" s="190"/>
      <c r="I80" s="190"/>
      <c r="J80" s="190"/>
      <c r="K80" s="190"/>
      <c r="L80" s="190"/>
      <c r="M80" s="190"/>
      <c r="N80" s="190"/>
      <c r="O80" s="190">
        <v>72528.17</v>
      </c>
      <c r="P80" s="190"/>
      <c r="Q80" s="190"/>
      <c r="R80" s="190"/>
      <c r="S80" s="190">
        <f>23787.08+49561.75</f>
        <v>73348.83</v>
      </c>
      <c r="T80" s="190"/>
      <c r="U80" s="190"/>
      <c r="V80" s="190"/>
      <c r="W80" s="190"/>
      <c r="X80" s="190"/>
      <c r="Y80" s="190"/>
      <c r="Z80" s="190"/>
      <c r="AA80" s="190"/>
      <c r="AB80" s="190">
        <v>2000</v>
      </c>
      <c r="AC80" s="190"/>
      <c r="AD80" s="190"/>
      <c r="AE80" s="190"/>
      <c r="AF80" s="190"/>
      <c r="AG80" s="190"/>
      <c r="AH80" s="190"/>
      <c r="AI80" s="191"/>
      <c r="AJ80" s="191"/>
      <c r="AK80" s="191"/>
      <c r="AL80" s="191"/>
      <c r="AM80" s="191"/>
    </row>
    <row r="81" spans="1:39" s="3" customFormat="1" ht="18" customHeight="1" thickBot="1" x14ac:dyDescent="0.35">
      <c r="A81" s="149" t="s">
        <v>75</v>
      </c>
      <c r="B81" s="290" t="s">
        <v>466</v>
      </c>
      <c r="C81" s="296">
        <v>29384</v>
      </c>
      <c r="D81" s="291"/>
      <c r="E81" s="187">
        <f t="shared" si="3"/>
        <v>29384</v>
      </c>
      <c r="F81" s="187">
        <f t="shared" si="4"/>
        <v>29384</v>
      </c>
      <c r="G81" s="187">
        <f t="shared" si="5"/>
        <v>0</v>
      </c>
      <c r="H81" s="190"/>
      <c r="I81" s="190"/>
      <c r="J81" s="190"/>
      <c r="K81" s="190">
        <v>4928</v>
      </c>
      <c r="L81" s="190"/>
      <c r="M81" s="190"/>
      <c r="N81" s="190">
        <v>7720</v>
      </c>
      <c r="O81" s="190"/>
      <c r="P81" s="190"/>
      <c r="Q81" s="190">
        <v>7720</v>
      </c>
      <c r="R81" s="190"/>
      <c r="S81" s="190">
        <v>2875</v>
      </c>
      <c r="T81" s="190">
        <v>3910</v>
      </c>
      <c r="U81" s="190"/>
      <c r="V81" s="190"/>
      <c r="W81" s="190"/>
      <c r="X81" s="190"/>
      <c r="Y81" s="190">
        <v>2231</v>
      </c>
      <c r="Z81" s="190"/>
      <c r="AA81" s="190"/>
      <c r="AB81" s="190"/>
      <c r="AC81" s="190"/>
      <c r="AD81" s="190"/>
      <c r="AE81" s="190"/>
      <c r="AF81" s="190"/>
      <c r="AG81" s="190"/>
      <c r="AH81" s="190"/>
      <c r="AI81" s="191"/>
      <c r="AJ81" s="191"/>
      <c r="AK81" s="191"/>
      <c r="AL81" s="191"/>
      <c r="AM81" s="191"/>
    </row>
    <row r="82" spans="1:39" s="3" customFormat="1" ht="18" customHeight="1" thickBot="1" x14ac:dyDescent="0.35">
      <c r="A82" s="149" t="s">
        <v>76</v>
      </c>
      <c r="B82" s="290" t="s">
        <v>468</v>
      </c>
      <c r="C82" s="296">
        <v>84048</v>
      </c>
      <c r="D82" s="291"/>
      <c r="E82" s="187">
        <f t="shared" si="3"/>
        <v>84048</v>
      </c>
      <c r="F82" s="187">
        <f t="shared" si="4"/>
        <v>84048</v>
      </c>
      <c r="G82" s="187">
        <f t="shared" si="5"/>
        <v>0</v>
      </c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>
        <v>46757.46</v>
      </c>
      <c r="S82" s="190"/>
      <c r="T82" s="190"/>
      <c r="U82" s="190"/>
      <c r="V82" s="190"/>
      <c r="W82" s="190"/>
      <c r="X82" s="190">
        <v>37290.239999999998</v>
      </c>
      <c r="Y82" s="190">
        <v>0.3</v>
      </c>
      <c r="Z82" s="190"/>
      <c r="AA82" s="190"/>
      <c r="AB82" s="190"/>
      <c r="AC82" s="190"/>
      <c r="AD82" s="190"/>
      <c r="AE82" s="190"/>
      <c r="AF82" s="190"/>
      <c r="AG82" s="190"/>
      <c r="AH82" s="190"/>
      <c r="AI82" s="191"/>
      <c r="AJ82" s="191"/>
      <c r="AK82" s="191"/>
      <c r="AL82" s="191"/>
      <c r="AM82" s="191"/>
    </row>
    <row r="83" spans="1:39" s="3" customFormat="1" ht="18" customHeight="1" thickBot="1" x14ac:dyDescent="0.35">
      <c r="A83" s="149" t="s">
        <v>77</v>
      </c>
      <c r="B83" s="290" t="s">
        <v>255</v>
      </c>
      <c r="C83" s="296">
        <v>119085</v>
      </c>
      <c r="D83" s="291"/>
      <c r="E83" s="187">
        <f t="shared" si="3"/>
        <v>119085</v>
      </c>
      <c r="F83" s="187">
        <f t="shared" si="4"/>
        <v>119085</v>
      </c>
      <c r="G83" s="187">
        <f t="shared" si="5"/>
        <v>0</v>
      </c>
      <c r="H83" s="190"/>
      <c r="I83" s="190"/>
      <c r="J83" s="190"/>
      <c r="K83" s="190"/>
      <c r="L83" s="190"/>
      <c r="M83" s="190">
        <v>32888.620000000003</v>
      </c>
      <c r="N83" s="190"/>
      <c r="O83" s="190">
        <v>28193.1</v>
      </c>
      <c r="P83" s="190"/>
      <c r="Q83" s="190"/>
      <c r="R83" s="190">
        <v>58003.28</v>
      </c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1"/>
      <c r="AJ83" s="191"/>
      <c r="AK83" s="191"/>
      <c r="AL83" s="191"/>
      <c r="AM83" s="191"/>
    </row>
    <row r="84" spans="1:39" s="3" customFormat="1" ht="18" customHeight="1" thickBot="1" x14ac:dyDescent="0.35">
      <c r="A84" s="149" t="s">
        <v>78</v>
      </c>
      <c r="B84" s="290" t="s">
        <v>256</v>
      </c>
      <c r="C84" s="296">
        <v>220760</v>
      </c>
      <c r="D84" s="291"/>
      <c r="E84" s="187">
        <f t="shared" si="3"/>
        <v>220760</v>
      </c>
      <c r="F84" s="187">
        <f t="shared" si="4"/>
        <v>220760</v>
      </c>
      <c r="G84" s="187">
        <f t="shared" si="5"/>
        <v>0</v>
      </c>
      <c r="H84" s="190"/>
      <c r="I84" s="190"/>
      <c r="J84" s="190"/>
      <c r="K84" s="190"/>
      <c r="L84" s="190">
        <v>20782.61</v>
      </c>
      <c r="M84" s="190"/>
      <c r="N84" s="190"/>
      <c r="O84" s="190">
        <v>43785.4</v>
      </c>
      <c r="P84" s="190"/>
      <c r="Q84" s="190"/>
      <c r="R84" s="190">
        <v>51346.96</v>
      </c>
      <c r="S84" s="190">
        <v>44657.74</v>
      </c>
      <c r="T84" s="190"/>
      <c r="U84" s="190">
        <v>60187.29</v>
      </c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1"/>
      <c r="AJ84" s="191"/>
      <c r="AK84" s="191"/>
      <c r="AL84" s="191"/>
      <c r="AM84" s="191"/>
    </row>
    <row r="85" spans="1:39" s="3" customFormat="1" ht="18" customHeight="1" thickBot="1" x14ac:dyDescent="0.35">
      <c r="A85" s="149" t="s">
        <v>79</v>
      </c>
      <c r="B85" s="290" t="s">
        <v>257</v>
      </c>
      <c r="C85" s="296">
        <v>19978</v>
      </c>
      <c r="D85" s="291"/>
      <c r="E85" s="187">
        <f t="shared" si="3"/>
        <v>19978</v>
      </c>
      <c r="F85" s="187">
        <f t="shared" si="4"/>
        <v>19978</v>
      </c>
      <c r="G85" s="187">
        <f t="shared" si="5"/>
        <v>0</v>
      </c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>
        <v>19978</v>
      </c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1"/>
      <c r="AJ85" s="191"/>
      <c r="AK85" s="191"/>
      <c r="AL85" s="191"/>
      <c r="AM85" s="191"/>
    </row>
    <row r="86" spans="1:39" s="3" customFormat="1" ht="18" customHeight="1" thickBot="1" x14ac:dyDescent="0.35">
      <c r="A86" s="149" t="s">
        <v>80</v>
      </c>
      <c r="B86" s="290" t="s">
        <v>474</v>
      </c>
      <c r="C86" s="296">
        <v>277325</v>
      </c>
      <c r="D86" s="291"/>
      <c r="E86" s="187">
        <f t="shared" si="3"/>
        <v>277325</v>
      </c>
      <c r="F86" s="187">
        <f t="shared" si="4"/>
        <v>277325</v>
      </c>
      <c r="G86" s="187">
        <f t="shared" si="5"/>
        <v>0</v>
      </c>
      <c r="H86" s="190"/>
      <c r="I86" s="190"/>
      <c r="J86" s="190"/>
      <c r="K86" s="190"/>
      <c r="L86" s="190">
        <v>67037.97</v>
      </c>
      <c r="M86" s="190">
        <v>20061.54</v>
      </c>
      <c r="N86" s="190"/>
      <c r="O86" s="190">
        <v>39859.800000000003</v>
      </c>
      <c r="P86" s="190">
        <f>60321.66+21504.71</f>
        <v>81826.37</v>
      </c>
      <c r="Q86" s="190"/>
      <c r="R86" s="190"/>
      <c r="S86" s="190">
        <f>1029+30563.93</f>
        <v>31592.93</v>
      </c>
      <c r="T86" s="190">
        <v>17095.599999999999</v>
      </c>
      <c r="U86" s="190"/>
      <c r="V86" s="190">
        <v>5341.36</v>
      </c>
      <c r="W86" s="190"/>
      <c r="X86" s="190"/>
      <c r="Y86" s="190">
        <v>14509.43</v>
      </c>
      <c r="Z86" s="190"/>
      <c r="AA86" s="190"/>
      <c r="AB86" s="190"/>
      <c r="AC86" s="190"/>
      <c r="AD86" s="190"/>
      <c r="AE86" s="190"/>
      <c r="AF86" s="190"/>
      <c r="AG86" s="190"/>
      <c r="AH86" s="190"/>
      <c r="AI86" s="191"/>
      <c r="AJ86" s="191"/>
      <c r="AK86" s="191"/>
      <c r="AL86" s="191"/>
      <c r="AM86" s="191"/>
    </row>
    <row r="87" spans="1:39" s="3" customFormat="1" ht="18" customHeight="1" thickBot="1" x14ac:dyDescent="0.35">
      <c r="A87" s="149" t="s">
        <v>81</v>
      </c>
      <c r="B87" s="290" t="s">
        <v>476</v>
      </c>
      <c r="C87" s="296">
        <v>106896</v>
      </c>
      <c r="D87" s="291"/>
      <c r="E87" s="187">
        <f t="shared" si="3"/>
        <v>106896</v>
      </c>
      <c r="F87" s="187">
        <f t="shared" si="4"/>
        <v>106896</v>
      </c>
      <c r="G87" s="187">
        <f t="shared" si="5"/>
        <v>0</v>
      </c>
      <c r="H87" s="190"/>
      <c r="I87" s="190"/>
      <c r="J87" s="190"/>
      <c r="K87" s="190">
        <v>9485</v>
      </c>
      <c r="L87" s="190"/>
      <c r="M87" s="190">
        <v>15281</v>
      </c>
      <c r="N87" s="190">
        <v>8288</v>
      </c>
      <c r="O87" s="190"/>
      <c r="P87" s="190">
        <v>16575</v>
      </c>
      <c r="Q87" s="190">
        <v>8288</v>
      </c>
      <c r="R87" s="190"/>
      <c r="S87" s="190">
        <f>16575+8288</f>
        <v>24863</v>
      </c>
      <c r="T87" s="190"/>
      <c r="U87" s="190"/>
      <c r="V87" s="190">
        <v>14602</v>
      </c>
      <c r="W87" s="190">
        <v>9514</v>
      </c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1"/>
      <c r="AJ87" s="191"/>
      <c r="AK87" s="191"/>
      <c r="AL87" s="191"/>
      <c r="AM87" s="191"/>
    </row>
    <row r="88" spans="1:39" s="3" customFormat="1" ht="18" customHeight="1" thickBot="1" x14ac:dyDescent="0.35">
      <c r="A88" s="149" t="s">
        <v>82</v>
      </c>
      <c r="B88" s="290" t="s">
        <v>260</v>
      </c>
      <c r="C88" s="296">
        <v>44424</v>
      </c>
      <c r="D88" s="291"/>
      <c r="E88" s="187">
        <f t="shared" si="3"/>
        <v>44424</v>
      </c>
      <c r="F88" s="187">
        <f t="shared" si="4"/>
        <v>44424</v>
      </c>
      <c r="G88" s="187">
        <f t="shared" si="5"/>
        <v>0</v>
      </c>
      <c r="H88" s="190"/>
      <c r="I88" s="190"/>
      <c r="J88" s="190"/>
      <c r="K88" s="190"/>
      <c r="L88" s="190"/>
      <c r="M88" s="190"/>
      <c r="N88" s="190"/>
      <c r="O88" s="190"/>
      <c r="P88" s="192"/>
      <c r="Q88" s="190"/>
      <c r="R88" s="190"/>
      <c r="S88" s="190"/>
      <c r="T88" s="190"/>
      <c r="U88" s="190"/>
      <c r="V88" s="190"/>
      <c r="W88" s="190">
        <v>44424</v>
      </c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1"/>
      <c r="AJ88" s="191"/>
      <c r="AK88" s="191"/>
      <c r="AL88" s="191"/>
      <c r="AM88" s="191"/>
    </row>
    <row r="89" spans="1:39" s="3" customFormat="1" ht="18" customHeight="1" thickBot="1" x14ac:dyDescent="0.35">
      <c r="A89" s="149" t="s">
        <v>83</v>
      </c>
      <c r="B89" s="290" t="s">
        <v>261</v>
      </c>
      <c r="C89" s="296">
        <v>9148041</v>
      </c>
      <c r="D89" s="291"/>
      <c r="E89" s="187">
        <f t="shared" si="3"/>
        <v>9148041</v>
      </c>
      <c r="F89" s="187">
        <f t="shared" si="4"/>
        <v>9148041</v>
      </c>
      <c r="G89" s="187">
        <f t="shared" si="5"/>
        <v>0</v>
      </c>
      <c r="H89" s="190"/>
      <c r="I89" s="190"/>
      <c r="J89" s="190"/>
      <c r="K89" s="190"/>
      <c r="L89" s="190"/>
      <c r="M89" s="190"/>
      <c r="N89" s="190">
        <v>2504437</v>
      </c>
      <c r="O89" s="190">
        <v>649501.09</v>
      </c>
      <c r="P89" s="190">
        <v>725986.02</v>
      </c>
      <c r="Q89" s="190">
        <v>707844.64</v>
      </c>
      <c r="R89" s="190">
        <v>721506.04</v>
      </c>
      <c r="S89" s="223">
        <v>864445.47</v>
      </c>
      <c r="T89" s="190">
        <v>754136.07</v>
      </c>
      <c r="U89" s="190"/>
      <c r="V89" s="190">
        <v>853417.81</v>
      </c>
      <c r="W89" s="190"/>
      <c r="X89" s="190"/>
      <c r="Y89" s="190"/>
      <c r="Z89" s="190"/>
      <c r="AA89" s="190">
        <v>1366766.86</v>
      </c>
      <c r="AB89" s="190"/>
      <c r="AC89" s="190"/>
      <c r="AD89" s="190"/>
      <c r="AE89" s="190"/>
      <c r="AF89" s="190"/>
      <c r="AG89" s="190"/>
      <c r="AH89" s="190"/>
      <c r="AI89" s="191"/>
      <c r="AJ89" s="191"/>
      <c r="AK89" s="191"/>
      <c r="AL89" s="191"/>
      <c r="AM89" s="191"/>
    </row>
    <row r="90" spans="1:39" s="3" customFormat="1" ht="18" customHeight="1" thickBot="1" x14ac:dyDescent="0.35">
      <c r="A90" s="149" t="s">
        <v>84</v>
      </c>
      <c r="B90" s="290" t="s">
        <v>479</v>
      </c>
      <c r="C90" s="296">
        <v>33411</v>
      </c>
      <c r="D90" s="291"/>
      <c r="E90" s="187">
        <f t="shared" si="3"/>
        <v>33411</v>
      </c>
      <c r="F90" s="187">
        <f t="shared" si="4"/>
        <v>33411</v>
      </c>
      <c r="G90" s="187">
        <f t="shared" si="5"/>
        <v>0</v>
      </c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>
        <v>33411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191"/>
      <c r="AK90" s="191"/>
      <c r="AL90" s="191"/>
      <c r="AM90" s="191"/>
    </row>
    <row r="91" spans="1:39" s="3" customFormat="1" ht="18" customHeight="1" thickBot="1" x14ac:dyDescent="0.35">
      <c r="A91" s="149" t="s">
        <v>85</v>
      </c>
      <c r="B91" s="290" t="s">
        <v>481</v>
      </c>
      <c r="C91" s="296">
        <v>17976</v>
      </c>
      <c r="D91" s="291"/>
      <c r="E91" s="187">
        <f t="shared" si="3"/>
        <v>17976</v>
      </c>
      <c r="F91" s="187">
        <f t="shared" si="4"/>
        <v>17976</v>
      </c>
      <c r="G91" s="187">
        <f t="shared" si="5"/>
        <v>0</v>
      </c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>
        <v>17976</v>
      </c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1"/>
      <c r="AJ91" s="191"/>
      <c r="AK91" s="191"/>
      <c r="AL91" s="191"/>
      <c r="AM91" s="191"/>
    </row>
    <row r="92" spans="1:39" s="3" customFormat="1" ht="18" customHeight="1" thickBot="1" x14ac:dyDescent="0.35">
      <c r="A92" s="149" t="s">
        <v>86</v>
      </c>
      <c r="B92" s="290" t="s">
        <v>264</v>
      </c>
      <c r="C92" s="296">
        <v>30806</v>
      </c>
      <c r="D92" s="291">
        <v>9025</v>
      </c>
      <c r="E92" s="281">
        <v>0</v>
      </c>
      <c r="F92" s="187">
        <f t="shared" si="4"/>
        <v>0</v>
      </c>
      <c r="G92" s="187">
        <f t="shared" si="5"/>
        <v>0</v>
      </c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1"/>
      <c r="AJ92" s="191"/>
      <c r="AK92" s="191"/>
      <c r="AL92" s="191"/>
      <c r="AM92" s="191"/>
    </row>
    <row r="93" spans="1:39" s="3" customFormat="1" ht="18" customHeight="1" thickBot="1" x14ac:dyDescent="0.35">
      <c r="A93" s="149" t="s">
        <v>87</v>
      </c>
      <c r="B93" s="290" t="s">
        <v>265</v>
      </c>
      <c r="C93" s="296">
        <v>56347</v>
      </c>
      <c r="D93" s="291">
        <v>9025</v>
      </c>
      <c r="E93" s="281">
        <v>0</v>
      </c>
      <c r="F93" s="187">
        <f t="shared" si="4"/>
        <v>0</v>
      </c>
      <c r="G93" s="187">
        <f t="shared" si="5"/>
        <v>0</v>
      </c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1"/>
      <c r="AJ93" s="191"/>
      <c r="AK93" s="191"/>
      <c r="AL93" s="191"/>
      <c r="AM93" s="191"/>
    </row>
    <row r="94" spans="1:39" s="3" customFormat="1" ht="18" customHeight="1" thickBot="1" x14ac:dyDescent="0.35">
      <c r="A94" s="149" t="s">
        <v>88</v>
      </c>
      <c r="B94" s="290" t="s">
        <v>266</v>
      </c>
      <c r="C94" s="296">
        <v>34025</v>
      </c>
      <c r="D94" s="291">
        <v>9025</v>
      </c>
      <c r="E94" s="281">
        <v>0</v>
      </c>
      <c r="F94" s="187">
        <f t="shared" si="4"/>
        <v>0</v>
      </c>
      <c r="G94" s="187">
        <f t="shared" si="5"/>
        <v>0</v>
      </c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1"/>
      <c r="AJ94" s="191"/>
      <c r="AK94" s="191"/>
      <c r="AL94" s="191"/>
      <c r="AM94" s="191"/>
    </row>
    <row r="95" spans="1:39" s="3" customFormat="1" ht="18" customHeight="1" thickBot="1" x14ac:dyDescent="0.35">
      <c r="A95" s="149" t="s">
        <v>89</v>
      </c>
      <c r="B95" s="290" t="s">
        <v>267</v>
      </c>
      <c r="C95" s="296">
        <v>15597</v>
      </c>
      <c r="D95" s="291">
        <v>9025</v>
      </c>
      <c r="E95" s="281">
        <v>0</v>
      </c>
      <c r="F95" s="187">
        <f t="shared" si="4"/>
        <v>0</v>
      </c>
      <c r="G95" s="187">
        <f t="shared" si="5"/>
        <v>0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1"/>
      <c r="AJ95" s="191"/>
      <c r="AK95" s="191"/>
      <c r="AL95" s="191"/>
      <c r="AM95" s="191"/>
    </row>
    <row r="96" spans="1:39" s="3" customFormat="1" ht="18" customHeight="1" thickBot="1" x14ac:dyDescent="0.35">
      <c r="A96" s="149" t="s">
        <v>90</v>
      </c>
      <c r="B96" s="290" t="s">
        <v>483</v>
      </c>
      <c r="C96" s="296">
        <v>201768</v>
      </c>
      <c r="D96" s="291">
        <v>9025</v>
      </c>
      <c r="E96" s="281">
        <v>0</v>
      </c>
      <c r="F96" s="187">
        <f t="shared" si="4"/>
        <v>0</v>
      </c>
      <c r="G96" s="187">
        <f t="shared" si="5"/>
        <v>0</v>
      </c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1"/>
      <c r="AJ96" s="191"/>
      <c r="AK96" s="191"/>
      <c r="AL96" s="191"/>
      <c r="AM96" s="191"/>
    </row>
    <row r="97" spans="1:39" s="3" customFormat="1" ht="18" customHeight="1" thickBot="1" x14ac:dyDescent="0.35">
      <c r="A97" s="149" t="s">
        <v>91</v>
      </c>
      <c r="B97" s="290" t="s">
        <v>269</v>
      </c>
      <c r="C97" s="296">
        <v>232564</v>
      </c>
      <c r="D97" s="291"/>
      <c r="E97" s="187">
        <f t="shared" si="3"/>
        <v>232564</v>
      </c>
      <c r="F97" s="187">
        <f t="shared" si="4"/>
        <v>232564</v>
      </c>
      <c r="G97" s="187">
        <f t="shared" si="5"/>
        <v>0</v>
      </c>
      <c r="H97" s="190"/>
      <c r="I97" s="190"/>
      <c r="J97" s="190"/>
      <c r="K97" s="190"/>
      <c r="L97" s="190"/>
      <c r="M97" s="190"/>
      <c r="N97" s="190">
        <f>57681+20885.32</f>
        <v>78566.320000000007</v>
      </c>
      <c r="O97" s="190">
        <v>18479.810000000001</v>
      </c>
      <c r="P97" s="190">
        <v>17763.39</v>
      </c>
      <c r="Q97" s="190">
        <v>16936.599999999999</v>
      </c>
      <c r="R97" s="190">
        <v>20763</v>
      </c>
      <c r="S97" s="190">
        <v>77041.899999999994</v>
      </c>
      <c r="T97" s="190"/>
      <c r="U97" s="190"/>
      <c r="V97" s="190">
        <v>2166.2600000000002</v>
      </c>
      <c r="W97" s="190"/>
      <c r="X97" s="190"/>
      <c r="Y97" s="190"/>
      <c r="Z97" s="190"/>
      <c r="AA97" s="190">
        <v>846.72</v>
      </c>
      <c r="AB97" s="190"/>
      <c r="AC97" s="190"/>
      <c r="AD97" s="190"/>
      <c r="AE97" s="190"/>
      <c r="AF97" s="190"/>
      <c r="AG97" s="190"/>
      <c r="AH97" s="190"/>
      <c r="AI97" s="191"/>
      <c r="AJ97" s="191"/>
      <c r="AK97" s="191"/>
      <c r="AL97" s="191"/>
      <c r="AM97" s="191"/>
    </row>
    <row r="98" spans="1:39" s="3" customFormat="1" ht="18" customHeight="1" thickBot="1" x14ac:dyDescent="0.35">
      <c r="A98" s="149" t="s">
        <v>92</v>
      </c>
      <c r="B98" s="290" t="s">
        <v>270</v>
      </c>
      <c r="C98" s="296">
        <v>594478</v>
      </c>
      <c r="D98" s="291"/>
      <c r="E98" s="187">
        <f t="shared" si="3"/>
        <v>594478</v>
      </c>
      <c r="F98" s="187">
        <f t="shared" si="4"/>
        <v>594478</v>
      </c>
      <c r="G98" s="187">
        <f t="shared" si="5"/>
        <v>0</v>
      </c>
      <c r="H98" s="190"/>
      <c r="I98" s="190"/>
      <c r="J98" s="190"/>
      <c r="K98" s="190"/>
      <c r="L98" s="190"/>
      <c r="M98" s="190"/>
      <c r="N98" s="190"/>
      <c r="O98" s="190"/>
      <c r="P98" s="190">
        <v>203761.41</v>
      </c>
      <c r="Q98" s="190"/>
      <c r="R98" s="190"/>
      <c r="S98" s="190">
        <f>130036.21+67561.25</f>
        <v>197597.46000000002</v>
      </c>
      <c r="T98" s="190"/>
      <c r="U98" s="190"/>
      <c r="V98" s="190">
        <v>156397.88</v>
      </c>
      <c r="W98" s="190"/>
      <c r="X98" s="190"/>
      <c r="Y98" s="190"/>
      <c r="Z98" s="190"/>
      <c r="AA98" s="190"/>
      <c r="AB98" s="190"/>
      <c r="AC98" s="190"/>
      <c r="AD98" s="190"/>
      <c r="AE98" s="190">
        <v>36721.25</v>
      </c>
      <c r="AF98" s="190"/>
      <c r="AG98" s="190"/>
      <c r="AH98" s="190"/>
      <c r="AI98" s="191"/>
      <c r="AJ98" s="191"/>
      <c r="AK98" s="191"/>
      <c r="AL98" s="191"/>
      <c r="AM98" s="191"/>
    </row>
    <row r="99" spans="1:39" s="3" customFormat="1" ht="18" customHeight="1" thickBot="1" x14ac:dyDescent="0.35">
      <c r="A99" s="149" t="s">
        <v>93</v>
      </c>
      <c r="B99" s="290" t="s">
        <v>271</v>
      </c>
      <c r="C99" s="296">
        <v>98976</v>
      </c>
      <c r="D99" s="291"/>
      <c r="E99" s="187">
        <f t="shared" si="3"/>
        <v>98976</v>
      </c>
      <c r="F99" s="187">
        <f t="shared" si="4"/>
        <v>98976</v>
      </c>
      <c r="G99" s="187">
        <f t="shared" si="5"/>
        <v>0</v>
      </c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>
        <v>85000</v>
      </c>
      <c r="S99" s="190"/>
      <c r="T99" s="190">
        <v>13976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1"/>
      <c r="AJ99" s="191"/>
      <c r="AK99" s="191"/>
      <c r="AL99" s="191"/>
      <c r="AM99" s="191"/>
    </row>
    <row r="100" spans="1:39" s="3" customFormat="1" ht="18" customHeight="1" thickBot="1" x14ac:dyDescent="0.35">
      <c r="A100" s="149" t="s">
        <v>94</v>
      </c>
      <c r="B100" s="290" t="s">
        <v>487</v>
      </c>
      <c r="C100" s="296">
        <v>115826</v>
      </c>
      <c r="D100" s="291"/>
      <c r="E100" s="187">
        <f t="shared" si="3"/>
        <v>115826</v>
      </c>
      <c r="F100" s="187">
        <f t="shared" si="4"/>
        <v>115826</v>
      </c>
      <c r="G100" s="187">
        <f t="shared" si="5"/>
        <v>0</v>
      </c>
      <c r="H100" s="190"/>
      <c r="I100" s="190"/>
      <c r="J100" s="190"/>
      <c r="K100" s="190"/>
      <c r="L100" s="190"/>
      <c r="M100" s="190"/>
      <c r="N100" s="190"/>
      <c r="O100" s="190"/>
      <c r="P100" s="190">
        <v>41930</v>
      </c>
      <c r="Q100" s="190"/>
      <c r="R100" s="190"/>
      <c r="S100" s="190">
        <v>63017.36</v>
      </c>
      <c r="T100" s="190"/>
      <c r="U100" s="190"/>
      <c r="V100" s="190"/>
      <c r="W100" s="190">
        <v>10878.64</v>
      </c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1"/>
      <c r="AJ100" s="191"/>
      <c r="AK100" s="191"/>
      <c r="AL100" s="191"/>
      <c r="AM100" s="191"/>
    </row>
    <row r="101" spans="1:39" s="3" customFormat="1" ht="18" customHeight="1" thickBot="1" x14ac:dyDescent="0.35">
      <c r="A101" s="149" t="s">
        <v>95</v>
      </c>
      <c r="B101" s="290" t="s">
        <v>273</v>
      </c>
      <c r="C101" s="296">
        <v>2650196</v>
      </c>
      <c r="D101" s="291"/>
      <c r="E101" s="187">
        <f t="shared" si="3"/>
        <v>2650196</v>
      </c>
      <c r="F101" s="187">
        <f t="shared" si="4"/>
        <v>2650196</v>
      </c>
      <c r="G101" s="187">
        <f t="shared" si="5"/>
        <v>0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>
        <v>483665.93</v>
      </c>
      <c r="S101" s="190">
        <v>636335.94999999995</v>
      </c>
      <c r="T101" s="190"/>
      <c r="U101" s="190">
        <v>256292.26</v>
      </c>
      <c r="V101" s="190"/>
      <c r="W101" s="190"/>
      <c r="X101" s="190">
        <v>332946.86</v>
      </c>
      <c r="Y101" s="190"/>
      <c r="Z101" s="190"/>
      <c r="AA101" s="190">
        <f>472663.69+468291.31</f>
        <v>940955</v>
      </c>
      <c r="AB101" s="190"/>
      <c r="AC101" s="190"/>
      <c r="AD101" s="190"/>
      <c r="AE101" s="190"/>
      <c r="AF101" s="190"/>
      <c r="AG101" s="190"/>
      <c r="AH101" s="190"/>
      <c r="AI101" s="191"/>
      <c r="AJ101" s="191"/>
      <c r="AK101" s="191"/>
      <c r="AL101" s="191"/>
      <c r="AM101" s="191"/>
    </row>
    <row r="102" spans="1:39" s="3" customFormat="1" ht="16.899999999999999" customHeight="1" thickBot="1" x14ac:dyDescent="0.35">
      <c r="A102" s="149" t="s">
        <v>96</v>
      </c>
      <c r="B102" s="290" t="s">
        <v>489</v>
      </c>
      <c r="C102" s="296">
        <v>1602165</v>
      </c>
      <c r="D102" s="291"/>
      <c r="E102" s="187">
        <f t="shared" si="3"/>
        <v>1602165</v>
      </c>
      <c r="F102" s="187">
        <f t="shared" si="4"/>
        <v>1602165</v>
      </c>
      <c r="G102" s="187">
        <f t="shared" si="5"/>
        <v>0</v>
      </c>
      <c r="H102" s="190"/>
      <c r="I102" s="190"/>
      <c r="J102" s="190"/>
      <c r="K102" s="190"/>
      <c r="L102" s="190"/>
      <c r="M102" s="190"/>
      <c r="N102" s="190"/>
      <c r="O102" s="190">
        <v>77695.179999999993</v>
      </c>
      <c r="P102" s="190"/>
      <c r="Q102" s="190">
        <v>119374.8</v>
      </c>
      <c r="R102" s="190">
        <v>255029.74</v>
      </c>
      <c r="S102" s="190"/>
      <c r="T102" s="190">
        <v>365232.4</v>
      </c>
      <c r="U102" s="190"/>
      <c r="V102" s="190">
        <v>191051.33</v>
      </c>
      <c r="W102" s="190"/>
      <c r="X102" s="190"/>
      <c r="Y102" s="190"/>
      <c r="Z102" s="190"/>
      <c r="AA102" s="190"/>
      <c r="AB102" s="190"/>
      <c r="AC102" s="190"/>
      <c r="AD102" s="190"/>
      <c r="AE102" s="190">
        <f>218784.26+374997.29</f>
        <v>593781.55000000005</v>
      </c>
      <c r="AF102" s="190"/>
      <c r="AG102" s="190"/>
      <c r="AH102" s="190"/>
      <c r="AI102" s="191"/>
      <c r="AJ102" s="191"/>
      <c r="AK102" s="191"/>
      <c r="AL102" s="191"/>
      <c r="AM102" s="191"/>
    </row>
    <row r="103" spans="1:39" s="3" customFormat="1" ht="18" customHeight="1" thickBot="1" x14ac:dyDescent="0.35">
      <c r="A103" s="149" t="s">
        <v>97</v>
      </c>
      <c r="B103" s="290" t="s">
        <v>490</v>
      </c>
      <c r="C103" s="296">
        <v>281301</v>
      </c>
      <c r="D103" s="291"/>
      <c r="E103" s="187">
        <f t="shared" si="3"/>
        <v>281301</v>
      </c>
      <c r="F103" s="187">
        <f t="shared" si="4"/>
        <v>281301</v>
      </c>
      <c r="G103" s="187">
        <f t="shared" si="5"/>
        <v>0</v>
      </c>
      <c r="H103" s="190"/>
      <c r="I103" s="190"/>
      <c r="J103" s="190"/>
      <c r="K103" s="190"/>
      <c r="L103" s="190"/>
      <c r="M103" s="190"/>
      <c r="N103" s="190">
        <v>86739.76</v>
      </c>
      <c r="O103" s="190">
        <v>22688.26</v>
      </c>
      <c r="P103" s="190">
        <v>22568.5</v>
      </c>
      <c r="Q103" s="190">
        <v>22547.93</v>
      </c>
      <c r="R103" s="190">
        <v>22547.93</v>
      </c>
      <c r="S103" s="190">
        <v>22547.93</v>
      </c>
      <c r="T103" s="190">
        <f>22549.02+1.09</f>
        <v>22550.11</v>
      </c>
      <c r="U103" s="190">
        <v>22727.82</v>
      </c>
      <c r="V103" s="190"/>
      <c r="W103" s="190"/>
      <c r="X103" s="190">
        <v>36382.76</v>
      </c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1"/>
      <c r="AJ103" s="191"/>
      <c r="AK103" s="191"/>
      <c r="AL103" s="191"/>
      <c r="AM103" s="191"/>
    </row>
    <row r="104" spans="1:39" s="3" customFormat="1" ht="18" customHeight="1" thickBot="1" x14ac:dyDescent="0.35">
      <c r="A104" s="149" t="s">
        <v>98</v>
      </c>
      <c r="B104" s="290" t="s">
        <v>276</v>
      </c>
      <c r="C104" s="296">
        <v>410071</v>
      </c>
      <c r="D104" s="291"/>
      <c r="E104" s="187">
        <f t="shared" si="3"/>
        <v>410071</v>
      </c>
      <c r="F104" s="187">
        <f t="shared" si="4"/>
        <v>410071</v>
      </c>
      <c r="G104" s="187">
        <f t="shared" si="5"/>
        <v>0</v>
      </c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>
        <v>114792.82</v>
      </c>
      <c r="S104" s="190">
        <v>114266</v>
      </c>
      <c r="T104" s="190"/>
      <c r="U104" s="190">
        <v>42717.31</v>
      </c>
      <c r="V104" s="190"/>
      <c r="W104" s="190"/>
      <c r="X104" s="190"/>
      <c r="Y104" s="190"/>
      <c r="Z104" s="190"/>
      <c r="AA104" s="190"/>
      <c r="AB104" s="190">
        <v>125955</v>
      </c>
      <c r="AC104" s="190"/>
      <c r="AD104" s="190"/>
      <c r="AE104" s="190">
        <v>2018.24</v>
      </c>
      <c r="AF104" s="190"/>
      <c r="AG104" s="190">
        <v>10321.629999999999</v>
      </c>
      <c r="AH104" s="190"/>
      <c r="AI104" s="191"/>
      <c r="AJ104" s="191"/>
      <c r="AK104" s="191"/>
      <c r="AL104" s="191"/>
      <c r="AM104" s="191"/>
    </row>
    <row r="105" spans="1:39" s="3" customFormat="1" ht="18" customHeight="1" thickBot="1" x14ac:dyDescent="0.35">
      <c r="A105" s="149" t="s">
        <v>99</v>
      </c>
      <c r="B105" s="290" t="s">
        <v>277</v>
      </c>
      <c r="C105" s="296">
        <v>38329</v>
      </c>
      <c r="D105" s="291"/>
      <c r="E105" s="187">
        <f t="shared" si="3"/>
        <v>38329</v>
      </c>
      <c r="F105" s="187">
        <f t="shared" si="4"/>
        <v>38329</v>
      </c>
      <c r="G105" s="187">
        <f t="shared" si="5"/>
        <v>0</v>
      </c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>
        <v>38329</v>
      </c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1"/>
      <c r="AJ105" s="191"/>
      <c r="AK105" s="191"/>
      <c r="AL105" s="191"/>
      <c r="AM105" s="191"/>
    </row>
    <row r="106" spans="1:39" s="3" customFormat="1" ht="18" customHeight="1" thickBot="1" x14ac:dyDescent="0.35">
      <c r="A106" s="149" t="s">
        <v>100</v>
      </c>
      <c r="B106" s="290" t="s">
        <v>278</v>
      </c>
      <c r="C106" s="296">
        <v>83730</v>
      </c>
      <c r="D106" s="291"/>
      <c r="E106" s="187">
        <f t="shared" si="3"/>
        <v>83730</v>
      </c>
      <c r="F106" s="187">
        <f t="shared" si="4"/>
        <v>83730</v>
      </c>
      <c r="G106" s="187">
        <f t="shared" si="5"/>
        <v>0</v>
      </c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>
        <v>79903</v>
      </c>
      <c r="S106" s="190">
        <f>1855+1972</f>
        <v>3827</v>
      </c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1"/>
      <c r="AJ106" s="191"/>
      <c r="AK106" s="191"/>
      <c r="AL106" s="191"/>
      <c r="AM106" s="191"/>
    </row>
    <row r="107" spans="1:39" s="3" customFormat="1" ht="18" customHeight="1" thickBot="1" x14ac:dyDescent="0.35">
      <c r="A107" s="149" t="s">
        <v>101</v>
      </c>
      <c r="B107" s="290" t="s">
        <v>492</v>
      </c>
      <c r="C107" s="296">
        <v>72077</v>
      </c>
      <c r="D107" s="291"/>
      <c r="E107" s="187">
        <f t="shared" si="3"/>
        <v>72077</v>
      </c>
      <c r="F107" s="187">
        <f t="shared" si="4"/>
        <v>72077</v>
      </c>
      <c r="G107" s="187">
        <f t="shared" si="5"/>
        <v>0</v>
      </c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>
        <v>15208.88</v>
      </c>
      <c r="V107" s="190"/>
      <c r="W107" s="190"/>
      <c r="X107" s="190">
        <v>56868.12</v>
      </c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1"/>
      <c r="AJ107" s="191"/>
      <c r="AK107" s="191"/>
      <c r="AL107" s="191"/>
      <c r="AM107" s="191"/>
    </row>
    <row r="108" spans="1:39" s="3" customFormat="1" ht="18" customHeight="1" thickBot="1" x14ac:dyDescent="0.35">
      <c r="A108" s="149" t="s">
        <v>102</v>
      </c>
      <c r="B108" s="290" t="s">
        <v>280</v>
      </c>
      <c r="C108" s="296">
        <v>29944</v>
      </c>
      <c r="D108" s="291"/>
      <c r="E108" s="187">
        <f t="shared" si="3"/>
        <v>29944</v>
      </c>
      <c r="F108" s="187">
        <f t="shared" si="4"/>
        <v>29944</v>
      </c>
      <c r="G108" s="187">
        <f t="shared" si="5"/>
        <v>0</v>
      </c>
      <c r="H108" s="190"/>
      <c r="I108" s="190"/>
      <c r="J108" s="190"/>
      <c r="K108" s="190"/>
      <c r="L108" s="190"/>
      <c r="M108" s="190">
        <v>2887.01</v>
      </c>
      <c r="N108" s="190">
        <v>2941.53</v>
      </c>
      <c r="O108" s="190">
        <v>2941.53</v>
      </c>
      <c r="P108" s="190">
        <v>3461.52</v>
      </c>
      <c r="Q108" s="190">
        <v>1406.6</v>
      </c>
      <c r="R108" s="190">
        <v>2941.53</v>
      </c>
      <c r="S108" s="190">
        <f>2941.53+1014.92</f>
        <v>3956.4500000000003</v>
      </c>
      <c r="T108" s="190">
        <v>3484.52</v>
      </c>
      <c r="U108" s="190"/>
      <c r="V108" s="190"/>
      <c r="W108" s="190">
        <v>3517.55</v>
      </c>
      <c r="X108" s="190">
        <v>2405.7600000000002</v>
      </c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1"/>
      <c r="AJ108" s="191"/>
      <c r="AK108" s="191"/>
      <c r="AL108" s="191"/>
      <c r="AM108" s="191"/>
    </row>
    <row r="109" spans="1:39" s="3" customFormat="1" ht="18" customHeight="1" thickBot="1" x14ac:dyDescent="0.35">
      <c r="A109" s="149" t="s">
        <v>103</v>
      </c>
      <c r="B109" s="290" t="s">
        <v>281</v>
      </c>
      <c r="C109" s="296">
        <v>1351</v>
      </c>
      <c r="D109" s="291"/>
      <c r="E109" s="187">
        <f t="shared" si="3"/>
        <v>1351</v>
      </c>
      <c r="F109" s="187">
        <f t="shared" si="4"/>
        <v>1351</v>
      </c>
      <c r="G109" s="187">
        <f t="shared" si="5"/>
        <v>0</v>
      </c>
      <c r="H109" s="190"/>
      <c r="I109" s="190"/>
      <c r="J109" s="190"/>
      <c r="K109" s="190"/>
      <c r="L109" s="190"/>
      <c r="M109" s="190"/>
      <c r="N109" s="190">
        <v>1351</v>
      </c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1"/>
      <c r="AJ109" s="191"/>
      <c r="AK109" s="191"/>
      <c r="AL109" s="191"/>
      <c r="AM109" s="191"/>
    </row>
    <row r="110" spans="1:39" s="3" customFormat="1" ht="18" customHeight="1" thickBot="1" x14ac:dyDescent="0.35">
      <c r="A110" s="149" t="s">
        <v>104</v>
      </c>
      <c r="B110" s="290" t="s">
        <v>282</v>
      </c>
      <c r="C110" s="296">
        <v>36993</v>
      </c>
      <c r="D110" s="291">
        <v>9025</v>
      </c>
      <c r="E110" s="281">
        <v>0</v>
      </c>
      <c r="F110" s="187">
        <f t="shared" si="4"/>
        <v>0</v>
      </c>
      <c r="G110" s="187">
        <f t="shared" si="5"/>
        <v>0</v>
      </c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1"/>
      <c r="AJ110" s="191"/>
      <c r="AK110" s="191"/>
      <c r="AL110" s="191"/>
      <c r="AM110" s="191"/>
    </row>
    <row r="111" spans="1:39" s="3" customFormat="1" ht="18" customHeight="1" thickBot="1" x14ac:dyDescent="0.35">
      <c r="A111" s="149" t="s">
        <v>105</v>
      </c>
      <c r="B111" s="290" t="s">
        <v>494</v>
      </c>
      <c r="C111" s="296">
        <v>104442</v>
      </c>
      <c r="D111" s="291">
        <v>9025</v>
      </c>
      <c r="E111" s="281">
        <v>0</v>
      </c>
      <c r="F111" s="187">
        <f t="shared" si="4"/>
        <v>0</v>
      </c>
      <c r="G111" s="187">
        <f t="shared" si="5"/>
        <v>0</v>
      </c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1"/>
      <c r="AJ111" s="191"/>
      <c r="AK111" s="191"/>
      <c r="AL111" s="191"/>
      <c r="AM111" s="191"/>
    </row>
    <row r="112" spans="1:39" s="3" customFormat="1" ht="18" customHeight="1" thickBot="1" x14ac:dyDescent="0.35">
      <c r="A112" s="149" t="s">
        <v>106</v>
      </c>
      <c r="B112" s="290" t="s">
        <v>495</v>
      </c>
      <c r="C112" s="296">
        <v>23837</v>
      </c>
      <c r="D112" s="291">
        <v>9025</v>
      </c>
      <c r="E112" s="281">
        <v>0</v>
      </c>
      <c r="F112" s="187">
        <f t="shared" si="4"/>
        <v>0</v>
      </c>
      <c r="G112" s="187">
        <f t="shared" si="5"/>
        <v>0</v>
      </c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1"/>
      <c r="AJ112" s="191"/>
      <c r="AK112" s="191"/>
      <c r="AL112" s="191"/>
      <c r="AM112" s="191"/>
    </row>
    <row r="113" spans="1:39" s="3" customFormat="1" ht="18" customHeight="1" thickBot="1" x14ac:dyDescent="0.35">
      <c r="A113" s="149" t="s">
        <v>107</v>
      </c>
      <c r="B113" s="290" t="s">
        <v>496</v>
      </c>
      <c r="C113" s="296">
        <v>448149</v>
      </c>
      <c r="D113" s="291">
        <v>9035</v>
      </c>
      <c r="E113" s="281">
        <v>0</v>
      </c>
      <c r="F113" s="187">
        <f t="shared" si="4"/>
        <v>0</v>
      </c>
      <c r="G113" s="187">
        <f t="shared" si="5"/>
        <v>0</v>
      </c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1"/>
      <c r="AJ113" s="191"/>
      <c r="AK113" s="191"/>
      <c r="AL113" s="191"/>
      <c r="AM113" s="191"/>
    </row>
    <row r="114" spans="1:39" s="3" customFormat="1" ht="18" customHeight="1" thickBot="1" x14ac:dyDescent="0.35">
      <c r="A114" s="149" t="s">
        <v>108</v>
      </c>
      <c r="B114" s="290" t="s">
        <v>498</v>
      </c>
      <c r="C114" s="296">
        <v>25848</v>
      </c>
      <c r="D114" s="291">
        <v>9040</v>
      </c>
      <c r="E114" s="281">
        <v>0</v>
      </c>
      <c r="F114" s="187">
        <f t="shared" si="4"/>
        <v>0</v>
      </c>
      <c r="G114" s="187">
        <f t="shared" si="5"/>
        <v>0</v>
      </c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1"/>
      <c r="AJ114" s="191"/>
      <c r="AK114" s="191"/>
      <c r="AL114" s="191"/>
      <c r="AM114" s="191"/>
    </row>
    <row r="115" spans="1:39" s="3" customFormat="1" ht="18" customHeight="1" thickBot="1" x14ac:dyDescent="0.35">
      <c r="A115" s="149" t="s">
        <v>109</v>
      </c>
      <c r="B115" s="290" t="s">
        <v>499</v>
      </c>
      <c r="C115" s="296">
        <v>20617</v>
      </c>
      <c r="D115" s="291">
        <v>9040</v>
      </c>
      <c r="E115" s="281">
        <v>0</v>
      </c>
      <c r="F115" s="187">
        <f t="shared" si="4"/>
        <v>0</v>
      </c>
      <c r="G115" s="187">
        <f t="shared" si="5"/>
        <v>0</v>
      </c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1"/>
      <c r="AJ115" s="191"/>
      <c r="AK115" s="191"/>
      <c r="AL115" s="191"/>
      <c r="AM115" s="191"/>
    </row>
    <row r="116" spans="1:39" s="3" customFormat="1" ht="18" customHeight="1" thickBot="1" x14ac:dyDescent="0.35">
      <c r="A116" s="149" t="s">
        <v>110</v>
      </c>
      <c r="B116" s="290" t="s">
        <v>500</v>
      </c>
      <c r="C116" s="296">
        <v>18125</v>
      </c>
      <c r="D116" s="291">
        <v>9040</v>
      </c>
      <c r="E116" s="281">
        <v>0</v>
      </c>
      <c r="F116" s="187">
        <f t="shared" si="4"/>
        <v>0</v>
      </c>
      <c r="G116" s="187">
        <f t="shared" si="5"/>
        <v>0</v>
      </c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1"/>
      <c r="AJ116" s="191"/>
      <c r="AK116" s="191"/>
      <c r="AL116" s="191"/>
      <c r="AM116" s="191"/>
    </row>
    <row r="117" spans="1:39" s="3" customFormat="1" ht="18" customHeight="1" thickBot="1" x14ac:dyDescent="0.35">
      <c r="A117" s="149" t="s">
        <v>111</v>
      </c>
      <c r="B117" s="290" t="s">
        <v>501</v>
      </c>
      <c r="C117" s="296">
        <v>16976</v>
      </c>
      <c r="D117" s="291"/>
      <c r="E117" s="187">
        <f t="shared" si="3"/>
        <v>16976</v>
      </c>
      <c r="F117" s="187">
        <f t="shared" si="4"/>
        <v>16976</v>
      </c>
      <c r="G117" s="187">
        <f t="shared" si="5"/>
        <v>0</v>
      </c>
      <c r="H117" s="190"/>
      <c r="I117" s="190"/>
      <c r="J117" s="190"/>
      <c r="K117" s="190"/>
      <c r="L117" s="190"/>
      <c r="M117" s="190">
        <v>16084</v>
      </c>
      <c r="N117" s="190"/>
      <c r="O117" s="190"/>
      <c r="P117" s="190"/>
      <c r="Q117" s="190">
        <v>892</v>
      </c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1"/>
      <c r="AJ117" s="191"/>
      <c r="AK117" s="191"/>
      <c r="AL117" s="191"/>
      <c r="AM117" s="191"/>
    </row>
    <row r="118" spans="1:39" s="3" customFormat="1" ht="18" customHeight="1" thickBot="1" x14ac:dyDescent="0.35">
      <c r="A118" s="149" t="s">
        <v>112</v>
      </c>
      <c r="B118" s="290" t="s">
        <v>290</v>
      </c>
      <c r="C118" s="296">
        <v>76706</v>
      </c>
      <c r="D118" s="291"/>
      <c r="E118" s="187">
        <f t="shared" si="3"/>
        <v>76706</v>
      </c>
      <c r="F118" s="187">
        <f t="shared" si="4"/>
        <v>76706</v>
      </c>
      <c r="G118" s="187">
        <f t="shared" si="5"/>
        <v>0</v>
      </c>
      <c r="H118" s="190"/>
      <c r="I118" s="190"/>
      <c r="J118" s="190"/>
      <c r="K118" s="190"/>
      <c r="L118" s="190"/>
      <c r="M118" s="190"/>
      <c r="N118" s="190"/>
      <c r="O118" s="190"/>
      <c r="P118" s="190">
        <v>32035.08</v>
      </c>
      <c r="Q118" s="190"/>
      <c r="R118" s="190"/>
      <c r="S118" s="190">
        <f>18606.07+5828.94</f>
        <v>24435.01</v>
      </c>
      <c r="T118" s="190">
        <v>19806.91</v>
      </c>
      <c r="U118" s="190"/>
      <c r="V118" s="190"/>
      <c r="W118" s="190"/>
      <c r="X118" s="190"/>
      <c r="Y118" s="190"/>
      <c r="Z118" s="190">
        <v>429</v>
      </c>
      <c r="AA118" s="190"/>
      <c r="AB118" s="190"/>
      <c r="AC118" s="190"/>
      <c r="AD118" s="190"/>
      <c r="AE118" s="190"/>
      <c r="AF118" s="190"/>
      <c r="AG118" s="190"/>
      <c r="AH118" s="190"/>
      <c r="AI118" s="191"/>
      <c r="AJ118" s="191"/>
      <c r="AK118" s="191"/>
      <c r="AL118" s="191"/>
      <c r="AM118" s="191"/>
    </row>
    <row r="119" spans="1:39" s="3" customFormat="1" ht="18" customHeight="1" thickBot="1" x14ac:dyDescent="0.35">
      <c r="A119" s="149" t="s">
        <v>113</v>
      </c>
      <c r="B119" s="290" t="s">
        <v>291</v>
      </c>
      <c r="C119" s="296">
        <v>6102442</v>
      </c>
      <c r="D119" s="291"/>
      <c r="E119" s="187">
        <f t="shared" si="3"/>
        <v>6102442</v>
      </c>
      <c r="F119" s="187">
        <f t="shared" si="4"/>
        <v>6102442</v>
      </c>
      <c r="G119" s="187">
        <f t="shared" si="5"/>
        <v>0</v>
      </c>
      <c r="H119" s="190"/>
      <c r="I119" s="190"/>
      <c r="J119" s="190"/>
      <c r="K119" s="190"/>
      <c r="L119" s="190"/>
      <c r="M119" s="190"/>
      <c r="N119" s="190">
        <v>1091025.21</v>
      </c>
      <c r="O119" s="190">
        <v>1052541.04</v>
      </c>
      <c r="P119" s="190">
        <v>360572.26</v>
      </c>
      <c r="Q119" s="190">
        <v>436149.57</v>
      </c>
      <c r="R119" s="190">
        <v>849247.29</v>
      </c>
      <c r="S119" s="190">
        <v>472247.12</v>
      </c>
      <c r="T119" s="190"/>
      <c r="U119" s="190"/>
      <c r="V119" s="190">
        <v>670223.16</v>
      </c>
      <c r="W119" s="190">
        <v>400113.82</v>
      </c>
      <c r="X119" s="190"/>
      <c r="Y119" s="190">
        <v>770322.53</v>
      </c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1"/>
      <c r="AJ119" s="191"/>
      <c r="AK119" s="191"/>
      <c r="AL119" s="191"/>
      <c r="AM119" s="191"/>
    </row>
    <row r="120" spans="1:39" s="3" customFormat="1" ht="18" customHeight="1" thickBot="1" x14ac:dyDescent="0.35">
      <c r="A120" s="149" t="s">
        <v>114</v>
      </c>
      <c r="B120" s="290" t="s">
        <v>503</v>
      </c>
      <c r="C120" s="296">
        <v>12761</v>
      </c>
      <c r="D120" s="291"/>
      <c r="E120" s="187">
        <f t="shared" si="3"/>
        <v>12761</v>
      </c>
      <c r="F120" s="187">
        <f t="shared" si="4"/>
        <v>12761</v>
      </c>
      <c r="G120" s="187">
        <f t="shared" si="5"/>
        <v>0</v>
      </c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>
        <v>12298</v>
      </c>
      <c r="S120" s="190"/>
      <c r="T120" s="190"/>
      <c r="U120" s="190"/>
      <c r="V120" s="190">
        <v>463</v>
      </c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1"/>
      <c r="AJ120" s="191"/>
      <c r="AK120" s="191"/>
      <c r="AL120" s="191"/>
      <c r="AM120" s="191"/>
    </row>
    <row r="121" spans="1:39" s="3" customFormat="1" ht="18" customHeight="1" thickBot="1" x14ac:dyDescent="0.35">
      <c r="A121" s="149" t="s">
        <v>115</v>
      </c>
      <c r="B121" s="290" t="s">
        <v>592</v>
      </c>
      <c r="C121" s="296">
        <v>391705</v>
      </c>
      <c r="D121" s="291"/>
      <c r="E121" s="187">
        <f t="shared" si="3"/>
        <v>391705</v>
      </c>
      <c r="F121" s="187">
        <f t="shared" si="4"/>
        <v>391705</v>
      </c>
      <c r="G121" s="187">
        <f t="shared" si="5"/>
        <v>0</v>
      </c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>
        <v>391705</v>
      </c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1"/>
      <c r="AJ121" s="191"/>
      <c r="AK121" s="191"/>
      <c r="AL121" s="191"/>
      <c r="AM121" s="191"/>
    </row>
    <row r="122" spans="1:39" s="3" customFormat="1" ht="18" customHeight="1" thickBot="1" x14ac:dyDescent="0.35">
      <c r="A122" s="149" t="s">
        <v>116</v>
      </c>
      <c r="B122" s="290" t="s">
        <v>507</v>
      </c>
      <c r="C122" s="296">
        <v>1306708</v>
      </c>
      <c r="D122" s="291"/>
      <c r="E122" s="187">
        <f t="shared" si="3"/>
        <v>1306708</v>
      </c>
      <c r="F122" s="187">
        <f t="shared" si="4"/>
        <v>1306707.9999999998</v>
      </c>
      <c r="G122" s="187">
        <f t="shared" si="5"/>
        <v>0</v>
      </c>
      <c r="H122" s="190"/>
      <c r="I122" s="190"/>
      <c r="J122" s="190"/>
      <c r="K122" s="190"/>
      <c r="L122" s="190"/>
      <c r="M122" s="190">
        <v>37052.17</v>
      </c>
      <c r="N122" s="190">
        <v>78230.84</v>
      </c>
      <c r="O122" s="190">
        <f>79608.15+4659.47</f>
        <v>84267.62</v>
      </c>
      <c r="P122" s="190">
        <v>70539.350000000006</v>
      </c>
      <c r="Q122" s="190">
        <v>131167.10999999999</v>
      </c>
      <c r="R122" s="190">
        <v>126210.95</v>
      </c>
      <c r="S122" s="190">
        <v>113395.65</v>
      </c>
      <c r="T122" s="190">
        <v>343124.21</v>
      </c>
      <c r="U122" s="190"/>
      <c r="V122" s="190">
        <v>18229.2</v>
      </c>
      <c r="W122" s="190">
        <v>230613.45</v>
      </c>
      <c r="X122" s="190">
        <v>73877.45</v>
      </c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1"/>
      <c r="AJ122" s="191"/>
      <c r="AK122" s="191"/>
      <c r="AL122" s="191"/>
      <c r="AM122" s="191"/>
    </row>
    <row r="123" spans="1:39" s="3" customFormat="1" ht="18" customHeight="1" thickBot="1" x14ac:dyDescent="0.35">
      <c r="A123" s="149" t="s">
        <v>117</v>
      </c>
      <c r="B123" s="290" t="s">
        <v>593</v>
      </c>
      <c r="C123" s="296">
        <v>78936</v>
      </c>
      <c r="D123" s="291"/>
      <c r="E123" s="187">
        <f t="shared" si="3"/>
        <v>78936</v>
      </c>
      <c r="F123" s="187">
        <f t="shared" si="4"/>
        <v>78936</v>
      </c>
      <c r="G123" s="187">
        <f t="shared" si="5"/>
        <v>0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>
        <v>44198.71</v>
      </c>
      <c r="S123" s="190">
        <v>34737.29</v>
      </c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1"/>
      <c r="AJ123" s="191"/>
      <c r="AK123" s="191"/>
      <c r="AL123" s="191"/>
      <c r="AM123" s="191"/>
    </row>
    <row r="124" spans="1:39" s="3" customFormat="1" ht="18" customHeight="1" thickBot="1" x14ac:dyDescent="0.35">
      <c r="A124" s="149" t="s">
        <v>118</v>
      </c>
      <c r="B124" s="290" t="s">
        <v>510</v>
      </c>
      <c r="C124" s="296">
        <v>120259</v>
      </c>
      <c r="D124" s="291"/>
      <c r="E124" s="187">
        <f t="shared" si="3"/>
        <v>120259</v>
      </c>
      <c r="F124" s="187">
        <f t="shared" si="4"/>
        <v>120259</v>
      </c>
      <c r="G124" s="187">
        <f t="shared" si="5"/>
        <v>0</v>
      </c>
      <c r="H124" s="190"/>
      <c r="I124" s="190"/>
      <c r="J124" s="190"/>
      <c r="K124" s="190"/>
      <c r="L124" s="190"/>
      <c r="M124" s="190">
        <v>9729.42</v>
      </c>
      <c r="N124" s="190">
        <v>29207.58</v>
      </c>
      <c r="O124" s="190">
        <v>9733.42</v>
      </c>
      <c r="P124" s="190">
        <v>9733.42</v>
      </c>
      <c r="Q124" s="190">
        <v>27094.55</v>
      </c>
      <c r="R124" s="190">
        <v>21169.24</v>
      </c>
      <c r="S124" s="190">
        <v>13587.37</v>
      </c>
      <c r="T124" s="190"/>
      <c r="U124" s="190"/>
      <c r="V124" s="190"/>
      <c r="W124" s="190"/>
      <c r="X124" s="190"/>
      <c r="Y124" s="190"/>
      <c r="Z124" s="190"/>
      <c r="AA124" s="190">
        <v>4</v>
      </c>
      <c r="AB124" s="190"/>
      <c r="AC124" s="190"/>
      <c r="AD124" s="190"/>
      <c r="AE124" s="190"/>
      <c r="AF124" s="190"/>
      <c r="AG124" s="190"/>
      <c r="AH124" s="190"/>
      <c r="AI124" s="191"/>
      <c r="AJ124" s="191"/>
      <c r="AK124" s="191"/>
      <c r="AL124" s="191"/>
      <c r="AM124" s="191"/>
    </row>
    <row r="125" spans="1:39" s="3" customFormat="1" ht="18" customHeight="1" thickBot="1" x14ac:dyDescent="0.35">
      <c r="A125" s="149" t="s">
        <v>119</v>
      </c>
      <c r="B125" s="290" t="s">
        <v>511</v>
      </c>
      <c r="C125" s="296">
        <v>1235539</v>
      </c>
      <c r="D125" s="291"/>
      <c r="E125" s="187">
        <f t="shared" si="3"/>
        <v>1235539</v>
      </c>
      <c r="F125" s="187">
        <f t="shared" si="4"/>
        <v>1235538.9999999998</v>
      </c>
      <c r="G125" s="187">
        <f t="shared" si="5"/>
        <v>0</v>
      </c>
      <c r="H125" s="190"/>
      <c r="I125" s="190"/>
      <c r="J125" s="190"/>
      <c r="K125" s="190"/>
      <c r="L125" s="190">
        <v>48619.59</v>
      </c>
      <c r="M125" s="190"/>
      <c r="N125" s="190">
        <v>311111.05</v>
      </c>
      <c r="O125" s="190"/>
      <c r="P125" s="190">
        <v>111660.69</v>
      </c>
      <c r="Q125" s="190">
        <v>96953.55</v>
      </c>
      <c r="R125" s="190">
        <v>200172.58</v>
      </c>
      <c r="S125" s="190">
        <v>105405.37</v>
      </c>
      <c r="T125" s="190">
        <v>100236.83</v>
      </c>
      <c r="U125" s="190"/>
      <c r="V125" s="190"/>
      <c r="W125" s="190">
        <v>190656.42</v>
      </c>
      <c r="X125" s="190">
        <v>70722.92</v>
      </c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1"/>
      <c r="AJ125" s="191"/>
      <c r="AK125" s="191"/>
      <c r="AL125" s="191"/>
      <c r="AM125" s="191"/>
    </row>
    <row r="126" spans="1:39" s="3" customFormat="1" ht="18" customHeight="1" thickBot="1" x14ac:dyDescent="0.35">
      <c r="A126" s="149" t="s">
        <v>120</v>
      </c>
      <c r="B126" s="290" t="s">
        <v>513</v>
      </c>
      <c r="C126" s="296">
        <v>56771</v>
      </c>
      <c r="D126" s="291"/>
      <c r="E126" s="187">
        <f t="shared" si="3"/>
        <v>56771</v>
      </c>
      <c r="F126" s="187">
        <f t="shared" si="4"/>
        <v>56771</v>
      </c>
      <c r="G126" s="187">
        <f t="shared" si="5"/>
        <v>0</v>
      </c>
      <c r="H126" s="190"/>
      <c r="I126" s="190"/>
      <c r="J126" s="190"/>
      <c r="K126" s="190"/>
      <c r="L126" s="190"/>
      <c r="M126" s="190"/>
      <c r="N126" s="190"/>
      <c r="O126" s="190"/>
      <c r="P126" s="190"/>
      <c r="Q126" s="190">
        <v>26622.14</v>
      </c>
      <c r="R126" s="190"/>
      <c r="S126" s="190">
        <v>11491.36</v>
      </c>
      <c r="T126" s="190"/>
      <c r="U126" s="190"/>
      <c r="V126" s="190">
        <v>7633.64</v>
      </c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>
        <v>11023.86</v>
      </c>
      <c r="AG126" s="190"/>
      <c r="AH126" s="190"/>
      <c r="AI126" s="191"/>
      <c r="AJ126" s="191"/>
      <c r="AK126" s="191"/>
      <c r="AL126" s="191"/>
      <c r="AM126" s="191"/>
    </row>
    <row r="127" spans="1:39" s="3" customFormat="1" ht="18" customHeight="1" thickBot="1" x14ac:dyDescent="0.35">
      <c r="A127" s="149" t="s">
        <v>121</v>
      </c>
      <c r="B127" s="290" t="s">
        <v>514</v>
      </c>
      <c r="C127" s="296">
        <v>215264</v>
      </c>
      <c r="D127" s="291">
        <v>9035</v>
      </c>
      <c r="E127" s="281">
        <v>0</v>
      </c>
      <c r="F127" s="187">
        <f t="shared" si="4"/>
        <v>0</v>
      </c>
      <c r="G127" s="187">
        <f t="shared" si="5"/>
        <v>0</v>
      </c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1"/>
      <c r="AJ127" s="191"/>
      <c r="AK127" s="191"/>
      <c r="AL127" s="191"/>
      <c r="AM127" s="191"/>
    </row>
    <row r="128" spans="1:39" s="3" customFormat="1" ht="18" customHeight="1" thickBot="1" x14ac:dyDescent="0.35">
      <c r="A128" s="149" t="s">
        <v>122</v>
      </c>
      <c r="B128" s="290" t="s">
        <v>516</v>
      </c>
      <c r="C128" s="296">
        <v>493502</v>
      </c>
      <c r="D128" s="291"/>
      <c r="E128" s="187">
        <f t="shared" si="3"/>
        <v>493502</v>
      </c>
      <c r="F128" s="187">
        <f t="shared" si="4"/>
        <v>493502</v>
      </c>
      <c r="G128" s="187">
        <f t="shared" si="5"/>
        <v>0</v>
      </c>
      <c r="H128" s="190"/>
      <c r="I128" s="190"/>
      <c r="J128" s="190"/>
      <c r="K128" s="190"/>
      <c r="L128" s="190">
        <v>19731.830000000002</v>
      </c>
      <c r="M128" s="190">
        <v>50275.54</v>
      </c>
      <c r="N128" s="190">
        <v>42196.77</v>
      </c>
      <c r="O128" s="190">
        <v>35390.04</v>
      </c>
      <c r="P128" s="190">
        <v>47723.65</v>
      </c>
      <c r="Q128" s="190">
        <v>39738.080000000002</v>
      </c>
      <c r="R128" s="190">
        <v>38870.39</v>
      </c>
      <c r="S128" s="190">
        <v>43917.19</v>
      </c>
      <c r="T128" s="190"/>
      <c r="U128" s="190">
        <f>26213.59+35715.3</f>
        <v>61928.89</v>
      </c>
      <c r="V128" s="190">
        <v>21663.67</v>
      </c>
      <c r="W128" s="190"/>
      <c r="X128" s="190">
        <f>19027.88+34536.89+38501.18</f>
        <v>92065.950000000012</v>
      </c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1"/>
      <c r="AJ128" s="191"/>
      <c r="AK128" s="191"/>
      <c r="AL128" s="191"/>
      <c r="AM128" s="191"/>
    </row>
    <row r="129" spans="1:39" s="3" customFormat="1" ht="18" customHeight="1" thickBot="1" x14ac:dyDescent="0.35">
      <c r="A129" s="149" t="s">
        <v>123</v>
      </c>
      <c r="B129" s="290" t="s">
        <v>517</v>
      </c>
      <c r="C129" s="296">
        <v>33345</v>
      </c>
      <c r="D129" s="291">
        <v>9035</v>
      </c>
      <c r="E129" s="281">
        <v>0</v>
      </c>
      <c r="F129" s="187">
        <f t="shared" si="4"/>
        <v>0</v>
      </c>
      <c r="G129" s="187">
        <f t="shared" si="5"/>
        <v>0</v>
      </c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1"/>
      <c r="AJ129" s="191"/>
      <c r="AK129" s="191"/>
      <c r="AL129" s="191"/>
      <c r="AM129" s="191"/>
    </row>
    <row r="130" spans="1:39" s="3" customFormat="1" ht="18" customHeight="1" thickBot="1" x14ac:dyDescent="0.35">
      <c r="A130" s="149" t="s">
        <v>124</v>
      </c>
      <c r="B130" s="290" t="s">
        <v>518</v>
      </c>
      <c r="C130" s="296">
        <v>107727</v>
      </c>
      <c r="D130" s="291">
        <v>9035</v>
      </c>
      <c r="E130" s="281">
        <v>0</v>
      </c>
      <c r="F130" s="187">
        <f t="shared" si="4"/>
        <v>0</v>
      </c>
      <c r="G130" s="187">
        <f t="shared" si="5"/>
        <v>0</v>
      </c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1"/>
      <c r="AJ130" s="191"/>
      <c r="AK130" s="191"/>
      <c r="AL130" s="191"/>
      <c r="AM130" s="191"/>
    </row>
    <row r="131" spans="1:39" s="3" customFormat="1" ht="18" customHeight="1" thickBot="1" x14ac:dyDescent="0.35">
      <c r="A131" s="149" t="s">
        <v>125</v>
      </c>
      <c r="B131" s="290" t="s">
        <v>303</v>
      </c>
      <c r="C131" s="296">
        <v>599884</v>
      </c>
      <c r="D131" s="291"/>
      <c r="E131" s="187">
        <f t="shared" si="3"/>
        <v>599884</v>
      </c>
      <c r="F131" s="187">
        <f t="shared" si="4"/>
        <v>599884</v>
      </c>
      <c r="G131" s="187">
        <f t="shared" si="5"/>
        <v>0</v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>
        <v>234847.49</v>
      </c>
      <c r="S131" s="190">
        <v>97236.21</v>
      </c>
      <c r="T131" s="190"/>
      <c r="U131" s="190"/>
      <c r="V131" s="190"/>
      <c r="W131" s="190"/>
      <c r="X131" s="190"/>
      <c r="Y131" s="190"/>
      <c r="Z131" s="190"/>
      <c r="AA131" s="190"/>
      <c r="AB131" s="190">
        <v>267800.3</v>
      </c>
      <c r="AC131" s="190"/>
      <c r="AD131" s="190"/>
      <c r="AE131" s="190"/>
      <c r="AF131" s="190"/>
      <c r="AG131" s="190"/>
      <c r="AH131" s="190"/>
      <c r="AI131" s="191"/>
      <c r="AJ131" s="191"/>
      <c r="AK131" s="191"/>
      <c r="AL131" s="191"/>
      <c r="AM131" s="191"/>
    </row>
    <row r="132" spans="1:39" s="3" customFormat="1" ht="18" customHeight="1" thickBot="1" x14ac:dyDescent="0.35">
      <c r="A132" s="149" t="s">
        <v>126</v>
      </c>
      <c r="B132" s="290" t="s">
        <v>304</v>
      </c>
      <c r="C132" s="296">
        <v>356315</v>
      </c>
      <c r="D132" s="291"/>
      <c r="E132" s="187">
        <f t="shared" si="3"/>
        <v>356315</v>
      </c>
      <c r="F132" s="187">
        <f t="shared" si="4"/>
        <v>356315</v>
      </c>
      <c r="G132" s="187">
        <f t="shared" si="5"/>
        <v>0</v>
      </c>
      <c r="H132" s="190"/>
      <c r="I132" s="190"/>
      <c r="J132" s="190"/>
      <c r="K132" s="190"/>
      <c r="L132" s="190"/>
      <c r="M132" s="190"/>
      <c r="N132" s="190"/>
      <c r="O132" s="190"/>
      <c r="P132" s="190"/>
      <c r="Q132" s="190">
        <v>48845</v>
      </c>
      <c r="R132" s="190"/>
      <c r="S132" s="190">
        <v>175659</v>
      </c>
      <c r="T132" s="190"/>
      <c r="U132" s="190"/>
      <c r="V132" s="190"/>
      <c r="W132" s="190"/>
      <c r="X132" s="190"/>
      <c r="Y132" s="190"/>
      <c r="Z132" s="190"/>
      <c r="AA132" s="190"/>
      <c r="AB132" s="190">
        <v>131811</v>
      </c>
      <c r="AC132" s="190"/>
      <c r="AD132" s="190"/>
      <c r="AE132" s="190"/>
      <c r="AF132" s="190"/>
      <c r="AG132" s="190"/>
      <c r="AH132" s="190"/>
      <c r="AI132" s="191"/>
      <c r="AJ132" s="191"/>
      <c r="AK132" s="191"/>
      <c r="AL132" s="191"/>
      <c r="AM132" s="191"/>
    </row>
    <row r="133" spans="1:39" s="3" customFormat="1" ht="18" customHeight="1" thickBot="1" x14ac:dyDescent="0.35">
      <c r="A133" s="149" t="s">
        <v>127</v>
      </c>
      <c r="B133" s="290" t="s">
        <v>305</v>
      </c>
      <c r="C133" s="296">
        <v>70724</v>
      </c>
      <c r="D133" s="291"/>
      <c r="E133" s="187">
        <f t="shared" si="3"/>
        <v>70724</v>
      </c>
      <c r="F133" s="187">
        <f t="shared" si="4"/>
        <v>70724</v>
      </c>
      <c r="G133" s="187">
        <f t="shared" si="5"/>
        <v>0</v>
      </c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>
        <v>70724</v>
      </c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1"/>
      <c r="AJ133" s="191"/>
      <c r="AK133" s="191"/>
      <c r="AL133" s="191"/>
      <c r="AM133" s="191"/>
    </row>
    <row r="134" spans="1:39" s="3" customFormat="1" ht="18" customHeight="1" thickBot="1" x14ac:dyDescent="0.35">
      <c r="A134" s="149" t="s">
        <v>128</v>
      </c>
      <c r="B134" s="290" t="s">
        <v>306</v>
      </c>
      <c r="C134" s="296">
        <v>94651</v>
      </c>
      <c r="D134" s="291"/>
      <c r="E134" s="187">
        <f t="shared" si="3"/>
        <v>94651</v>
      </c>
      <c r="F134" s="187">
        <f t="shared" si="4"/>
        <v>94651</v>
      </c>
      <c r="G134" s="187">
        <f t="shared" si="5"/>
        <v>0</v>
      </c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>
        <v>93896</v>
      </c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>
        <v>755</v>
      </c>
      <c r="AF134" s="190"/>
      <c r="AG134" s="190"/>
      <c r="AH134" s="190"/>
      <c r="AI134" s="191"/>
      <c r="AJ134" s="191"/>
      <c r="AK134" s="191"/>
      <c r="AL134" s="191"/>
      <c r="AM134" s="191"/>
    </row>
    <row r="135" spans="1:39" s="3" customFormat="1" ht="18" customHeight="1" thickBot="1" x14ac:dyDescent="0.35">
      <c r="A135" s="149" t="s">
        <v>129</v>
      </c>
      <c r="B135" s="290" t="s">
        <v>307</v>
      </c>
      <c r="C135" s="296">
        <v>25658</v>
      </c>
      <c r="D135" s="291"/>
      <c r="E135" s="187">
        <f t="shared" si="3"/>
        <v>25658</v>
      </c>
      <c r="F135" s="187">
        <f t="shared" si="4"/>
        <v>25658</v>
      </c>
      <c r="G135" s="187">
        <f t="shared" si="5"/>
        <v>0</v>
      </c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>
        <v>25658</v>
      </c>
      <c r="AE135" s="190"/>
      <c r="AF135" s="190"/>
      <c r="AG135" s="190"/>
      <c r="AH135" s="190"/>
      <c r="AI135" s="191"/>
      <c r="AJ135" s="191"/>
      <c r="AK135" s="191"/>
      <c r="AL135" s="191"/>
      <c r="AM135" s="191"/>
    </row>
    <row r="136" spans="1:39" s="3" customFormat="1" ht="18" customHeight="1" thickBot="1" x14ac:dyDescent="0.35">
      <c r="A136" s="149" t="s">
        <v>130</v>
      </c>
      <c r="B136" s="290" t="s">
        <v>308</v>
      </c>
      <c r="C136" s="296">
        <v>66901</v>
      </c>
      <c r="D136" s="291"/>
      <c r="E136" s="187">
        <f t="shared" si="3"/>
        <v>66901</v>
      </c>
      <c r="F136" s="187">
        <f t="shared" si="4"/>
        <v>66901</v>
      </c>
      <c r="G136" s="187">
        <f t="shared" si="5"/>
        <v>0</v>
      </c>
      <c r="H136" s="190"/>
      <c r="I136" s="190"/>
      <c r="J136" s="190"/>
      <c r="K136" s="190">
        <v>6690</v>
      </c>
      <c r="L136" s="190">
        <v>6690</v>
      </c>
      <c r="M136" s="190">
        <v>6690</v>
      </c>
      <c r="N136" s="190"/>
      <c r="O136" s="190">
        <v>6690</v>
      </c>
      <c r="P136" s="190">
        <v>6690</v>
      </c>
      <c r="Q136" s="190">
        <v>6690</v>
      </c>
      <c r="R136" s="190">
        <v>13380</v>
      </c>
      <c r="S136" s="190">
        <f>6690*2</f>
        <v>13380</v>
      </c>
      <c r="T136" s="190"/>
      <c r="U136" s="190"/>
      <c r="V136" s="190"/>
      <c r="W136" s="190">
        <v>1</v>
      </c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1"/>
      <c r="AJ136" s="191"/>
      <c r="AK136" s="191"/>
      <c r="AL136" s="191"/>
      <c r="AM136" s="191"/>
    </row>
    <row r="137" spans="1:39" s="3" customFormat="1" ht="18" customHeight="1" thickBot="1" x14ac:dyDescent="0.35">
      <c r="A137" s="149" t="s">
        <v>131</v>
      </c>
      <c r="B137" s="290" t="s">
        <v>309</v>
      </c>
      <c r="C137" s="296">
        <v>19203</v>
      </c>
      <c r="D137" s="291"/>
      <c r="E137" s="187">
        <f t="shared" si="3"/>
        <v>19203</v>
      </c>
      <c r="F137" s="187">
        <f t="shared" si="4"/>
        <v>17545.400000000001</v>
      </c>
      <c r="G137" s="187">
        <f t="shared" si="5"/>
        <v>1657.5999999999985</v>
      </c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>
        <v>6277.05</v>
      </c>
      <c r="AD137" s="190"/>
      <c r="AE137" s="190"/>
      <c r="AF137" s="190">
        <v>11268.35</v>
      </c>
      <c r="AG137" s="190"/>
      <c r="AH137" s="190"/>
      <c r="AI137" s="191"/>
      <c r="AJ137" s="191"/>
      <c r="AK137" s="191"/>
      <c r="AL137" s="191"/>
      <c r="AM137" s="191"/>
    </row>
    <row r="138" spans="1:39" s="3" customFormat="1" ht="18" customHeight="1" thickBot="1" x14ac:dyDescent="0.35">
      <c r="A138" s="149" t="s">
        <v>132</v>
      </c>
      <c r="B138" s="290" t="s">
        <v>310</v>
      </c>
      <c r="C138" s="296">
        <v>33836</v>
      </c>
      <c r="D138" s="291"/>
      <c r="E138" s="187">
        <f t="shared" si="3"/>
        <v>33836</v>
      </c>
      <c r="F138" s="187">
        <f t="shared" si="4"/>
        <v>33836</v>
      </c>
      <c r="G138" s="187">
        <f t="shared" si="5"/>
        <v>0</v>
      </c>
      <c r="H138" s="190"/>
      <c r="I138" s="190"/>
      <c r="J138" s="190"/>
      <c r="K138" s="190"/>
      <c r="L138" s="190"/>
      <c r="M138" s="190"/>
      <c r="N138" s="190"/>
      <c r="O138" s="190">
        <v>30876</v>
      </c>
      <c r="P138" s="190"/>
      <c r="Q138" s="190">
        <v>2836</v>
      </c>
      <c r="R138" s="190">
        <v>124</v>
      </c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1"/>
      <c r="AJ138" s="191"/>
      <c r="AK138" s="191"/>
      <c r="AL138" s="191"/>
      <c r="AM138" s="191"/>
    </row>
    <row r="139" spans="1:39" s="3" customFormat="1" ht="18" customHeight="1" thickBot="1" x14ac:dyDescent="0.35">
      <c r="A139" s="149" t="s">
        <v>133</v>
      </c>
      <c r="B139" s="290" t="s">
        <v>311</v>
      </c>
      <c r="C139" s="296">
        <v>116631</v>
      </c>
      <c r="D139" s="291"/>
      <c r="E139" s="187">
        <f t="shared" si="3"/>
        <v>116631</v>
      </c>
      <c r="F139" s="187">
        <f t="shared" si="4"/>
        <v>116631</v>
      </c>
      <c r="G139" s="187">
        <f t="shared" si="5"/>
        <v>0</v>
      </c>
      <c r="H139" s="190"/>
      <c r="I139" s="190"/>
      <c r="J139" s="190"/>
      <c r="K139" s="190"/>
      <c r="L139" s="190"/>
      <c r="M139" s="190"/>
      <c r="N139" s="190">
        <v>26203.39</v>
      </c>
      <c r="O139" s="190"/>
      <c r="P139" s="190"/>
      <c r="Q139" s="190"/>
      <c r="R139" s="190"/>
      <c r="S139" s="190">
        <v>51173.599999999999</v>
      </c>
      <c r="T139" s="190"/>
      <c r="U139" s="190"/>
      <c r="V139" s="190"/>
      <c r="W139" s="190"/>
      <c r="X139" s="190">
        <v>39254.01</v>
      </c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1"/>
      <c r="AJ139" s="191"/>
      <c r="AK139" s="191"/>
      <c r="AL139" s="191"/>
      <c r="AM139" s="191"/>
    </row>
    <row r="140" spans="1:39" s="3" customFormat="1" ht="18" customHeight="1" thickBot="1" x14ac:dyDescent="0.35">
      <c r="A140" s="149" t="s">
        <v>134</v>
      </c>
      <c r="B140" s="290" t="s">
        <v>522</v>
      </c>
      <c r="C140" s="296">
        <v>108674</v>
      </c>
      <c r="D140" s="291"/>
      <c r="E140" s="187">
        <f t="shared" si="3"/>
        <v>108674</v>
      </c>
      <c r="F140" s="187">
        <f t="shared" si="4"/>
        <v>108674</v>
      </c>
      <c r="G140" s="187">
        <f t="shared" si="5"/>
        <v>0</v>
      </c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>
        <v>108647</v>
      </c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>
        <v>27</v>
      </c>
      <c r="AG140" s="190"/>
      <c r="AH140" s="190"/>
      <c r="AI140" s="191"/>
      <c r="AJ140" s="191"/>
      <c r="AK140" s="191"/>
      <c r="AL140" s="191"/>
      <c r="AM140" s="191"/>
    </row>
    <row r="141" spans="1:39" s="3" customFormat="1" ht="18" customHeight="1" thickBot="1" x14ac:dyDescent="0.35">
      <c r="A141" s="149" t="s">
        <v>135</v>
      </c>
      <c r="B141" s="290" t="s">
        <v>523</v>
      </c>
      <c r="C141" s="296">
        <v>86197</v>
      </c>
      <c r="D141" s="291"/>
      <c r="E141" s="187">
        <f t="shared" ref="E141:E191" si="6">C141</f>
        <v>86197</v>
      </c>
      <c r="F141" s="187">
        <f t="shared" si="4"/>
        <v>86197</v>
      </c>
      <c r="G141" s="187">
        <f t="shared" si="5"/>
        <v>0</v>
      </c>
      <c r="H141" s="190"/>
      <c r="I141" s="190"/>
      <c r="J141" s="190"/>
      <c r="K141" s="190"/>
      <c r="L141" s="190"/>
      <c r="M141" s="190"/>
      <c r="N141" s="190">
        <v>33979</v>
      </c>
      <c r="O141" s="190"/>
      <c r="P141" s="190"/>
      <c r="Q141" s="190"/>
      <c r="R141" s="190">
        <v>49599</v>
      </c>
      <c r="S141" s="190"/>
      <c r="T141" s="190"/>
      <c r="U141" s="190"/>
      <c r="V141" s="190"/>
      <c r="W141" s="190"/>
      <c r="X141" s="190"/>
      <c r="Y141" s="190"/>
      <c r="Z141" s="190"/>
      <c r="AA141" s="190">
        <v>2619</v>
      </c>
      <c r="AB141" s="190"/>
      <c r="AC141" s="190"/>
      <c r="AD141" s="190"/>
      <c r="AE141" s="190"/>
      <c r="AF141" s="190"/>
      <c r="AG141" s="190"/>
      <c r="AH141" s="190"/>
      <c r="AI141" s="191"/>
      <c r="AJ141" s="191"/>
      <c r="AK141" s="191"/>
      <c r="AL141" s="191"/>
      <c r="AM141" s="191"/>
    </row>
    <row r="142" spans="1:39" s="3" customFormat="1" ht="18" customHeight="1" thickBot="1" x14ac:dyDescent="0.35">
      <c r="A142" s="149" t="s">
        <v>136</v>
      </c>
      <c r="B142" s="290" t="s">
        <v>525</v>
      </c>
      <c r="C142" s="296">
        <v>44890</v>
      </c>
      <c r="D142" s="291">
        <v>9040</v>
      </c>
      <c r="E142" s="281">
        <v>0</v>
      </c>
      <c r="F142" s="187">
        <f t="shared" ref="F142:F194" si="7">SUM(H142:AK142)</f>
        <v>0</v>
      </c>
      <c r="G142" s="187">
        <f t="shared" ref="G142:G194" si="8">E142-(F142+AL142+AM142)</f>
        <v>0</v>
      </c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1"/>
      <c r="AJ142" s="191"/>
      <c r="AK142" s="191"/>
      <c r="AL142" s="191"/>
      <c r="AM142" s="191"/>
    </row>
    <row r="143" spans="1:39" s="3" customFormat="1" ht="18" customHeight="1" thickBot="1" x14ac:dyDescent="0.35">
      <c r="A143" s="149" t="s">
        <v>137</v>
      </c>
      <c r="B143" s="290" t="s">
        <v>315</v>
      </c>
      <c r="C143" s="296">
        <v>33800</v>
      </c>
      <c r="D143" s="291"/>
      <c r="E143" s="187">
        <f t="shared" si="6"/>
        <v>33800</v>
      </c>
      <c r="F143" s="187">
        <f t="shared" si="7"/>
        <v>28467.95</v>
      </c>
      <c r="G143" s="187">
        <f t="shared" si="8"/>
        <v>5332.0499999999993</v>
      </c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>
        <v>28467.95</v>
      </c>
      <c r="AI143" s="191"/>
      <c r="AJ143" s="191"/>
      <c r="AK143" s="191"/>
      <c r="AL143" s="191"/>
      <c r="AM143" s="191"/>
    </row>
    <row r="144" spans="1:39" s="3" customFormat="1" ht="18" customHeight="1" thickBot="1" x14ac:dyDescent="0.35">
      <c r="A144" s="149" t="s">
        <v>138</v>
      </c>
      <c r="B144" s="290" t="s">
        <v>527</v>
      </c>
      <c r="C144" s="296">
        <v>70799</v>
      </c>
      <c r="D144" s="291"/>
      <c r="E144" s="187">
        <f t="shared" si="6"/>
        <v>70799</v>
      </c>
      <c r="F144" s="187">
        <f t="shared" si="7"/>
        <v>70799</v>
      </c>
      <c r="G144" s="187">
        <f t="shared" si="8"/>
        <v>0</v>
      </c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>
        <v>65000</v>
      </c>
      <c r="U144" s="190"/>
      <c r="V144" s="190"/>
      <c r="W144" s="190"/>
      <c r="X144" s="190"/>
      <c r="Y144" s="190"/>
      <c r="Z144" s="190"/>
      <c r="AA144" s="190"/>
      <c r="AB144" s="190"/>
      <c r="AC144" s="190">
        <v>5799</v>
      </c>
      <c r="AD144" s="190"/>
      <c r="AE144" s="190"/>
      <c r="AF144" s="190"/>
      <c r="AG144" s="190"/>
      <c r="AH144" s="190"/>
      <c r="AI144" s="191"/>
      <c r="AJ144" s="191"/>
      <c r="AK144" s="191"/>
      <c r="AL144" s="191"/>
      <c r="AM144" s="191"/>
    </row>
    <row r="145" spans="1:39" s="3" customFormat="1" ht="18" customHeight="1" thickBot="1" x14ac:dyDescent="0.35">
      <c r="A145" s="149" t="s">
        <v>139</v>
      </c>
      <c r="B145" s="290" t="s">
        <v>529</v>
      </c>
      <c r="C145" s="296">
        <v>537484</v>
      </c>
      <c r="D145" s="291"/>
      <c r="E145" s="187">
        <f t="shared" si="6"/>
        <v>537484</v>
      </c>
      <c r="F145" s="187">
        <f t="shared" si="7"/>
        <v>537484</v>
      </c>
      <c r="G145" s="187">
        <f t="shared" si="8"/>
        <v>0</v>
      </c>
      <c r="H145" s="190"/>
      <c r="I145" s="190"/>
      <c r="J145" s="190"/>
      <c r="K145" s="190"/>
      <c r="L145" s="190">
        <v>27126</v>
      </c>
      <c r="M145" s="190">
        <f>45791*2</f>
        <v>91582</v>
      </c>
      <c r="N145" s="190"/>
      <c r="O145" s="190">
        <v>44169</v>
      </c>
      <c r="P145" s="190">
        <f>46285+45791</f>
        <v>92076</v>
      </c>
      <c r="Q145" s="190">
        <v>42797</v>
      </c>
      <c r="R145" s="190">
        <v>45373</v>
      </c>
      <c r="S145" s="190">
        <v>45453</v>
      </c>
      <c r="T145" s="190"/>
      <c r="U145" s="190">
        <v>128260</v>
      </c>
      <c r="V145" s="190"/>
      <c r="W145" s="190"/>
      <c r="X145" s="190">
        <v>20648</v>
      </c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1"/>
      <c r="AJ145" s="191"/>
      <c r="AK145" s="191"/>
      <c r="AL145" s="191"/>
      <c r="AM145" s="191"/>
    </row>
    <row r="146" spans="1:39" s="3" customFormat="1" ht="18" customHeight="1" thickBot="1" x14ac:dyDescent="0.35">
      <c r="A146" s="149" t="s">
        <v>140</v>
      </c>
      <c r="B146" s="290" t="s">
        <v>530</v>
      </c>
      <c r="C146" s="296">
        <v>85069</v>
      </c>
      <c r="D146" s="291"/>
      <c r="E146" s="187">
        <f t="shared" si="6"/>
        <v>85069</v>
      </c>
      <c r="F146" s="187">
        <f t="shared" si="7"/>
        <v>85069</v>
      </c>
      <c r="G146" s="187">
        <f t="shared" si="8"/>
        <v>0</v>
      </c>
      <c r="H146" s="190"/>
      <c r="I146" s="190"/>
      <c r="J146" s="190"/>
      <c r="K146" s="190"/>
      <c r="L146" s="190"/>
      <c r="M146" s="192"/>
      <c r="N146" s="190"/>
      <c r="O146" s="190"/>
      <c r="P146" s="190"/>
      <c r="Q146" s="190">
        <v>85060</v>
      </c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>
        <v>9</v>
      </c>
      <c r="AF146" s="190"/>
      <c r="AG146" s="190"/>
      <c r="AH146" s="190"/>
      <c r="AI146" s="191"/>
      <c r="AJ146" s="191"/>
      <c r="AK146" s="191"/>
      <c r="AL146" s="191"/>
      <c r="AM146" s="191"/>
    </row>
    <row r="147" spans="1:39" s="3" customFormat="1" ht="18" customHeight="1" thickBot="1" x14ac:dyDescent="0.35">
      <c r="A147" s="149" t="s">
        <v>141</v>
      </c>
      <c r="B147" s="290" t="s">
        <v>531</v>
      </c>
      <c r="C147" s="296">
        <v>37281</v>
      </c>
      <c r="D147" s="291"/>
      <c r="E147" s="187">
        <f t="shared" si="6"/>
        <v>37281</v>
      </c>
      <c r="F147" s="187">
        <f t="shared" si="7"/>
        <v>37281</v>
      </c>
      <c r="G147" s="187">
        <f t="shared" si="8"/>
        <v>0</v>
      </c>
      <c r="H147" s="190"/>
      <c r="I147" s="190"/>
      <c r="J147" s="190"/>
      <c r="K147" s="190"/>
      <c r="L147" s="190"/>
      <c r="M147" s="190"/>
      <c r="N147" s="190">
        <v>12936.69</v>
      </c>
      <c r="O147" s="190"/>
      <c r="P147" s="190"/>
      <c r="Q147" s="190">
        <v>9228.7999999999993</v>
      </c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>
        <v>15115.51</v>
      </c>
      <c r="AE147" s="190"/>
      <c r="AF147" s="190"/>
      <c r="AG147" s="190"/>
      <c r="AH147" s="190"/>
      <c r="AI147" s="191"/>
      <c r="AJ147" s="191"/>
      <c r="AK147" s="191"/>
      <c r="AL147" s="191"/>
      <c r="AM147" s="191"/>
    </row>
    <row r="148" spans="1:39" s="3" customFormat="1" ht="18" customHeight="1" thickBot="1" x14ac:dyDescent="0.35">
      <c r="A148" s="149" t="s">
        <v>142</v>
      </c>
      <c r="B148" s="290" t="s">
        <v>320</v>
      </c>
      <c r="C148" s="296">
        <v>5761512</v>
      </c>
      <c r="D148" s="291"/>
      <c r="E148" s="187">
        <f t="shared" si="6"/>
        <v>5761512</v>
      </c>
      <c r="F148" s="187">
        <f t="shared" si="7"/>
        <v>5761512</v>
      </c>
      <c r="G148" s="187">
        <f t="shared" si="8"/>
        <v>0</v>
      </c>
      <c r="H148" s="190"/>
      <c r="I148" s="190"/>
      <c r="J148" s="190"/>
      <c r="K148" s="190"/>
      <c r="L148" s="190">
        <v>364303.41</v>
      </c>
      <c r="M148" s="190">
        <v>372722.52</v>
      </c>
      <c r="N148" s="190">
        <v>497003.37</v>
      </c>
      <c r="O148" s="190">
        <v>495629.89</v>
      </c>
      <c r="P148" s="190">
        <v>410638.91</v>
      </c>
      <c r="Q148" s="270">
        <v>664640.73</v>
      </c>
      <c r="R148" s="190">
        <v>395525.03</v>
      </c>
      <c r="S148" s="190">
        <v>689331.38</v>
      </c>
      <c r="T148" s="190"/>
      <c r="U148" s="190"/>
      <c r="V148" s="190">
        <v>1412907.91</v>
      </c>
      <c r="W148" s="190">
        <v>40297.71</v>
      </c>
      <c r="X148" s="190">
        <v>418511.14</v>
      </c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1"/>
      <c r="AJ148" s="191"/>
      <c r="AK148" s="191"/>
      <c r="AL148" s="191"/>
      <c r="AM148" s="191"/>
    </row>
    <row r="149" spans="1:39" s="3" customFormat="1" ht="18" customHeight="1" thickBot="1" x14ac:dyDescent="0.35">
      <c r="A149" s="149" t="s">
        <v>143</v>
      </c>
      <c r="B149" s="290" t="s">
        <v>533</v>
      </c>
      <c r="C149" s="296">
        <v>1036449</v>
      </c>
      <c r="D149" s="291"/>
      <c r="E149" s="187">
        <f t="shared" si="6"/>
        <v>1036449</v>
      </c>
      <c r="F149" s="187">
        <f t="shared" si="7"/>
        <v>1036449</v>
      </c>
      <c r="G149" s="187">
        <f t="shared" si="8"/>
        <v>0</v>
      </c>
      <c r="H149" s="190"/>
      <c r="I149" s="190"/>
      <c r="J149" s="190"/>
      <c r="K149" s="190"/>
      <c r="L149" s="190"/>
      <c r="M149" s="190"/>
      <c r="N149" s="190"/>
      <c r="O149" s="190"/>
      <c r="P149" s="190"/>
      <c r="Q149" s="190">
        <f>87164.92+22069.32</f>
        <v>109234.23999999999</v>
      </c>
      <c r="R149" s="190"/>
      <c r="S149" s="190">
        <f>84580.94+147455.36</f>
        <v>232036.3</v>
      </c>
      <c r="T149" s="190"/>
      <c r="U149" s="190">
        <v>299267.52</v>
      </c>
      <c r="V149" s="190">
        <v>27156.12</v>
      </c>
      <c r="W149" s="190"/>
      <c r="X149" s="190"/>
      <c r="Y149" s="190"/>
      <c r="Z149" s="190">
        <f>353133.86+15620.96</f>
        <v>368754.82</v>
      </c>
      <c r="AA149" s="190"/>
      <c r="AB149" s="190"/>
      <c r="AC149" s="190"/>
      <c r="AD149" s="190"/>
      <c r="AE149" s="190"/>
      <c r="AF149" s="190"/>
      <c r="AG149" s="190"/>
      <c r="AH149" s="190"/>
      <c r="AI149" s="191"/>
      <c r="AJ149" s="191"/>
      <c r="AK149" s="191"/>
      <c r="AL149" s="191"/>
      <c r="AM149" s="191"/>
    </row>
    <row r="150" spans="1:39" s="3" customFormat="1" ht="18" customHeight="1" thickBot="1" x14ac:dyDescent="0.35">
      <c r="A150" s="149" t="s">
        <v>144</v>
      </c>
      <c r="B150" s="290" t="s">
        <v>322</v>
      </c>
      <c r="C150" s="296">
        <v>93965</v>
      </c>
      <c r="D150" s="291"/>
      <c r="E150" s="187">
        <f t="shared" si="6"/>
        <v>93965</v>
      </c>
      <c r="F150" s="187">
        <f t="shared" si="7"/>
        <v>93965</v>
      </c>
      <c r="G150" s="187">
        <f t="shared" si="8"/>
        <v>0</v>
      </c>
      <c r="H150" s="190"/>
      <c r="I150" s="190"/>
      <c r="J150" s="190"/>
      <c r="K150" s="190"/>
      <c r="L150" s="190">
        <v>23460</v>
      </c>
      <c r="M150" s="190"/>
      <c r="N150" s="190">
        <v>24069</v>
      </c>
      <c r="O150" s="190"/>
      <c r="P150" s="190"/>
      <c r="Q150" s="190">
        <v>24069</v>
      </c>
      <c r="R150" s="190"/>
      <c r="S150" s="190">
        <v>21758</v>
      </c>
      <c r="T150" s="190"/>
      <c r="U150" s="190"/>
      <c r="V150" s="190"/>
      <c r="W150" s="190">
        <v>609</v>
      </c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1"/>
      <c r="AJ150" s="191"/>
      <c r="AK150" s="191"/>
      <c r="AL150" s="191"/>
      <c r="AM150" s="191"/>
    </row>
    <row r="151" spans="1:39" s="3" customFormat="1" ht="18" customHeight="1" thickBot="1" x14ac:dyDescent="0.35">
      <c r="A151" s="149" t="s">
        <v>145</v>
      </c>
      <c r="B151" s="290" t="s">
        <v>536</v>
      </c>
      <c r="C151" s="296">
        <v>39070</v>
      </c>
      <c r="D151" s="291"/>
      <c r="E151" s="187">
        <f t="shared" si="6"/>
        <v>39070</v>
      </c>
      <c r="F151" s="187">
        <f t="shared" si="7"/>
        <v>39070</v>
      </c>
      <c r="G151" s="187">
        <f t="shared" si="8"/>
        <v>0</v>
      </c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>
        <v>39070</v>
      </c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1"/>
      <c r="AJ151" s="191"/>
      <c r="AK151" s="191"/>
      <c r="AL151" s="191"/>
      <c r="AM151" s="191"/>
    </row>
    <row r="152" spans="1:39" s="3" customFormat="1" ht="18" customHeight="1" thickBot="1" x14ac:dyDescent="0.35">
      <c r="A152" s="149" t="s">
        <v>146</v>
      </c>
      <c r="B152" s="290" t="s">
        <v>324</v>
      </c>
      <c r="C152" s="296">
        <v>196891</v>
      </c>
      <c r="D152" s="291"/>
      <c r="E152" s="187">
        <f t="shared" si="6"/>
        <v>196891</v>
      </c>
      <c r="F152" s="187">
        <f t="shared" si="7"/>
        <v>196891</v>
      </c>
      <c r="G152" s="187">
        <f t="shared" si="8"/>
        <v>0</v>
      </c>
      <c r="H152" s="190"/>
      <c r="I152" s="190"/>
      <c r="J152" s="190"/>
      <c r="K152" s="190"/>
      <c r="L152" s="190"/>
      <c r="M152" s="190"/>
      <c r="N152" s="190"/>
      <c r="O152" s="190"/>
      <c r="P152" s="190">
        <v>70139.27</v>
      </c>
      <c r="Q152" s="190"/>
      <c r="R152" s="190">
        <v>56719.29</v>
      </c>
      <c r="S152" s="190">
        <v>31778.91</v>
      </c>
      <c r="T152" s="190"/>
      <c r="U152" s="190"/>
      <c r="V152" s="190"/>
      <c r="W152" s="190"/>
      <c r="X152" s="190">
        <v>28222.35</v>
      </c>
      <c r="Y152" s="190"/>
      <c r="Z152" s="190"/>
      <c r="AA152" s="190"/>
      <c r="AB152" s="190">
        <v>10031.18</v>
      </c>
      <c r="AC152" s="190"/>
      <c r="AD152" s="190"/>
      <c r="AE152" s="190"/>
      <c r="AF152" s="190"/>
      <c r="AG152" s="190"/>
      <c r="AH152" s="190"/>
      <c r="AI152" s="191"/>
      <c r="AJ152" s="191"/>
      <c r="AK152" s="191"/>
      <c r="AL152" s="191"/>
      <c r="AM152" s="191"/>
    </row>
    <row r="153" spans="1:39" s="3" customFormat="1" ht="18" customHeight="1" thickBot="1" x14ac:dyDescent="0.35">
      <c r="A153" s="149" t="s">
        <v>147</v>
      </c>
      <c r="B153" s="290" t="s">
        <v>325</v>
      </c>
      <c r="C153" s="296">
        <v>357809</v>
      </c>
      <c r="D153" s="291"/>
      <c r="E153" s="187">
        <f t="shared" si="6"/>
        <v>357809</v>
      </c>
      <c r="F153" s="187">
        <f t="shared" si="7"/>
        <v>357809</v>
      </c>
      <c r="G153" s="187">
        <f t="shared" si="8"/>
        <v>0</v>
      </c>
      <c r="H153" s="190"/>
      <c r="I153" s="190"/>
      <c r="J153" s="190"/>
      <c r="K153" s="190"/>
      <c r="L153" s="190">
        <v>14438</v>
      </c>
      <c r="M153" s="190">
        <v>17885</v>
      </c>
      <c r="N153" s="190">
        <v>17694</v>
      </c>
      <c r="O153" s="190">
        <v>17886</v>
      </c>
      <c r="P153" s="190">
        <v>19924</v>
      </c>
      <c r="Q153" s="190">
        <v>17883</v>
      </c>
      <c r="R153" s="190">
        <v>19670</v>
      </c>
      <c r="S153" s="190">
        <v>19058</v>
      </c>
      <c r="T153" s="190">
        <v>153634</v>
      </c>
      <c r="U153" s="190">
        <v>29592</v>
      </c>
      <c r="V153" s="190">
        <v>29434</v>
      </c>
      <c r="W153" s="190">
        <v>711</v>
      </c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1"/>
      <c r="AJ153" s="191"/>
      <c r="AK153" s="191"/>
      <c r="AL153" s="191"/>
      <c r="AM153" s="191"/>
    </row>
    <row r="154" spans="1:39" s="3" customFormat="1" ht="18" customHeight="1" thickBot="1" x14ac:dyDescent="0.35">
      <c r="A154" s="149" t="s">
        <v>148</v>
      </c>
      <c r="B154" s="290" t="s">
        <v>538</v>
      </c>
      <c r="C154" s="296">
        <v>41274</v>
      </c>
      <c r="D154" s="291"/>
      <c r="E154" s="187">
        <f t="shared" si="6"/>
        <v>41274</v>
      </c>
      <c r="F154" s="187">
        <f t="shared" si="7"/>
        <v>41274</v>
      </c>
      <c r="G154" s="187">
        <f t="shared" si="8"/>
        <v>0</v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>
        <f>40532+742</f>
        <v>41274</v>
      </c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1"/>
      <c r="AJ154" s="191"/>
      <c r="AK154" s="191"/>
      <c r="AL154" s="191"/>
      <c r="AM154" s="191"/>
    </row>
    <row r="155" spans="1:39" s="3" customFormat="1" ht="18" customHeight="1" thickBot="1" x14ac:dyDescent="0.35">
      <c r="A155" s="149" t="s">
        <v>149</v>
      </c>
      <c r="B155" s="290" t="s">
        <v>539</v>
      </c>
      <c r="C155" s="296">
        <v>0</v>
      </c>
      <c r="D155" s="291"/>
      <c r="E155" s="281">
        <f t="shared" si="6"/>
        <v>0</v>
      </c>
      <c r="F155" s="187">
        <f t="shared" si="7"/>
        <v>0</v>
      </c>
      <c r="G155" s="187">
        <f t="shared" si="8"/>
        <v>0</v>
      </c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1"/>
      <c r="AJ155" s="191"/>
      <c r="AK155" s="191"/>
      <c r="AL155" s="191"/>
      <c r="AM155" s="191"/>
    </row>
    <row r="156" spans="1:39" s="3" customFormat="1" ht="18" customHeight="1" thickBot="1" x14ac:dyDescent="0.35">
      <c r="A156" s="149" t="s">
        <v>150</v>
      </c>
      <c r="B156" s="290" t="s">
        <v>541</v>
      </c>
      <c r="C156" s="296">
        <v>184474</v>
      </c>
      <c r="D156" s="291"/>
      <c r="E156" s="187">
        <f t="shared" si="6"/>
        <v>184474</v>
      </c>
      <c r="F156" s="187">
        <f t="shared" si="7"/>
        <v>184474</v>
      </c>
      <c r="G156" s="187">
        <f t="shared" si="8"/>
        <v>0</v>
      </c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>
        <v>184474</v>
      </c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1"/>
      <c r="AJ156" s="191"/>
      <c r="AK156" s="191"/>
      <c r="AL156" s="191"/>
      <c r="AM156" s="191"/>
    </row>
    <row r="157" spans="1:39" s="3" customFormat="1" ht="18" customHeight="1" thickBot="1" x14ac:dyDescent="0.35">
      <c r="A157" s="149" t="s">
        <v>151</v>
      </c>
      <c r="B157" s="290" t="s">
        <v>329</v>
      </c>
      <c r="C157" s="296">
        <v>105052</v>
      </c>
      <c r="D157" s="291"/>
      <c r="E157" s="187">
        <f t="shared" si="6"/>
        <v>105052</v>
      </c>
      <c r="F157" s="187">
        <f t="shared" si="7"/>
        <v>105052</v>
      </c>
      <c r="G157" s="187">
        <f t="shared" si="8"/>
        <v>0</v>
      </c>
      <c r="H157" s="190"/>
      <c r="I157" s="190"/>
      <c r="J157" s="190"/>
      <c r="K157" s="190"/>
      <c r="L157" s="190"/>
      <c r="M157" s="190"/>
      <c r="N157" s="190"/>
      <c r="O157" s="190"/>
      <c r="P157" s="190">
        <v>53861.75</v>
      </c>
      <c r="Q157" s="190"/>
      <c r="R157" s="190">
        <v>51190.25</v>
      </c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1"/>
      <c r="AJ157" s="191"/>
      <c r="AK157" s="191"/>
      <c r="AL157" s="191"/>
      <c r="AM157" s="191"/>
    </row>
    <row r="158" spans="1:39" s="3" customFormat="1" ht="18" customHeight="1" thickBot="1" x14ac:dyDescent="0.35">
      <c r="A158" s="149" t="s">
        <v>152</v>
      </c>
      <c r="B158" s="290" t="s">
        <v>330</v>
      </c>
      <c r="C158" s="296">
        <v>82193</v>
      </c>
      <c r="D158" s="291"/>
      <c r="E158" s="187">
        <f t="shared" si="6"/>
        <v>82193</v>
      </c>
      <c r="F158" s="187">
        <f t="shared" si="7"/>
        <v>82193</v>
      </c>
      <c r="G158" s="187">
        <f t="shared" si="8"/>
        <v>0</v>
      </c>
      <c r="H158" s="190"/>
      <c r="I158" s="190"/>
      <c r="J158" s="190"/>
      <c r="K158" s="190"/>
      <c r="L158" s="190"/>
      <c r="M158" s="190"/>
      <c r="N158" s="190"/>
      <c r="O158" s="190"/>
      <c r="P158" s="190"/>
      <c r="Q158" s="190">
        <v>82193</v>
      </c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1"/>
      <c r="AJ158" s="191"/>
      <c r="AK158" s="191"/>
      <c r="AL158" s="191"/>
      <c r="AM158" s="191"/>
    </row>
    <row r="159" spans="1:39" s="3" customFormat="1" ht="18" customHeight="1" thickBot="1" x14ac:dyDescent="0.35">
      <c r="A159" s="149" t="s">
        <v>153</v>
      </c>
      <c r="B159" s="290" t="s">
        <v>331</v>
      </c>
      <c r="C159" s="296">
        <v>144261</v>
      </c>
      <c r="D159" s="291"/>
      <c r="E159" s="187">
        <f t="shared" si="6"/>
        <v>144261</v>
      </c>
      <c r="F159" s="187">
        <f t="shared" si="7"/>
        <v>144260.99999999997</v>
      </c>
      <c r="G159" s="187">
        <f t="shared" si="8"/>
        <v>0</v>
      </c>
      <c r="H159" s="190"/>
      <c r="I159" s="190"/>
      <c r="J159" s="190"/>
      <c r="K159" s="190"/>
      <c r="L159" s="190">
        <v>5103.6099999999997</v>
      </c>
      <c r="M159" s="190"/>
      <c r="N159" s="190">
        <v>19711.36</v>
      </c>
      <c r="O159" s="190">
        <v>11580.63</v>
      </c>
      <c r="P159" s="190">
        <v>14953.96</v>
      </c>
      <c r="Q159" s="190">
        <v>14295.88</v>
      </c>
      <c r="R159" s="190">
        <v>16891.73</v>
      </c>
      <c r="S159" s="190">
        <v>50052.81</v>
      </c>
      <c r="T159" s="190">
        <v>3280.74</v>
      </c>
      <c r="U159" s="190"/>
      <c r="V159" s="190"/>
      <c r="W159" s="190">
        <v>8390.2800000000007</v>
      </c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1"/>
      <c r="AJ159" s="191"/>
      <c r="AK159" s="191"/>
      <c r="AL159" s="191"/>
      <c r="AM159" s="191"/>
    </row>
    <row r="160" spans="1:39" s="3" customFormat="1" ht="18" customHeight="1" thickBot="1" x14ac:dyDescent="0.35">
      <c r="A160" s="149" t="s">
        <v>154</v>
      </c>
      <c r="B160" s="290" t="s">
        <v>545</v>
      </c>
      <c r="C160" s="296">
        <v>370358</v>
      </c>
      <c r="D160" s="291"/>
      <c r="E160" s="187">
        <f t="shared" si="6"/>
        <v>370358</v>
      </c>
      <c r="F160" s="187">
        <f t="shared" si="7"/>
        <v>370358</v>
      </c>
      <c r="G160" s="187">
        <f t="shared" si="8"/>
        <v>0</v>
      </c>
      <c r="H160" s="190"/>
      <c r="I160" s="190"/>
      <c r="J160" s="190"/>
      <c r="K160" s="190"/>
      <c r="L160" s="190"/>
      <c r="M160" s="190"/>
      <c r="N160" s="190">
        <v>129269.58</v>
      </c>
      <c r="O160" s="190"/>
      <c r="P160" s="190">
        <v>64391.35</v>
      </c>
      <c r="Q160" s="190"/>
      <c r="R160" s="190"/>
      <c r="S160" s="190"/>
      <c r="T160" s="190">
        <f>91103.26+28120.99</f>
        <v>119224.25</v>
      </c>
      <c r="U160" s="190"/>
      <c r="V160" s="190">
        <v>53914.14</v>
      </c>
      <c r="W160" s="190"/>
      <c r="X160" s="190">
        <v>3558.68</v>
      </c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1"/>
      <c r="AJ160" s="191"/>
      <c r="AK160" s="191"/>
      <c r="AL160" s="191"/>
      <c r="AM160" s="191"/>
    </row>
    <row r="161" spans="1:39" s="3" customFormat="1" ht="18" customHeight="1" thickBot="1" x14ac:dyDescent="0.35">
      <c r="A161" s="149" t="s">
        <v>155</v>
      </c>
      <c r="B161" s="290" t="s">
        <v>333</v>
      </c>
      <c r="C161" s="296">
        <v>20297</v>
      </c>
      <c r="D161" s="291"/>
      <c r="E161" s="187">
        <f t="shared" si="6"/>
        <v>20297</v>
      </c>
      <c r="F161" s="187">
        <f t="shared" si="7"/>
        <v>20297</v>
      </c>
      <c r="G161" s="187">
        <f t="shared" si="8"/>
        <v>0</v>
      </c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>
        <v>16861.88</v>
      </c>
      <c r="S161" s="190"/>
      <c r="T161" s="190"/>
      <c r="U161" s="190">
        <v>3435.12</v>
      </c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1"/>
      <c r="AJ161" s="191"/>
      <c r="AK161" s="191"/>
      <c r="AL161" s="191"/>
      <c r="AM161" s="191"/>
    </row>
    <row r="162" spans="1:39" s="3" customFormat="1" ht="18" customHeight="1" thickBot="1" x14ac:dyDescent="0.35">
      <c r="A162" s="149" t="s">
        <v>156</v>
      </c>
      <c r="B162" s="290" t="s">
        <v>334</v>
      </c>
      <c r="C162" s="296">
        <v>80575</v>
      </c>
      <c r="D162" s="291"/>
      <c r="E162" s="187">
        <f t="shared" si="6"/>
        <v>80575</v>
      </c>
      <c r="F162" s="187">
        <f t="shared" si="7"/>
        <v>80575</v>
      </c>
      <c r="G162" s="187">
        <f t="shared" si="8"/>
        <v>0</v>
      </c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>
        <v>54205</v>
      </c>
      <c r="T162" s="190"/>
      <c r="U162" s="190">
        <v>26370</v>
      </c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1"/>
      <c r="AJ162" s="191"/>
      <c r="AK162" s="191"/>
      <c r="AL162" s="191"/>
      <c r="AM162" s="191"/>
    </row>
    <row r="163" spans="1:39" s="3" customFormat="1" ht="18" customHeight="1" thickBot="1" x14ac:dyDescent="0.35">
      <c r="A163" s="149" t="s">
        <v>157</v>
      </c>
      <c r="B163" s="290" t="s">
        <v>335</v>
      </c>
      <c r="C163" s="296">
        <v>44397</v>
      </c>
      <c r="D163" s="291"/>
      <c r="E163" s="187">
        <f t="shared" si="6"/>
        <v>44397</v>
      </c>
      <c r="F163" s="187">
        <f t="shared" si="7"/>
        <v>44397</v>
      </c>
      <c r="G163" s="187">
        <f t="shared" si="8"/>
        <v>0</v>
      </c>
      <c r="H163" s="190"/>
      <c r="I163" s="190"/>
      <c r="J163" s="190"/>
      <c r="K163" s="190"/>
      <c r="L163" s="190"/>
      <c r="M163" s="190"/>
      <c r="N163" s="190">
        <v>27071.599999999999</v>
      </c>
      <c r="O163" s="190"/>
      <c r="P163" s="190"/>
      <c r="Q163" s="190">
        <v>17313.7</v>
      </c>
      <c r="R163" s="190"/>
      <c r="S163" s="190"/>
      <c r="T163" s="190"/>
      <c r="U163" s="190"/>
      <c r="V163" s="190"/>
      <c r="W163" s="190"/>
      <c r="X163" s="190"/>
      <c r="Y163" s="190"/>
      <c r="Z163" s="190">
        <v>11.7</v>
      </c>
      <c r="AA163" s="190"/>
      <c r="AB163" s="190"/>
      <c r="AC163" s="190"/>
      <c r="AD163" s="190"/>
      <c r="AE163" s="190"/>
      <c r="AF163" s="190"/>
      <c r="AG163" s="190"/>
      <c r="AH163" s="190"/>
      <c r="AI163" s="191"/>
      <c r="AJ163" s="191"/>
      <c r="AK163" s="191"/>
      <c r="AL163" s="191"/>
      <c r="AM163" s="191"/>
    </row>
    <row r="164" spans="1:39" s="3" customFormat="1" ht="18" customHeight="1" thickBot="1" x14ac:dyDescent="0.35">
      <c r="A164" s="149" t="s">
        <v>158</v>
      </c>
      <c r="B164" s="290" t="s">
        <v>548</v>
      </c>
      <c r="C164" s="296">
        <v>148858</v>
      </c>
      <c r="D164" s="291">
        <v>9040</v>
      </c>
      <c r="E164" s="281">
        <v>0</v>
      </c>
      <c r="F164" s="187">
        <f t="shared" si="7"/>
        <v>0</v>
      </c>
      <c r="G164" s="187">
        <f t="shared" si="8"/>
        <v>0</v>
      </c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1"/>
      <c r="AJ164" s="191"/>
      <c r="AK164" s="191"/>
      <c r="AL164" s="191"/>
      <c r="AM164" s="191"/>
    </row>
    <row r="165" spans="1:39" s="3" customFormat="1" ht="18" customHeight="1" thickBot="1" x14ac:dyDescent="0.35">
      <c r="A165" s="149" t="s">
        <v>159</v>
      </c>
      <c r="B165" s="290" t="s">
        <v>397</v>
      </c>
      <c r="C165" s="296">
        <v>39088</v>
      </c>
      <c r="D165" s="291">
        <v>9040</v>
      </c>
      <c r="E165" s="281">
        <v>0</v>
      </c>
      <c r="F165" s="187">
        <f t="shared" si="7"/>
        <v>0</v>
      </c>
      <c r="G165" s="187">
        <f t="shared" si="8"/>
        <v>0</v>
      </c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1"/>
      <c r="AJ165" s="191"/>
      <c r="AK165" s="191"/>
      <c r="AL165" s="191"/>
      <c r="AM165" s="191"/>
    </row>
    <row r="166" spans="1:39" s="3" customFormat="1" ht="18" customHeight="1" thickBot="1" x14ac:dyDescent="0.35">
      <c r="A166" s="149" t="s">
        <v>160</v>
      </c>
      <c r="B166" s="290" t="s">
        <v>551</v>
      </c>
      <c r="C166" s="296">
        <v>224127</v>
      </c>
      <c r="D166" s="291"/>
      <c r="E166" s="187">
        <f t="shared" si="6"/>
        <v>224127</v>
      </c>
      <c r="F166" s="187">
        <f t="shared" si="7"/>
        <v>224127</v>
      </c>
      <c r="G166" s="187">
        <f t="shared" si="8"/>
        <v>0</v>
      </c>
      <c r="H166" s="190"/>
      <c r="I166" s="190"/>
      <c r="J166" s="190"/>
      <c r="K166" s="190">
        <v>21514.1</v>
      </c>
      <c r="L166" s="190"/>
      <c r="M166" s="190">
        <f>21667.05+21702.74</f>
        <v>43369.79</v>
      </c>
      <c r="N166" s="190">
        <v>21697.02</v>
      </c>
      <c r="O166" s="190">
        <v>45716.94</v>
      </c>
      <c r="P166" s="190">
        <v>26505.42</v>
      </c>
      <c r="Q166" s="190">
        <v>26505.42</v>
      </c>
      <c r="R166" s="190">
        <v>26605.95</v>
      </c>
      <c r="S166" s="190">
        <v>12212.36</v>
      </c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1"/>
      <c r="AJ166" s="191"/>
      <c r="AK166" s="191"/>
      <c r="AL166" s="191"/>
      <c r="AM166" s="191"/>
    </row>
    <row r="167" spans="1:39" s="3" customFormat="1" ht="18" customHeight="1" thickBot="1" x14ac:dyDescent="0.35">
      <c r="A167" s="149" t="s">
        <v>161</v>
      </c>
      <c r="B167" s="290" t="s">
        <v>553</v>
      </c>
      <c r="C167" s="296">
        <v>90995</v>
      </c>
      <c r="D167" s="291"/>
      <c r="E167" s="187">
        <f t="shared" si="6"/>
        <v>90995</v>
      </c>
      <c r="F167" s="187">
        <f t="shared" si="7"/>
        <v>90995</v>
      </c>
      <c r="G167" s="187">
        <f t="shared" si="8"/>
        <v>0</v>
      </c>
      <c r="H167" s="190"/>
      <c r="I167" s="190"/>
      <c r="J167" s="190"/>
      <c r="K167" s="190"/>
      <c r="L167" s="190">
        <v>6390.39</v>
      </c>
      <c r="M167" s="190"/>
      <c r="N167" s="190"/>
      <c r="O167" s="190"/>
      <c r="P167" s="190">
        <v>48680.31</v>
      </c>
      <c r="Q167" s="190"/>
      <c r="R167" s="190"/>
      <c r="S167" s="190">
        <v>28996.400000000001</v>
      </c>
      <c r="T167" s="190"/>
      <c r="U167" s="190"/>
      <c r="V167" s="190"/>
      <c r="W167" s="190"/>
      <c r="X167" s="190"/>
      <c r="Y167" s="190"/>
      <c r="Z167" s="190"/>
      <c r="AA167" s="190"/>
      <c r="AB167" s="190">
        <v>6927.9</v>
      </c>
      <c r="AC167" s="190"/>
      <c r="AD167" s="190"/>
      <c r="AE167" s="190"/>
      <c r="AF167" s="190"/>
      <c r="AG167" s="190"/>
      <c r="AH167" s="190"/>
      <c r="AI167" s="191"/>
      <c r="AJ167" s="191"/>
      <c r="AK167" s="191"/>
      <c r="AL167" s="191"/>
      <c r="AM167" s="191"/>
    </row>
    <row r="168" spans="1:39" s="3" customFormat="1" ht="18" customHeight="1" thickBot="1" x14ac:dyDescent="0.35">
      <c r="A168" s="149" t="s">
        <v>162</v>
      </c>
      <c r="B168" s="290" t="s">
        <v>555</v>
      </c>
      <c r="C168" s="296">
        <v>267834</v>
      </c>
      <c r="D168" s="291"/>
      <c r="E168" s="187">
        <f t="shared" si="6"/>
        <v>267834</v>
      </c>
      <c r="F168" s="187">
        <f t="shared" si="7"/>
        <v>267834</v>
      </c>
      <c r="G168" s="187">
        <f t="shared" si="8"/>
        <v>0</v>
      </c>
      <c r="H168" s="190"/>
      <c r="I168" s="190"/>
      <c r="J168" s="190"/>
      <c r="K168" s="190"/>
      <c r="L168" s="190"/>
      <c r="M168" s="190"/>
      <c r="N168" s="270">
        <v>71514.59</v>
      </c>
      <c r="O168" s="190"/>
      <c r="P168" s="190"/>
      <c r="Q168" s="190"/>
      <c r="R168" s="190"/>
      <c r="S168" s="190">
        <v>171236.69</v>
      </c>
      <c r="T168" s="190"/>
      <c r="U168" s="190"/>
      <c r="V168" s="190"/>
      <c r="W168" s="190"/>
      <c r="X168" s="190"/>
      <c r="Y168" s="190">
        <f>23896.89+1185.83</f>
        <v>25082.720000000001</v>
      </c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1"/>
      <c r="AJ168" s="191"/>
      <c r="AK168" s="191"/>
      <c r="AL168" s="191"/>
      <c r="AM168" s="191"/>
    </row>
    <row r="169" spans="1:39" s="3" customFormat="1" ht="18" customHeight="1" thickBot="1" x14ac:dyDescent="0.35">
      <c r="A169" s="149" t="s">
        <v>163</v>
      </c>
      <c r="B169" s="290" t="s">
        <v>340</v>
      </c>
      <c r="C169" s="296">
        <v>84434</v>
      </c>
      <c r="D169" s="291"/>
      <c r="E169" s="187">
        <f t="shared" si="6"/>
        <v>84434</v>
      </c>
      <c r="F169" s="187">
        <f t="shared" si="7"/>
        <v>84434</v>
      </c>
      <c r="G169" s="187">
        <f t="shared" si="8"/>
        <v>0</v>
      </c>
      <c r="H169" s="190"/>
      <c r="I169" s="190"/>
      <c r="J169" s="190"/>
      <c r="K169" s="190"/>
      <c r="L169" s="190"/>
      <c r="M169" s="190"/>
      <c r="N169" s="190">
        <v>18687.259999999998</v>
      </c>
      <c r="O169" s="190"/>
      <c r="P169" s="190"/>
      <c r="Q169" s="190"/>
      <c r="R169" s="190"/>
      <c r="S169" s="190">
        <f>32761.23+13665.33</f>
        <v>46426.559999999998</v>
      </c>
      <c r="T169" s="190">
        <v>3801.24</v>
      </c>
      <c r="U169" s="190"/>
      <c r="V169" s="190"/>
      <c r="W169" s="190"/>
      <c r="X169" s="190"/>
      <c r="Y169" s="190"/>
      <c r="Z169" s="190">
        <v>15518.94</v>
      </c>
      <c r="AA169" s="190"/>
      <c r="AB169" s="190"/>
      <c r="AC169" s="190"/>
      <c r="AD169" s="190"/>
      <c r="AE169" s="190"/>
      <c r="AF169" s="190"/>
      <c r="AG169" s="190"/>
      <c r="AH169" s="190"/>
      <c r="AI169" s="191"/>
      <c r="AJ169" s="191"/>
      <c r="AK169" s="191"/>
      <c r="AL169" s="191"/>
      <c r="AM169" s="191"/>
    </row>
    <row r="170" spans="1:39" s="3" customFormat="1" ht="18" customHeight="1" thickBot="1" x14ac:dyDescent="0.35">
      <c r="A170" s="149" t="s">
        <v>164</v>
      </c>
      <c r="B170" s="290" t="s">
        <v>341</v>
      </c>
      <c r="C170" s="296">
        <v>18084</v>
      </c>
      <c r="D170" s="291">
        <v>9025</v>
      </c>
      <c r="E170" s="281">
        <v>0</v>
      </c>
      <c r="F170" s="187">
        <f t="shared" si="7"/>
        <v>0</v>
      </c>
      <c r="G170" s="187">
        <f t="shared" si="8"/>
        <v>0</v>
      </c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1"/>
      <c r="AJ170" s="191"/>
      <c r="AK170" s="191"/>
      <c r="AL170" s="191"/>
      <c r="AM170" s="191"/>
    </row>
    <row r="171" spans="1:39" s="3" customFormat="1" ht="18" customHeight="1" thickBot="1" x14ac:dyDescent="0.35">
      <c r="A171" s="149" t="s">
        <v>165</v>
      </c>
      <c r="B171" s="290" t="s">
        <v>342</v>
      </c>
      <c r="C171" s="296">
        <v>27366</v>
      </c>
      <c r="D171" s="291">
        <v>9040</v>
      </c>
      <c r="E171" s="281">
        <v>0</v>
      </c>
      <c r="F171" s="187">
        <f t="shared" si="7"/>
        <v>0</v>
      </c>
      <c r="G171" s="187">
        <f t="shared" si="8"/>
        <v>0</v>
      </c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1"/>
      <c r="AJ171" s="191"/>
      <c r="AK171" s="191"/>
      <c r="AL171" s="191"/>
      <c r="AM171" s="191"/>
    </row>
    <row r="172" spans="1:39" s="3" customFormat="1" ht="18" customHeight="1" thickBot="1" x14ac:dyDescent="0.35">
      <c r="A172" s="149" t="s">
        <v>166</v>
      </c>
      <c r="B172" s="290" t="s">
        <v>343</v>
      </c>
      <c r="C172" s="296">
        <v>16988</v>
      </c>
      <c r="D172" s="291">
        <v>9040</v>
      </c>
      <c r="E172" s="281">
        <v>0</v>
      </c>
      <c r="F172" s="187">
        <f t="shared" si="7"/>
        <v>0</v>
      </c>
      <c r="G172" s="187">
        <f t="shared" si="8"/>
        <v>0</v>
      </c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1"/>
      <c r="AJ172" s="191"/>
      <c r="AK172" s="191"/>
      <c r="AL172" s="191"/>
      <c r="AM172" s="191"/>
    </row>
    <row r="173" spans="1:39" s="3" customFormat="1" ht="18" customHeight="1" thickBot="1" x14ac:dyDescent="0.35">
      <c r="A173" s="149" t="s">
        <v>167</v>
      </c>
      <c r="B173" s="290" t="s">
        <v>344</v>
      </c>
      <c r="C173" s="296">
        <v>26009</v>
      </c>
      <c r="D173" s="291">
        <v>9025</v>
      </c>
      <c r="E173" s="281">
        <v>0</v>
      </c>
      <c r="F173" s="187">
        <f t="shared" si="7"/>
        <v>0</v>
      </c>
      <c r="G173" s="187">
        <f t="shared" si="8"/>
        <v>0</v>
      </c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1"/>
      <c r="AJ173" s="191"/>
      <c r="AK173" s="191"/>
      <c r="AL173" s="191"/>
      <c r="AM173" s="191"/>
    </row>
    <row r="174" spans="1:39" s="3" customFormat="1" ht="18" customHeight="1" thickBot="1" x14ac:dyDescent="0.35">
      <c r="A174" s="149" t="s">
        <v>168</v>
      </c>
      <c r="B174" s="290" t="s">
        <v>557</v>
      </c>
      <c r="C174" s="296">
        <v>286442</v>
      </c>
      <c r="D174" s="291">
        <v>9035</v>
      </c>
      <c r="E174" s="281">
        <v>0</v>
      </c>
      <c r="F174" s="187">
        <f t="shared" si="7"/>
        <v>0</v>
      </c>
      <c r="G174" s="187">
        <f t="shared" si="8"/>
        <v>0</v>
      </c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1"/>
      <c r="AJ174" s="191"/>
      <c r="AK174" s="191"/>
      <c r="AL174" s="191"/>
      <c r="AM174" s="191"/>
    </row>
    <row r="175" spans="1:39" s="3" customFormat="1" ht="18" customHeight="1" thickBot="1" x14ac:dyDescent="0.35">
      <c r="A175" s="149" t="s">
        <v>169</v>
      </c>
      <c r="B175" s="290" t="s">
        <v>559</v>
      </c>
      <c r="C175" s="296">
        <v>156014</v>
      </c>
      <c r="D175" s="291"/>
      <c r="E175" s="187">
        <f t="shared" si="6"/>
        <v>156014</v>
      </c>
      <c r="F175" s="187">
        <f t="shared" si="7"/>
        <v>156014</v>
      </c>
      <c r="G175" s="187">
        <f t="shared" si="8"/>
        <v>0</v>
      </c>
      <c r="H175" s="190"/>
      <c r="I175" s="190"/>
      <c r="J175" s="190"/>
      <c r="K175" s="190"/>
      <c r="L175" s="190"/>
      <c r="M175" s="190"/>
      <c r="N175" s="190"/>
      <c r="O175" s="190">
        <v>64423</v>
      </c>
      <c r="P175" s="190"/>
      <c r="Q175" s="190"/>
      <c r="R175" s="190"/>
      <c r="S175" s="190"/>
      <c r="T175" s="190">
        <v>83881.279999999999</v>
      </c>
      <c r="U175" s="190"/>
      <c r="V175" s="190"/>
      <c r="W175" s="190"/>
      <c r="X175" s="190"/>
      <c r="Y175" s="190"/>
      <c r="Z175" s="190"/>
      <c r="AA175" s="190">
        <v>7709.72</v>
      </c>
      <c r="AB175" s="190"/>
      <c r="AC175" s="190"/>
      <c r="AD175" s="190"/>
      <c r="AE175" s="190"/>
      <c r="AF175" s="190"/>
      <c r="AG175" s="190"/>
      <c r="AH175" s="190"/>
      <c r="AI175" s="191"/>
      <c r="AJ175" s="191"/>
      <c r="AK175" s="191"/>
      <c r="AL175" s="191"/>
      <c r="AM175" s="191"/>
    </row>
    <row r="176" spans="1:39" s="3" customFormat="1" ht="18" customHeight="1" thickBot="1" x14ac:dyDescent="0.35">
      <c r="A176" s="149" t="s">
        <v>170</v>
      </c>
      <c r="B176" s="290" t="s">
        <v>398</v>
      </c>
      <c r="C176" s="296">
        <v>538919</v>
      </c>
      <c r="D176" s="291"/>
      <c r="E176" s="187">
        <f t="shared" si="6"/>
        <v>538919</v>
      </c>
      <c r="F176" s="187">
        <f t="shared" si="7"/>
        <v>538919</v>
      </c>
      <c r="G176" s="187">
        <f t="shared" si="8"/>
        <v>0</v>
      </c>
      <c r="H176" s="190"/>
      <c r="I176" s="190"/>
      <c r="J176" s="190"/>
      <c r="K176" s="190"/>
      <c r="L176" s="190"/>
      <c r="M176" s="190"/>
      <c r="N176" s="190"/>
      <c r="O176" s="190"/>
      <c r="P176" s="190">
        <v>247505.1</v>
      </c>
      <c r="Q176" s="190"/>
      <c r="R176" s="190"/>
      <c r="S176" s="190">
        <v>158482.29999999999</v>
      </c>
      <c r="T176" s="190"/>
      <c r="U176" s="190"/>
      <c r="V176" s="190"/>
      <c r="W176" s="190"/>
      <c r="X176" s="190">
        <v>83197.89</v>
      </c>
      <c r="Y176" s="190"/>
      <c r="Z176" s="190"/>
      <c r="AA176" s="190"/>
      <c r="AB176" s="190"/>
      <c r="AC176" s="190">
        <v>49733.71</v>
      </c>
      <c r="AD176" s="190"/>
      <c r="AE176" s="190"/>
      <c r="AF176" s="190"/>
      <c r="AG176" s="190"/>
      <c r="AH176" s="190"/>
      <c r="AI176" s="191"/>
      <c r="AJ176" s="191"/>
      <c r="AK176" s="191"/>
      <c r="AL176" s="191"/>
      <c r="AM176" s="191"/>
    </row>
    <row r="177" spans="1:39" s="3" customFormat="1" ht="18" customHeight="1" thickBot="1" x14ac:dyDescent="0.35">
      <c r="A177" s="149" t="s">
        <v>171</v>
      </c>
      <c r="B177" s="290" t="s">
        <v>560</v>
      </c>
      <c r="C177" s="296">
        <v>272077</v>
      </c>
      <c r="D177" s="291"/>
      <c r="E177" s="187">
        <f t="shared" si="6"/>
        <v>272077</v>
      </c>
      <c r="F177" s="187">
        <f t="shared" si="7"/>
        <v>272077.02</v>
      </c>
      <c r="G177" s="187">
        <f t="shared" si="8"/>
        <v>-2.0000000018626451E-2</v>
      </c>
      <c r="H177" s="190"/>
      <c r="I177" s="190"/>
      <c r="J177" s="190"/>
      <c r="K177" s="190">
        <v>11961.14</v>
      </c>
      <c r="L177" s="190">
        <v>21369.54</v>
      </c>
      <c r="M177" s="190">
        <v>19071.43</v>
      </c>
      <c r="N177" s="190"/>
      <c r="O177" s="190">
        <v>37739.08</v>
      </c>
      <c r="P177" s="190">
        <v>19071.43</v>
      </c>
      <c r="Q177" s="190">
        <v>19004.13</v>
      </c>
      <c r="R177" s="190">
        <v>22491.56</v>
      </c>
      <c r="S177" s="190">
        <v>30884.06</v>
      </c>
      <c r="T177" s="190"/>
      <c r="U177" s="190"/>
      <c r="V177" s="190">
        <v>58939.39</v>
      </c>
      <c r="W177" s="190">
        <v>24391.13</v>
      </c>
      <c r="X177" s="190">
        <v>7154.13</v>
      </c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1"/>
      <c r="AJ177" s="191"/>
      <c r="AK177" s="191"/>
      <c r="AL177" s="191"/>
      <c r="AM177" s="191"/>
    </row>
    <row r="178" spans="1:39" s="3" customFormat="1" ht="18" customHeight="1" thickBot="1" x14ac:dyDescent="0.35">
      <c r="A178" s="149" t="s">
        <v>172</v>
      </c>
      <c r="B178" s="290" t="s">
        <v>561</v>
      </c>
      <c r="C178" s="296">
        <v>261049</v>
      </c>
      <c r="D178" s="291"/>
      <c r="E178" s="187">
        <f t="shared" si="6"/>
        <v>261049</v>
      </c>
      <c r="F178" s="187">
        <f t="shared" si="7"/>
        <v>261049.00000000003</v>
      </c>
      <c r="G178" s="187">
        <f t="shared" si="8"/>
        <v>0</v>
      </c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>
        <v>171119.2</v>
      </c>
      <c r="T178" s="190"/>
      <c r="U178" s="190"/>
      <c r="V178" s="190"/>
      <c r="W178" s="190"/>
      <c r="X178" s="190"/>
      <c r="Y178" s="190">
        <f>62363.37+14784.86</f>
        <v>77148.23000000001</v>
      </c>
      <c r="Z178" s="190"/>
      <c r="AA178" s="190">
        <v>12781.57</v>
      </c>
      <c r="AB178" s="190"/>
      <c r="AC178" s="190"/>
      <c r="AD178" s="190"/>
      <c r="AE178" s="190"/>
      <c r="AF178" s="190"/>
      <c r="AG178" s="190"/>
      <c r="AH178" s="190"/>
      <c r="AI178" s="191"/>
      <c r="AJ178" s="191"/>
      <c r="AK178" s="191"/>
      <c r="AL178" s="191"/>
      <c r="AM178" s="191"/>
    </row>
    <row r="179" spans="1:39" s="3" customFormat="1" ht="18" customHeight="1" thickBot="1" x14ac:dyDescent="0.35">
      <c r="A179" s="149" t="s">
        <v>173</v>
      </c>
      <c r="B179" s="290" t="s">
        <v>349</v>
      </c>
      <c r="C179" s="296">
        <v>5640031</v>
      </c>
      <c r="D179" s="291"/>
      <c r="E179" s="187">
        <f t="shared" si="6"/>
        <v>5640031</v>
      </c>
      <c r="F179" s="187">
        <f t="shared" si="7"/>
        <v>5640031</v>
      </c>
      <c r="G179" s="187">
        <f t="shared" si="8"/>
        <v>0</v>
      </c>
      <c r="H179" s="190"/>
      <c r="I179" s="190"/>
      <c r="J179" s="190"/>
      <c r="K179" s="190"/>
      <c r="L179" s="190"/>
      <c r="M179" s="190"/>
      <c r="N179" s="190">
        <v>476779.72</v>
      </c>
      <c r="O179" s="190"/>
      <c r="P179" s="190">
        <v>1084185.48</v>
      </c>
      <c r="Q179" s="190">
        <v>513254.31</v>
      </c>
      <c r="R179" s="190">
        <v>442309.35</v>
      </c>
      <c r="S179" s="223">
        <v>405072.08</v>
      </c>
      <c r="T179" s="190">
        <v>913811.5</v>
      </c>
      <c r="U179" s="190"/>
      <c r="V179" s="190"/>
      <c r="W179" s="190">
        <v>653922.52</v>
      </c>
      <c r="X179" s="190">
        <v>944383.8</v>
      </c>
      <c r="Y179" s="190">
        <v>206312.24</v>
      </c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1"/>
      <c r="AJ179" s="191"/>
      <c r="AK179" s="191"/>
      <c r="AL179" s="191"/>
      <c r="AM179" s="191"/>
    </row>
    <row r="180" spans="1:39" s="3" customFormat="1" ht="18" customHeight="1" thickBot="1" x14ac:dyDescent="0.35">
      <c r="A180" s="149" t="s">
        <v>174</v>
      </c>
      <c r="B180" s="290" t="s">
        <v>562</v>
      </c>
      <c r="C180" s="296">
        <v>205833</v>
      </c>
      <c r="D180" s="291">
        <v>9035</v>
      </c>
      <c r="E180" s="281">
        <v>0</v>
      </c>
      <c r="F180" s="187">
        <f t="shared" si="7"/>
        <v>0</v>
      </c>
      <c r="G180" s="187">
        <f t="shared" si="8"/>
        <v>0</v>
      </c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1"/>
      <c r="AJ180" s="191"/>
      <c r="AK180" s="191"/>
      <c r="AL180" s="191"/>
      <c r="AM180" s="191"/>
    </row>
    <row r="181" spans="1:39" s="3" customFormat="1" ht="18" customHeight="1" thickBot="1" x14ac:dyDescent="0.35">
      <c r="A181" s="149" t="s">
        <v>175</v>
      </c>
      <c r="B181" s="290" t="s">
        <v>563</v>
      </c>
      <c r="C181" s="296">
        <v>466006</v>
      </c>
      <c r="D181" s="291"/>
      <c r="E181" s="187">
        <f t="shared" si="6"/>
        <v>466006</v>
      </c>
      <c r="F181" s="187">
        <f t="shared" si="7"/>
        <v>466006</v>
      </c>
      <c r="G181" s="187">
        <f t="shared" si="8"/>
        <v>0</v>
      </c>
      <c r="H181" s="190"/>
      <c r="I181" s="190"/>
      <c r="J181" s="190"/>
      <c r="K181" s="190"/>
      <c r="L181" s="190"/>
      <c r="M181" s="190"/>
      <c r="N181" s="190"/>
      <c r="O181" s="190"/>
      <c r="P181" s="190">
        <v>101801.33</v>
      </c>
      <c r="Q181" s="190">
        <v>124511.06</v>
      </c>
      <c r="R181" s="190"/>
      <c r="S181" s="190">
        <v>74590.25</v>
      </c>
      <c r="T181" s="190">
        <v>112462.79</v>
      </c>
      <c r="U181" s="190"/>
      <c r="V181" s="190">
        <v>13136.19</v>
      </c>
      <c r="W181" s="190"/>
      <c r="X181" s="190">
        <v>39504.379999999997</v>
      </c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1"/>
      <c r="AJ181" s="191"/>
      <c r="AK181" s="191"/>
      <c r="AL181" s="191"/>
      <c r="AM181" s="191"/>
    </row>
    <row r="182" spans="1:39" s="3" customFormat="1" ht="18" customHeight="1" thickBot="1" x14ac:dyDescent="0.35">
      <c r="A182" s="149" t="s">
        <v>176</v>
      </c>
      <c r="B182" s="290" t="s">
        <v>564</v>
      </c>
      <c r="C182" s="296">
        <v>139841</v>
      </c>
      <c r="D182" s="291"/>
      <c r="E182" s="187">
        <f t="shared" si="6"/>
        <v>139841</v>
      </c>
      <c r="F182" s="187">
        <f t="shared" si="7"/>
        <v>139841</v>
      </c>
      <c r="G182" s="187">
        <f t="shared" si="8"/>
        <v>0</v>
      </c>
      <c r="H182" s="190"/>
      <c r="I182" s="190"/>
      <c r="J182" s="190"/>
      <c r="K182" s="190"/>
      <c r="L182" s="190"/>
      <c r="M182" s="190"/>
      <c r="N182" s="190"/>
      <c r="O182" s="190"/>
      <c r="P182" s="190">
        <v>32217.83</v>
      </c>
      <c r="Q182" s="190"/>
      <c r="R182" s="190">
        <v>25457.200000000001</v>
      </c>
      <c r="S182" s="190">
        <v>7380.14</v>
      </c>
      <c r="T182" s="190"/>
      <c r="U182" s="190"/>
      <c r="V182" s="190">
        <v>59862.1</v>
      </c>
      <c r="W182" s="190"/>
      <c r="X182" s="190"/>
      <c r="Y182" s="190"/>
      <c r="Z182" s="190"/>
      <c r="AA182" s="190"/>
      <c r="AB182" s="190">
        <v>14923.73</v>
      </c>
      <c r="AC182" s="190"/>
      <c r="AD182" s="190"/>
      <c r="AE182" s="190"/>
      <c r="AF182" s="190"/>
      <c r="AG182" s="190"/>
      <c r="AH182" s="190"/>
      <c r="AI182" s="191"/>
      <c r="AJ182" s="191"/>
      <c r="AK182" s="191"/>
      <c r="AL182" s="191"/>
      <c r="AM182" s="191"/>
    </row>
    <row r="183" spans="1:39" s="3" customFormat="1" ht="18" customHeight="1" thickBot="1" x14ac:dyDescent="0.35">
      <c r="A183" s="149" t="s">
        <v>177</v>
      </c>
      <c r="B183" s="290" t="s">
        <v>565</v>
      </c>
      <c r="C183" s="296">
        <v>26147</v>
      </c>
      <c r="D183" s="291">
        <v>9035</v>
      </c>
      <c r="E183" s="281">
        <v>0</v>
      </c>
      <c r="F183" s="187">
        <f t="shared" si="7"/>
        <v>0</v>
      </c>
      <c r="G183" s="187">
        <f t="shared" si="8"/>
        <v>0</v>
      </c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1"/>
      <c r="AJ183" s="191"/>
      <c r="AK183" s="191"/>
      <c r="AL183" s="191"/>
      <c r="AM183" s="191"/>
    </row>
    <row r="184" spans="1:39" s="3" customFormat="1" ht="18" customHeight="1" thickBot="1" x14ac:dyDescent="0.35">
      <c r="A184" s="149" t="s">
        <v>178</v>
      </c>
      <c r="B184" s="290" t="s">
        <v>354</v>
      </c>
      <c r="C184" s="296">
        <v>0</v>
      </c>
      <c r="D184" s="291" t="s">
        <v>371</v>
      </c>
      <c r="E184" s="281">
        <f t="shared" si="6"/>
        <v>0</v>
      </c>
      <c r="F184" s="187">
        <f t="shared" si="7"/>
        <v>0</v>
      </c>
      <c r="G184" s="187">
        <f t="shared" si="8"/>
        <v>0</v>
      </c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1"/>
      <c r="AJ184" s="191"/>
      <c r="AK184" s="191"/>
      <c r="AL184" s="191"/>
      <c r="AM184" s="191"/>
    </row>
    <row r="185" spans="1:39" s="3" customFormat="1" ht="18" customHeight="1" thickBot="1" x14ac:dyDescent="0.35">
      <c r="A185" s="149" t="s">
        <v>179</v>
      </c>
      <c r="B185" s="290" t="s">
        <v>567</v>
      </c>
      <c r="C185" s="296">
        <v>28305</v>
      </c>
      <c r="D185" s="291">
        <v>9035</v>
      </c>
      <c r="E185" s="281">
        <v>0</v>
      </c>
      <c r="F185" s="187">
        <f t="shared" si="7"/>
        <v>0</v>
      </c>
      <c r="G185" s="187">
        <f t="shared" si="8"/>
        <v>0</v>
      </c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1"/>
      <c r="AJ185" s="191"/>
      <c r="AK185" s="191"/>
      <c r="AL185" s="191"/>
      <c r="AM185" s="191"/>
    </row>
    <row r="186" spans="1:39" s="3" customFormat="1" ht="18" customHeight="1" thickBot="1" x14ac:dyDescent="0.35">
      <c r="A186" s="149" t="s">
        <v>180</v>
      </c>
      <c r="B186" s="290" t="s">
        <v>356</v>
      </c>
      <c r="C186" s="296">
        <v>166031</v>
      </c>
      <c r="D186" s="291"/>
      <c r="E186" s="187">
        <f t="shared" si="6"/>
        <v>166031</v>
      </c>
      <c r="F186" s="187">
        <f t="shared" si="7"/>
        <v>166030.99999999997</v>
      </c>
      <c r="G186" s="187">
        <f t="shared" si="8"/>
        <v>0</v>
      </c>
      <c r="H186" s="190"/>
      <c r="I186" s="190"/>
      <c r="J186" s="190"/>
      <c r="K186" s="190"/>
      <c r="L186" s="190"/>
      <c r="M186" s="190"/>
      <c r="N186" s="190"/>
      <c r="O186" s="190"/>
      <c r="P186" s="190">
        <v>94143.62</v>
      </c>
      <c r="Q186" s="190"/>
      <c r="R186" s="190">
        <v>44463.59</v>
      </c>
      <c r="S186" s="190">
        <v>27370.77</v>
      </c>
      <c r="T186" s="190"/>
      <c r="U186" s="190"/>
      <c r="V186" s="190"/>
      <c r="W186" s="190"/>
      <c r="X186" s="190"/>
      <c r="Y186" s="190"/>
      <c r="Z186" s="190"/>
      <c r="AA186" s="190"/>
      <c r="AB186" s="190">
        <v>53.02</v>
      </c>
      <c r="AC186" s="190"/>
      <c r="AD186" s="190"/>
      <c r="AE186" s="190"/>
      <c r="AF186" s="190"/>
      <c r="AG186" s="190"/>
      <c r="AH186" s="190"/>
      <c r="AI186" s="191"/>
      <c r="AJ186" s="191"/>
      <c r="AK186" s="191"/>
      <c r="AL186" s="191"/>
      <c r="AM186" s="191"/>
    </row>
    <row r="187" spans="1:39" s="3" customFormat="1" ht="18" customHeight="1" thickBot="1" x14ac:dyDescent="0.35">
      <c r="A187" s="149" t="s">
        <v>181</v>
      </c>
      <c r="B187" s="290" t="s">
        <v>357</v>
      </c>
      <c r="C187" s="296">
        <v>116310</v>
      </c>
      <c r="D187" s="291"/>
      <c r="E187" s="187">
        <f t="shared" si="6"/>
        <v>116310</v>
      </c>
      <c r="F187" s="187">
        <f t="shared" si="7"/>
        <v>116310</v>
      </c>
      <c r="G187" s="187">
        <f t="shared" si="8"/>
        <v>0</v>
      </c>
      <c r="H187" s="190"/>
      <c r="I187" s="190"/>
      <c r="J187" s="190"/>
      <c r="K187" s="190"/>
      <c r="L187" s="190"/>
      <c r="M187" s="190"/>
      <c r="N187" s="190"/>
      <c r="O187" s="190">
        <v>35931</v>
      </c>
      <c r="P187" s="190"/>
      <c r="Q187" s="190"/>
      <c r="R187" s="190"/>
      <c r="S187" s="190"/>
      <c r="T187" s="190">
        <v>35931</v>
      </c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>
        <v>44448</v>
      </c>
      <c r="AE187" s="190"/>
      <c r="AF187" s="190"/>
      <c r="AG187" s="190"/>
      <c r="AH187" s="190"/>
      <c r="AI187" s="191"/>
      <c r="AJ187" s="191"/>
      <c r="AK187" s="191"/>
      <c r="AL187" s="191"/>
      <c r="AM187" s="191"/>
    </row>
    <row r="188" spans="1:39" s="3" customFormat="1" ht="18" customHeight="1" thickBot="1" x14ac:dyDescent="0.35">
      <c r="A188" s="149" t="s">
        <v>182</v>
      </c>
      <c r="B188" s="290" t="s">
        <v>358</v>
      </c>
      <c r="C188" s="296">
        <v>28929</v>
      </c>
      <c r="D188" s="291">
        <v>9025</v>
      </c>
      <c r="E188" s="281">
        <v>0</v>
      </c>
      <c r="F188" s="187">
        <f t="shared" si="7"/>
        <v>0</v>
      </c>
      <c r="G188" s="187">
        <f t="shared" si="8"/>
        <v>0</v>
      </c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1"/>
      <c r="AJ188" s="191"/>
      <c r="AK188" s="191"/>
      <c r="AL188" s="191"/>
      <c r="AM188" s="191"/>
    </row>
    <row r="189" spans="1:39" s="3" customFormat="1" ht="18" customHeight="1" thickBot="1" x14ac:dyDescent="0.35">
      <c r="A189" s="149" t="s">
        <v>183</v>
      </c>
      <c r="B189" s="290" t="s">
        <v>359</v>
      </c>
      <c r="C189" s="296">
        <v>819</v>
      </c>
      <c r="D189" s="291">
        <v>9025</v>
      </c>
      <c r="E189" s="281">
        <v>0</v>
      </c>
      <c r="F189" s="187">
        <f t="shared" si="7"/>
        <v>0</v>
      </c>
      <c r="G189" s="187">
        <f t="shared" si="8"/>
        <v>0</v>
      </c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1"/>
      <c r="AJ189" s="191"/>
      <c r="AK189" s="191"/>
      <c r="AL189" s="191"/>
      <c r="AM189" s="191"/>
    </row>
    <row r="190" spans="1:39" s="3" customFormat="1" ht="18" customHeight="1" thickBot="1" x14ac:dyDescent="0.35">
      <c r="A190" s="149" t="s">
        <v>402</v>
      </c>
      <c r="B190" s="290" t="s">
        <v>571</v>
      </c>
      <c r="C190" s="297">
        <v>1909116</v>
      </c>
      <c r="D190" s="291"/>
      <c r="E190" s="187">
        <f t="shared" si="6"/>
        <v>1909116</v>
      </c>
      <c r="F190" s="187">
        <f t="shared" si="7"/>
        <v>1909116.0000000002</v>
      </c>
      <c r="G190" s="187">
        <f t="shared" si="8"/>
        <v>0</v>
      </c>
      <c r="H190" s="190"/>
      <c r="I190" s="190"/>
      <c r="J190" s="190"/>
      <c r="K190" s="190"/>
      <c r="L190" s="190"/>
      <c r="M190" s="190"/>
      <c r="N190" s="190"/>
      <c r="O190" s="190">
        <v>51576</v>
      </c>
      <c r="P190" s="223">
        <v>454885</v>
      </c>
      <c r="Q190" s="190">
        <v>453023</v>
      </c>
      <c r="R190" s="223">
        <v>320286</v>
      </c>
      <c r="S190" s="190">
        <v>138530.35</v>
      </c>
      <c r="T190" s="190">
        <v>155251.4</v>
      </c>
      <c r="U190" s="190">
        <v>97062</v>
      </c>
      <c r="V190" s="190">
        <v>167642.39000000001</v>
      </c>
      <c r="W190" s="190"/>
      <c r="X190" s="190"/>
      <c r="Y190" s="190">
        <v>70859.86</v>
      </c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1"/>
      <c r="AJ190" s="191"/>
      <c r="AK190" s="191"/>
      <c r="AL190" s="191"/>
      <c r="AM190" s="191"/>
    </row>
    <row r="191" spans="1:39" s="3" customFormat="1" ht="18" customHeight="1" thickBot="1" x14ac:dyDescent="0.35">
      <c r="A191" s="149" t="s">
        <v>362</v>
      </c>
      <c r="B191" s="290" t="s">
        <v>594</v>
      </c>
      <c r="C191" s="297">
        <v>53675</v>
      </c>
      <c r="D191" s="291"/>
      <c r="E191" s="187">
        <f t="shared" si="6"/>
        <v>53675</v>
      </c>
      <c r="F191" s="187">
        <f t="shared" si="7"/>
        <v>53675</v>
      </c>
      <c r="G191" s="187">
        <f t="shared" si="8"/>
        <v>0</v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>
        <v>42385.46</v>
      </c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>
        <v>11289.54</v>
      </c>
      <c r="AH191" s="190"/>
      <c r="AI191" s="191"/>
      <c r="AJ191" s="191"/>
      <c r="AK191" s="191"/>
      <c r="AL191" s="191"/>
      <c r="AM191" s="191"/>
    </row>
    <row r="192" spans="1:39" ht="18" customHeight="1" thickBot="1" x14ac:dyDescent="0.3">
      <c r="A192" s="149" t="s">
        <v>370</v>
      </c>
      <c r="B192" s="290" t="s">
        <v>374</v>
      </c>
      <c r="C192" s="298">
        <v>0</v>
      </c>
      <c r="D192" s="291"/>
      <c r="E192" s="187">
        <f>C16+C17+C25+C40+C41+C56+C59+C92+C93+C94+C95+C96+C110+C111+C112+C170+C173+C188+C189</f>
        <v>822600</v>
      </c>
      <c r="F192" s="187">
        <f t="shared" si="7"/>
        <v>822600.00000000023</v>
      </c>
      <c r="G192" s="187">
        <f t="shared" si="8"/>
        <v>0</v>
      </c>
      <c r="H192" s="190"/>
      <c r="I192" s="193"/>
      <c r="J192" s="193"/>
      <c r="K192" s="193"/>
      <c r="L192" s="193"/>
      <c r="M192" s="193">
        <v>161112.39000000001</v>
      </c>
      <c r="N192" s="193">
        <v>3311.39</v>
      </c>
      <c r="O192" s="190">
        <v>160452.42000000001</v>
      </c>
      <c r="P192" s="193">
        <v>3311.4</v>
      </c>
      <c r="Q192" s="193">
        <v>42837.39</v>
      </c>
      <c r="R192" s="193">
        <v>114138.13</v>
      </c>
      <c r="S192" s="193">
        <v>57460.43</v>
      </c>
      <c r="T192" s="193">
        <v>215211.38</v>
      </c>
      <c r="U192" s="193"/>
      <c r="V192" s="193"/>
      <c r="W192" s="193">
        <v>11352.79</v>
      </c>
      <c r="X192" s="193"/>
      <c r="Y192" s="193">
        <v>53412.28</v>
      </c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4"/>
      <c r="AJ192" s="194"/>
      <c r="AK192" s="194"/>
      <c r="AL192" s="194"/>
      <c r="AM192" s="194"/>
    </row>
    <row r="193" spans="1:39" ht="18" customHeight="1" thickBot="1" x14ac:dyDescent="0.3">
      <c r="A193" s="149" t="s">
        <v>371</v>
      </c>
      <c r="B193" s="290" t="s">
        <v>595</v>
      </c>
      <c r="C193" s="299">
        <v>0</v>
      </c>
      <c r="D193" s="291"/>
      <c r="E193" s="187">
        <f>C113+C127+C129+C130+C174+C180+C183+C184+C185</f>
        <v>1351212</v>
      </c>
      <c r="F193" s="187">
        <f t="shared" si="7"/>
        <v>1351212</v>
      </c>
      <c r="G193" s="187">
        <f t="shared" si="8"/>
        <v>0</v>
      </c>
      <c r="H193" s="190"/>
      <c r="I193" s="193"/>
      <c r="J193" s="193"/>
      <c r="K193" s="193">
        <v>48706</v>
      </c>
      <c r="L193" s="193">
        <v>57948</v>
      </c>
      <c r="M193" s="193">
        <v>112577</v>
      </c>
      <c r="N193" s="193">
        <v>34535</v>
      </c>
      <c r="O193" s="190">
        <v>148203</v>
      </c>
      <c r="P193" s="193">
        <v>30993</v>
      </c>
      <c r="Q193" s="193">
        <v>86056</v>
      </c>
      <c r="R193" s="193">
        <v>84471</v>
      </c>
      <c r="S193" s="193">
        <v>254373</v>
      </c>
      <c r="T193" s="193">
        <v>120001</v>
      </c>
      <c r="U193" s="193">
        <v>46912</v>
      </c>
      <c r="V193" s="193">
        <v>204685</v>
      </c>
      <c r="W193" s="193">
        <v>47271</v>
      </c>
      <c r="X193" s="193">
        <v>25833</v>
      </c>
      <c r="Y193" s="193">
        <v>48648</v>
      </c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4"/>
      <c r="AJ193" s="194"/>
      <c r="AK193" s="194"/>
      <c r="AL193" s="194"/>
      <c r="AM193" s="194"/>
    </row>
    <row r="194" spans="1:39" ht="18" customHeight="1" thickBot="1" x14ac:dyDescent="0.3">
      <c r="A194" s="149" t="s">
        <v>372</v>
      </c>
      <c r="B194" s="290" t="s">
        <v>376</v>
      </c>
      <c r="C194" s="300">
        <v>0</v>
      </c>
      <c r="D194" s="291"/>
      <c r="E194" s="187">
        <f>C114+C115+C116+C142+C164+C165+C171+C172</f>
        <v>341780</v>
      </c>
      <c r="F194" s="187">
        <f t="shared" si="7"/>
        <v>341780</v>
      </c>
      <c r="G194" s="187">
        <f t="shared" si="8"/>
        <v>0</v>
      </c>
      <c r="H194" s="190"/>
      <c r="I194" s="193"/>
      <c r="J194" s="193"/>
      <c r="K194" s="193"/>
      <c r="L194" s="193"/>
      <c r="M194" s="193"/>
      <c r="N194" s="193"/>
      <c r="O194" s="190">
        <v>28531.55</v>
      </c>
      <c r="P194" s="193">
        <v>134530.96</v>
      </c>
      <c r="Q194" s="193"/>
      <c r="R194" s="193">
        <f>31029.63+31716.17</f>
        <v>62745.8</v>
      </c>
      <c r="S194" s="193">
        <v>23951.64</v>
      </c>
      <c r="T194" s="193"/>
      <c r="U194" s="193">
        <f>33525.37+45872.58</f>
        <v>79397.950000000012</v>
      </c>
      <c r="V194" s="193"/>
      <c r="W194" s="193"/>
      <c r="X194" s="193"/>
      <c r="Y194" s="193"/>
      <c r="Z194" s="193"/>
      <c r="AA194" s="193"/>
      <c r="AB194" s="193">
        <v>12622.1</v>
      </c>
      <c r="AC194" s="193"/>
      <c r="AD194" s="193"/>
      <c r="AE194" s="193"/>
      <c r="AF194" s="193"/>
      <c r="AG194" s="193"/>
      <c r="AH194" s="193"/>
      <c r="AI194" s="194"/>
      <c r="AJ194" s="194"/>
      <c r="AK194" s="194"/>
      <c r="AL194" s="194"/>
      <c r="AM194" s="194"/>
    </row>
    <row r="195" spans="1:39" s="147" customFormat="1" ht="18" customHeight="1" thickBot="1" x14ac:dyDescent="0.3">
      <c r="A195" s="150"/>
      <c r="B195" s="146"/>
      <c r="C195" s="294"/>
      <c r="D195" s="181"/>
      <c r="E195" s="188"/>
      <c r="F195" s="188"/>
      <c r="G195" s="188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1"/>
      <c r="AJ195" s="191"/>
      <c r="AK195" s="191"/>
      <c r="AL195" s="191"/>
      <c r="AM195" s="191"/>
    </row>
    <row r="196" spans="1:39" s="47" customFormat="1" ht="18" customHeight="1" thickBot="1" x14ac:dyDescent="0.3">
      <c r="A196" s="148" t="s">
        <v>575</v>
      </c>
      <c r="B196" s="45"/>
      <c r="C196" s="189">
        <f>SUM(C12:C194)</f>
        <v>140762496</v>
      </c>
      <c r="D196" s="182"/>
      <c r="E196" s="189">
        <f>SUM(E12:E194)</f>
        <v>140762496</v>
      </c>
      <c r="F196" s="189">
        <f>SUM(F12:F194)</f>
        <v>140741907.36000001</v>
      </c>
      <c r="G196" s="189">
        <f>SUM(G12:G194)</f>
        <v>20588.63999999993</v>
      </c>
      <c r="H196" s="189">
        <f t="shared" ref="H196:AM196" si="9">SUM(H12:H194)</f>
        <v>0</v>
      </c>
      <c r="I196" s="189">
        <f t="shared" si="9"/>
        <v>0</v>
      </c>
      <c r="J196" s="189">
        <f t="shared" si="9"/>
        <v>0</v>
      </c>
      <c r="K196" s="189">
        <f t="shared" si="9"/>
        <v>483045.03</v>
      </c>
      <c r="L196" s="189">
        <f t="shared" si="9"/>
        <v>2244116.6900000004</v>
      </c>
      <c r="M196" s="189">
        <f t="shared" si="9"/>
        <v>5746738.2799999993</v>
      </c>
      <c r="N196" s="189">
        <f t="shared" si="9"/>
        <v>9155628.5199999996</v>
      </c>
      <c r="O196" s="189">
        <f t="shared" si="9"/>
        <v>8721512.6600000001</v>
      </c>
      <c r="P196" s="189">
        <f t="shared" si="9"/>
        <v>9670838.8299999982</v>
      </c>
      <c r="Q196" s="189">
        <f t="shared" si="9"/>
        <v>23065064.730000004</v>
      </c>
      <c r="R196" s="189">
        <f t="shared" si="9"/>
        <v>13956858.890000001</v>
      </c>
      <c r="S196" s="189">
        <f>SUM(S12:S194)</f>
        <v>14579427.869999997</v>
      </c>
      <c r="T196" s="189">
        <f t="shared" si="9"/>
        <v>12975278.77</v>
      </c>
      <c r="U196" s="189">
        <f t="shared" si="9"/>
        <v>3131630.5500000003</v>
      </c>
      <c r="V196" s="189">
        <f t="shared" si="9"/>
        <v>7213533.4299999988</v>
      </c>
      <c r="W196" s="189">
        <f t="shared" si="9"/>
        <v>11666860.479999997</v>
      </c>
      <c r="X196" s="189">
        <f t="shared" si="9"/>
        <v>3979120.5</v>
      </c>
      <c r="Y196" s="189">
        <f t="shared" si="9"/>
        <v>2771900.9800000004</v>
      </c>
      <c r="Z196" s="189">
        <f t="shared" si="9"/>
        <v>2974538.5000000005</v>
      </c>
      <c r="AA196" s="189">
        <f t="shared" si="9"/>
        <v>2518679.3600000003</v>
      </c>
      <c r="AB196" s="189">
        <f t="shared" si="9"/>
        <v>728207.75000000012</v>
      </c>
      <c r="AC196" s="189">
        <f t="shared" si="9"/>
        <v>2750248.4599999995</v>
      </c>
      <c r="AD196" s="189">
        <f t="shared" si="9"/>
        <v>756654.57000000007</v>
      </c>
      <c r="AE196" s="189">
        <f t="shared" si="9"/>
        <v>911639.25</v>
      </c>
      <c r="AF196" s="189">
        <f t="shared" si="9"/>
        <v>655400.94999999995</v>
      </c>
      <c r="AG196" s="189">
        <f t="shared" si="9"/>
        <v>48303.3</v>
      </c>
      <c r="AH196" s="189">
        <f t="shared" si="9"/>
        <v>36679.01</v>
      </c>
      <c r="AI196" s="189">
        <f t="shared" si="9"/>
        <v>0</v>
      </c>
      <c r="AJ196" s="189">
        <f t="shared" si="9"/>
        <v>0</v>
      </c>
      <c r="AK196" s="189">
        <f t="shared" si="9"/>
        <v>0</v>
      </c>
      <c r="AL196" s="189">
        <f t="shared" si="9"/>
        <v>0</v>
      </c>
      <c r="AM196" s="189">
        <f t="shared" si="9"/>
        <v>0</v>
      </c>
    </row>
    <row r="197" spans="1:39" ht="18.75" x14ac:dyDescent="0.3">
      <c r="A197" s="111"/>
      <c r="B197" s="36"/>
      <c r="C197" s="71"/>
      <c r="D197" s="108"/>
      <c r="E197" s="36"/>
      <c r="F197" s="36"/>
      <c r="G197" s="36"/>
      <c r="L197" s="137"/>
      <c r="M197" s="73"/>
      <c r="O197" s="93"/>
    </row>
    <row r="198" spans="1:39" ht="18.75" x14ac:dyDescent="0.3">
      <c r="C198" s="71"/>
      <c r="D198" s="108"/>
      <c r="E198" s="36"/>
      <c r="F198" s="36"/>
      <c r="G198" s="50"/>
      <c r="J198" s="73"/>
      <c r="K198" s="73"/>
      <c r="L198" s="73"/>
      <c r="M198" s="73"/>
      <c r="N198" s="73"/>
      <c r="O198" s="73"/>
      <c r="P198" s="73"/>
      <c r="R198" s="73"/>
      <c r="S198" s="73"/>
      <c r="T198" s="73"/>
      <c r="V198" s="73"/>
    </row>
    <row r="199" spans="1:39" ht="18.75" x14ac:dyDescent="0.3">
      <c r="C199" s="72"/>
      <c r="D199" s="108"/>
      <c r="G199" s="230"/>
      <c r="M199" s="137"/>
      <c r="Q199" s="245"/>
      <c r="R199" s="73"/>
      <c r="U199" s="73"/>
    </row>
    <row r="200" spans="1:39" x14ac:dyDescent="0.25">
      <c r="C200" s="72"/>
      <c r="D200" s="109"/>
      <c r="G200" s="261"/>
      <c r="O200" s="73"/>
      <c r="S200" s="73"/>
      <c r="T200" s="73"/>
    </row>
    <row r="201" spans="1:39" x14ac:dyDescent="0.25">
      <c r="C201" s="72"/>
      <c r="D201" s="109"/>
      <c r="H201" s="230"/>
    </row>
    <row r="202" spans="1:39" x14ac:dyDescent="0.25">
      <c r="C202" s="72"/>
      <c r="D202" s="109"/>
      <c r="G202" s="73"/>
    </row>
    <row r="203" spans="1:39" x14ac:dyDescent="0.25">
      <c r="C203" s="72"/>
      <c r="D203" s="109"/>
    </row>
    <row r="204" spans="1:39" x14ac:dyDescent="0.25">
      <c r="C204" s="72"/>
      <c r="D204" s="109"/>
    </row>
    <row r="205" spans="1:39" x14ac:dyDescent="0.25">
      <c r="C205" s="72"/>
      <c r="D205" s="109"/>
    </row>
    <row r="206" spans="1:39" x14ac:dyDescent="0.25">
      <c r="C206" s="72"/>
      <c r="D206" s="109"/>
    </row>
    <row r="207" spans="1:39" x14ac:dyDescent="0.25">
      <c r="C207" s="72"/>
      <c r="D207" s="109"/>
    </row>
    <row r="208" spans="1:39" x14ac:dyDescent="0.25">
      <c r="C208" s="72"/>
      <c r="D208" s="109"/>
    </row>
    <row r="209" spans="3:4" x14ac:dyDescent="0.25">
      <c r="C209" s="72"/>
      <c r="D209" s="109"/>
    </row>
    <row r="210" spans="3:4" x14ac:dyDescent="0.25">
      <c r="C210" s="72"/>
      <c r="D210" s="109"/>
    </row>
    <row r="211" spans="3:4" x14ac:dyDescent="0.25">
      <c r="C211" s="72"/>
      <c r="D211" s="109"/>
    </row>
    <row r="212" spans="3:4" x14ac:dyDescent="0.25">
      <c r="C212" s="72"/>
      <c r="D212" s="109"/>
    </row>
    <row r="213" spans="3:4" x14ac:dyDescent="0.25">
      <c r="C213" s="72"/>
      <c r="D213" s="109"/>
    </row>
    <row r="214" spans="3:4" x14ac:dyDescent="0.25">
      <c r="C214" s="72"/>
      <c r="D214" s="109"/>
    </row>
    <row r="215" spans="3:4" x14ac:dyDescent="0.25">
      <c r="C215" s="72"/>
      <c r="D215" s="109"/>
    </row>
    <row r="216" spans="3:4" x14ac:dyDescent="0.25">
      <c r="C216" s="72"/>
      <c r="D216" s="109"/>
    </row>
    <row r="217" spans="3:4" x14ac:dyDescent="0.25">
      <c r="D217" s="109"/>
    </row>
    <row r="218" spans="3:4" x14ac:dyDescent="0.25">
      <c r="D218" s="109"/>
    </row>
    <row r="219" spans="3:4" x14ac:dyDescent="0.25">
      <c r="D219" s="109"/>
    </row>
    <row r="220" spans="3:4" x14ac:dyDescent="0.25">
      <c r="D220" s="109"/>
    </row>
    <row r="221" spans="3:4" x14ac:dyDescent="0.25">
      <c r="D221" s="109"/>
    </row>
    <row r="222" spans="3:4" x14ac:dyDescent="0.25">
      <c r="D222" s="109"/>
    </row>
    <row r="223" spans="3:4" x14ac:dyDescent="0.25">
      <c r="D223" s="109"/>
    </row>
    <row r="224" spans="3:4" x14ac:dyDescent="0.25">
      <c r="D224" s="109"/>
    </row>
    <row r="225" spans="4:4" x14ac:dyDescent="0.25">
      <c r="D225" s="109"/>
    </row>
  </sheetData>
  <sheetProtection algorithmName="SHA-512" hashValue="ctLme6hDjJcwYFxY8ZcMaWUE6iiKZ92BFPBeN5FffeWS4k6XR2h7ly2U/LGZOBMsihHvQHoswLcUK6yDMH2Aow==" saltValue="eGGRY/mdQTmSoQL0v7zVXQ==" spinCount="100000" sheet="1" objects="1" scenarios="1"/>
  <autoFilter ref="A11:G194" xr:uid="{05F9F90F-AB8B-49E7-97A9-20454BCB3068}"/>
  <pageMargins left="0.1" right="0.1" top="0.1" bottom="0.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66CCFF"/>
  </sheetPr>
  <dimension ref="A1:AM24"/>
  <sheetViews>
    <sheetView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I13" sqref="AI13"/>
    </sheetView>
  </sheetViews>
  <sheetFormatPr defaultRowHeight="15" x14ac:dyDescent="0.25"/>
  <cols>
    <col min="1" max="1" width="9.140625" style="6" customWidth="1"/>
    <col min="2" max="2" width="36.7109375" style="6" customWidth="1"/>
    <col min="3" max="3" width="20.85546875" style="6" customWidth="1"/>
    <col min="4" max="4" width="16.42578125" style="133" customWidth="1"/>
    <col min="5" max="5" width="16.7109375" style="133" customWidth="1"/>
    <col min="6" max="6" width="18.85546875" style="6" customWidth="1"/>
    <col min="7" max="7" width="17" style="6" customWidth="1"/>
    <col min="8" max="34" width="15.7109375" customWidth="1"/>
    <col min="35" max="39" width="15" customWidth="1"/>
  </cols>
  <sheetData>
    <row r="1" spans="1:39" ht="21" x14ac:dyDescent="0.35">
      <c r="A1" s="10" t="s">
        <v>0</v>
      </c>
      <c r="B1" s="11"/>
      <c r="C1" s="12" t="s">
        <v>664</v>
      </c>
      <c r="D1" s="120"/>
      <c r="E1" s="120"/>
      <c r="F1" s="10"/>
      <c r="G1" s="13"/>
      <c r="H1" s="14"/>
      <c r="I1" s="14"/>
      <c r="J1" s="12" t="str">
        <f>C1</f>
        <v>Title I-D Delinquent (Revised Final)</v>
      </c>
      <c r="K1" s="12"/>
      <c r="L1" s="10"/>
      <c r="M1" s="10"/>
      <c r="N1" s="13"/>
      <c r="O1" s="13"/>
      <c r="P1" s="14"/>
      <c r="Q1" s="78" t="str">
        <f>C1</f>
        <v>Title I-D Delinquent (Revised Final)</v>
      </c>
      <c r="R1" s="12"/>
      <c r="S1" s="12"/>
      <c r="T1" s="10"/>
      <c r="U1" s="10"/>
      <c r="V1" s="13"/>
      <c r="W1" s="13"/>
      <c r="X1" s="78" t="str">
        <f>C1</f>
        <v>Title I-D Delinquent (Revised Final)</v>
      </c>
      <c r="Y1" s="14"/>
      <c r="Z1" s="12"/>
      <c r="AA1" s="12"/>
      <c r="AB1" s="10"/>
      <c r="AC1" s="10"/>
      <c r="AD1" s="13"/>
      <c r="AE1" s="78" t="str">
        <f>C1</f>
        <v>Title I-D Delinquent (Revised Final)</v>
      </c>
      <c r="AF1" s="14"/>
      <c r="AG1" s="14"/>
      <c r="AH1" s="12"/>
      <c r="AI1" s="120"/>
      <c r="AJ1" s="120"/>
      <c r="AK1" s="120"/>
      <c r="AL1" s="120"/>
      <c r="AM1" s="120"/>
    </row>
    <row r="2" spans="1:39" ht="15.75" x14ac:dyDescent="0.25">
      <c r="A2" s="15" t="s">
        <v>1</v>
      </c>
      <c r="B2" s="11"/>
      <c r="C2" s="16" t="s">
        <v>363</v>
      </c>
      <c r="D2" s="82"/>
      <c r="E2" s="82"/>
      <c r="F2" s="15"/>
      <c r="G2" s="17"/>
      <c r="H2" s="14"/>
      <c r="I2" s="14"/>
      <c r="J2" s="15" t="str">
        <f>"FY"&amp;C4</f>
        <v>FY2020-2021</v>
      </c>
      <c r="K2" s="15"/>
      <c r="L2" s="18"/>
      <c r="M2" s="18"/>
      <c r="N2" s="17"/>
      <c r="O2" s="17"/>
      <c r="P2" s="17"/>
      <c r="Q2" s="81" t="str">
        <f>"FY"&amp;C4</f>
        <v>FY2020-2021</v>
      </c>
      <c r="R2" s="15"/>
      <c r="S2" s="15"/>
      <c r="T2" s="18"/>
      <c r="U2" s="18"/>
      <c r="V2" s="17"/>
      <c r="W2" s="17"/>
      <c r="X2" s="81" t="str">
        <f>"FY"&amp;C4</f>
        <v>FY2020-2021</v>
      </c>
      <c r="Y2" s="17"/>
      <c r="Z2" s="15"/>
      <c r="AA2" s="15"/>
      <c r="AB2" s="18"/>
      <c r="AC2" s="18"/>
      <c r="AD2" s="17"/>
      <c r="AE2" s="81" t="str">
        <f>"FY"&amp;C4</f>
        <v>FY2020-2021</v>
      </c>
      <c r="AF2" s="17"/>
      <c r="AG2" s="17"/>
      <c r="AH2" s="15"/>
      <c r="AI2" s="81"/>
      <c r="AJ2" s="81"/>
      <c r="AK2" s="81"/>
      <c r="AL2" s="81"/>
      <c r="AM2" s="81"/>
    </row>
    <row r="3" spans="1:39" ht="15.75" x14ac:dyDescent="0.25">
      <c r="A3" s="15" t="s">
        <v>3</v>
      </c>
      <c r="B3" s="11"/>
      <c r="C3" s="18" t="s">
        <v>381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15.75" x14ac:dyDescent="0.25">
      <c r="A4" s="15" t="s">
        <v>2</v>
      </c>
      <c r="B4" s="11"/>
      <c r="C4" s="18" t="str">
        <f>'ESSA Title I-A Formula'!$C$4</f>
        <v>2020-2021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15" t="s">
        <v>392</v>
      </c>
      <c r="B5" s="11"/>
      <c r="C5" s="67" t="s">
        <v>619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15" t="s">
        <v>4</v>
      </c>
      <c r="B6" s="11"/>
      <c r="C6" s="67" t="s">
        <v>364</v>
      </c>
      <c r="D6" s="67"/>
      <c r="E6" s="67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s="133" customFormat="1" ht="15.75" x14ac:dyDescent="0.25">
      <c r="A7" s="81"/>
      <c r="B7" s="77"/>
      <c r="C7" s="67" t="s">
        <v>630</v>
      </c>
      <c r="D7" s="67"/>
      <c r="E7" s="67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15.75" x14ac:dyDescent="0.25">
      <c r="A8" s="15" t="s">
        <v>378</v>
      </c>
      <c r="B8" s="11"/>
      <c r="C8" s="81" t="s">
        <v>580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15" t="s">
        <v>379</v>
      </c>
      <c r="B9" s="11"/>
      <c r="C9" s="15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ht="16.5" thickBot="1" x14ac:dyDescent="0.3">
      <c r="A10" s="15" t="s">
        <v>393</v>
      </c>
      <c r="B10" s="11"/>
      <c r="C10" s="81" t="s">
        <v>656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ht="18" customHeight="1" thickBot="1" x14ac:dyDescent="0.3">
      <c r="A12" s="138" t="s">
        <v>45</v>
      </c>
      <c r="B12" s="115" t="s">
        <v>446</v>
      </c>
      <c r="C12" s="206">
        <v>483821</v>
      </c>
      <c r="D12" s="95"/>
      <c r="E12" s="195">
        <f t="shared" ref="E12:E19" si="0">C12</f>
        <v>483821</v>
      </c>
      <c r="F12" s="196">
        <f t="shared" ref="F12:F19" si="1">SUM(H12:AK12)</f>
        <v>483821</v>
      </c>
      <c r="G12" s="197">
        <f t="shared" ref="G12:G19" si="2">E12-(F12+AL12+AM12)</f>
        <v>0</v>
      </c>
      <c r="H12" s="198"/>
      <c r="I12" s="198"/>
      <c r="J12" s="198"/>
      <c r="K12" s="198"/>
      <c r="L12" s="199"/>
      <c r="M12" s="199"/>
      <c r="N12" s="199"/>
      <c r="O12" s="199"/>
      <c r="P12" s="199"/>
      <c r="Q12" s="199">
        <v>306667.82</v>
      </c>
      <c r="R12" s="199">
        <v>23812.94</v>
      </c>
      <c r="S12" s="199"/>
      <c r="T12" s="199">
        <f>46695.07+22720.62</f>
        <v>69415.69</v>
      </c>
      <c r="U12" s="199"/>
      <c r="V12" s="199"/>
      <c r="W12" s="199">
        <v>29718.14</v>
      </c>
      <c r="X12" s="199"/>
      <c r="Y12" s="199"/>
      <c r="Z12" s="199"/>
      <c r="AA12" s="199"/>
      <c r="AB12" s="199"/>
      <c r="AC12" s="199">
        <v>54206.41</v>
      </c>
      <c r="AD12" s="199"/>
      <c r="AE12" s="199"/>
      <c r="AF12" s="199"/>
      <c r="AG12" s="199"/>
      <c r="AH12" s="199"/>
      <c r="AI12" s="200"/>
      <c r="AJ12" s="200"/>
      <c r="AK12" s="200"/>
      <c r="AL12" s="200"/>
      <c r="AM12" s="200"/>
    </row>
    <row r="13" spans="1:39" s="133" customFormat="1" ht="18" customHeight="1" thickBot="1" x14ac:dyDescent="0.3">
      <c r="A13" s="138" t="s">
        <v>55</v>
      </c>
      <c r="B13" s="115" t="s">
        <v>233</v>
      </c>
      <c r="C13" s="206">
        <v>139213</v>
      </c>
      <c r="D13" s="277">
        <v>1020</v>
      </c>
      <c r="E13" s="195">
        <v>0</v>
      </c>
      <c r="F13" s="196">
        <f t="shared" si="1"/>
        <v>0</v>
      </c>
      <c r="G13" s="197">
        <f t="shared" si="2"/>
        <v>0</v>
      </c>
      <c r="H13" s="198"/>
      <c r="I13" s="198"/>
      <c r="J13" s="198"/>
      <c r="K13" s="198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200"/>
      <c r="AJ13" s="200"/>
      <c r="AK13" s="200"/>
      <c r="AL13" s="200"/>
      <c r="AM13" s="200"/>
    </row>
    <row r="14" spans="1:39" ht="18" customHeight="1" thickBot="1" x14ac:dyDescent="0.3">
      <c r="A14" s="138" t="s">
        <v>58</v>
      </c>
      <c r="B14" s="115" t="s">
        <v>640</v>
      </c>
      <c r="C14" s="206">
        <v>50208</v>
      </c>
      <c r="D14" s="95"/>
      <c r="E14" s="195">
        <f t="shared" si="0"/>
        <v>50208</v>
      </c>
      <c r="F14" s="196">
        <f t="shared" si="1"/>
        <v>50208</v>
      </c>
      <c r="G14" s="197">
        <f>E14-(F14+AL14+AM14)</f>
        <v>0</v>
      </c>
      <c r="H14" s="198"/>
      <c r="I14" s="198"/>
      <c r="J14" s="198"/>
      <c r="K14" s="198"/>
      <c r="L14" s="199"/>
      <c r="M14" s="199"/>
      <c r="N14" s="199">
        <v>3381.44</v>
      </c>
      <c r="O14" s="199">
        <v>4487.32</v>
      </c>
      <c r="P14" s="199"/>
      <c r="Q14" s="199"/>
      <c r="R14" s="199">
        <v>7934.35</v>
      </c>
      <c r="S14" s="199">
        <v>11554.89</v>
      </c>
      <c r="T14" s="199">
        <v>3851.63</v>
      </c>
      <c r="U14" s="199"/>
      <c r="V14" s="199">
        <v>5469.32</v>
      </c>
      <c r="W14" s="199"/>
      <c r="X14" s="199"/>
      <c r="Y14" s="199"/>
      <c r="Z14" s="199">
        <v>13529.05</v>
      </c>
      <c r="AA14" s="199"/>
      <c r="AB14" s="199"/>
      <c r="AC14" s="199"/>
      <c r="AD14" s="199"/>
      <c r="AE14" s="199"/>
      <c r="AF14" s="199"/>
      <c r="AG14" s="199"/>
      <c r="AH14" s="199"/>
      <c r="AI14" s="200"/>
      <c r="AJ14" s="200"/>
      <c r="AK14" s="200"/>
      <c r="AL14" s="200"/>
      <c r="AM14" s="200"/>
    </row>
    <row r="15" spans="1:39" s="133" customFormat="1" ht="18" customHeight="1" thickBot="1" x14ac:dyDescent="0.3">
      <c r="A15" s="138" t="s">
        <v>59</v>
      </c>
      <c r="B15" s="135" t="s">
        <v>237</v>
      </c>
      <c r="C15" s="206">
        <v>0</v>
      </c>
      <c r="D15" s="278" t="s">
        <v>55</v>
      </c>
      <c r="E15" s="195">
        <f>C13</f>
        <v>139213</v>
      </c>
      <c r="F15" s="196">
        <f t="shared" si="1"/>
        <v>139213</v>
      </c>
      <c r="G15" s="197">
        <f>E15-(F15+AL15+AM15)</f>
        <v>0</v>
      </c>
      <c r="H15" s="198"/>
      <c r="I15" s="198"/>
      <c r="J15" s="198"/>
      <c r="K15" s="198"/>
      <c r="L15" s="199"/>
      <c r="M15" s="199"/>
      <c r="N15" s="199"/>
      <c r="O15" s="199"/>
      <c r="P15" s="199"/>
      <c r="Q15" s="199"/>
      <c r="R15" s="199"/>
      <c r="S15" s="199">
        <v>35304.44</v>
      </c>
      <c r="T15" s="199"/>
      <c r="U15" s="199"/>
      <c r="V15" s="199"/>
      <c r="W15" s="199">
        <v>76125</v>
      </c>
      <c r="X15" s="199"/>
      <c r="Y15" s="199"/>
      <c r="Z15" s="199"/>
      <c r="AA15" s="199"/>
      <c r="AB15" s="199"/>
      <c r="AC15" s="199"/>
      <c r="AD15" s="199"/>
      <c r="AE15" s="199">
        <v>27783.56</v>
      </c>
      <c r="AF15" s="199"/>
      <c r="AG15" s="199"/>
      <c r="AH15" s="199"/>
      <c r="AI15" s="200"/>
      <c r="AJ15" s="200"/>
      <c r="AK15" s="200"/>
      <c r="AL15" s="200"/>
      <c r="AM15" s="200"/>
    </row>
    <row r="16" spans="1:39" ht="18" customHeight="1" thickBot="1" x14ac:dyDescent="0.3">
      <c r="A16" s="43" t="s">
        <v>69</v>
      </c>
      <c r="B16" s="115" t="s">
        <v>596</v>
      </c>
      <c r="C16" s="206">
        <v>159751</v>
      </c>
      <c r="D16" s="95"/>
      <c r="E16" s="195">
        <f t="shared" si="0"/>
        <v>159751</v>
      </c>
      <c r="F16" s="196">
        <f t="shared" si="1"/>
        <v>159751</v>
      </c>
      <c r="G16" s="197">
        <f t="shared" si="2"/>
        <v>0</v>
      </c>
      <c r="H16" s="198"/>
      <c r="I16" s="198"/>
      <c r="J16" s="198"/>
      <c r="K16" s="198"/>
      <c r="L16" s="199"/>
      <c r="M16" s="199"/>
      <c r="N16" s="199"/>
      <c r="O16" s="199"/>
      <c r="P16" s="199">
        <v>14271</v>
      </c>
      <c r="Q16" s="199"/>
      <c r="R16" s="199"/>
      <c r="S16" s="199">
        <f>27625+34593</f>
        <v>62218</v>
      </c>
      <c r="T16" s="199"/>
      <c r="U16" s="199">
        <v>31518</v>
      </c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>
        <v>51744</v>
      </c>
      <c r="AH16" s="199"/>
      <c r="AI16" s="200"/>
      <c r="AJ16" s="200"/>
      <c r="AK16" s="200"/>
      <c r="AL16" s="200"/>
      <c r="AM16" s="200"/>
    </row>
    <row r="17" spans="1:39" ht="18" customHeight="1" thickBot="1" x14ac:dyDescent="0.3">
      <c r="A17" s="43" t="s">
        <v>95</v>
      </c>
      <c r="B17" s="115" t="s">
        <v>597</v>
      </c>
      <c r="C17" s="206">
        <v>31950</v>
      </c>
      <c r="D17" s="95"/>
      <c r="E17" s="195">
        <f t="shared" si="0"/>
        <v>31950</v>
      </c>
      <c r="F17" s="196">
        <f t="shared" si="1"/>
        <v>31950</v>
      </c>
      <c r="G17" s="197">
        <f t="shared" si="2"/>
        <v>0</v>
      </c>
      <c r="H17" s="198"/>
      <c r="I17" s="198"/>
      <c r="J17" s="198"/>
      <c r="K17" s="198"/>
      <c r="L17" s="199"/>
      <c r="M17" s="199"/>
      <c r="N17" s="199"/>
      <c r="O17" s="199"/>
      <c r="P17" s="199"/>
      <c r="Q17" s="199"/>
      <c r="R17" s="199"/>
      <c r="S17" s="199">
        <v>4090.42</v>
      </c>
      <c r="T17" s="199"/>
      <c r="U17" s="199">
        <v>2913.89</v>
      </c>
      <c r="V17" s="199"/>
      <c r="W17" s="199"/>
      <c r="X17" s="199">
        <v>4739.6899999999996</v>
      </c>
      <c r="Y17" s="199"/>
      <c r="Z17" s="199"/>
      <c r="AA17" s="199">
        <f>8408.04+11797.96</f>
        <v>20206</v>
      </c>
      <c r="AB17" s="199"/>
      <c r="AC17" s="199"/>
      <c r="AD17" s="199"/>
      <c r="AE17" s="199"/>
      <c r="AF17" s="199"/>
      <c r="AG17" s="199"/>
      <c r="AH17" s="199"/>
      <c r="AI17" s="200"/>
      <c r="AJ17" s="200"/>
      <c r="AK17" s="200"/>
      <c r="AL17" s="200"/>
      <c r="AM17" s="200"/>
    </row>
    <row r="18" spans="1:39" ht="18" customHeight="1" thickBot="1" x14ac:dyDescent="0.3">
      <c r="A18" s="43" t="s">
        <v>113</v>
      </c>
      <c r="B18" s="115" t="s">
        <v>598</v>
      </c>
      <c r="C18" s="206">
        <v>29668</v>
      </c>
      <c r="D18" s="95"/>
      <c r="E18" s="195">
        <f t="shared" si="0"/>
        <v>29668</v>
      </c>
      <c r="F18" s="196">
        <f t="shared" si="1"/>
        <v>29668</v>
      </c>
      <c r="G18" s="197">
        <f t="shared" si="2"/>
        <v>0</v>
      </c>
      <c r="H18" s="198"/>
      <c r="I18" s="198"/>
      <c r="J18" s="198"/>
      <c r="K18" s="198"/>
      <c r="L18" s="199"/>
      <c r="M18" s="199"/>
      <c r="N18" s="199"/>
      <c r="O18" s="199"/>
      <c r="P18" s="199"/>
      <c r="Q18" s="199"/>
      <c r="R18" s="199"/>
      <c r="S18" s="199">
        <v>380.43</v>
      </c>
      <c r="T18" s="199"/>
      <c r="U18" s="199"/>
      <c r="V18" s="199">
        <v>14566.12</v>
      </c>
      <c r="W18" s="199"/>
      <c r="X18" s="199"/>
      <c r="Y18" s="199"/>
      <c r="Z18" s="199"/>
      <c r="AA18" s="199">
        <v>111.84</v>
      </c>
      <c r="AB18" s="199"/>
      <c r="AC18" s="199"/>
      <c r="AD18" s="199">
        <v>4497.51</v>
      </c>
      <c r="AE18" s="199">
        <v>10112.1</v>
      </c>
      <c r="AF18" s="199"/>
      <c r="AG18" s="199"/>
      <c r="AH18" s="199"/>
      <c r="AI18" s="200"/>
      <c r="AJ18" s="200"/>
      <c r="AK18" s="200"/>
      <c r="AL18" s="200"/>
      <c r="AM18" s="200"/>
    </row>
    <row r="19" spans="1:39" ht="18" customHeight="1" thickBot="1" x14ac:dyDescent="0.3">
      <c r="A19" s="43" t="s">
        <v>173</v>
      </c>
      <c r="B19" s="115" t="s">
        <v>349</v>
      </c>
      <c r="C19" s="206">
        <v>27386</v>
      </c>
      <c r="D19" s="95"/>
      <c r="E19" s="195">
        <f t="shared" si="0"/>
        <v>27386</v>
      </c>
      <c r="F19" s="196">
        <f t="shared" si="1"/>
        <v>27386</v>
      </c>
      <c r="G19" s="197">
        <f t="shared" si="2"/>
        <v>0</v>
      </c>
      <c r="H19" s="198"/>
      <c r="I19" s="198"/>
      <c r="J19" s="198"/>
      <c r="K19" s="198"/>
      <c r="L19" s="199"/>
      <c r="M19" s="199"/>
      <c r="N19" s="199"/>
      <c r="O19" s="199"/>
      <c r="P19" s="199">
        <v>542.97</v>
      </c>
      <c r="Q19" s="199">
        <v>2635</v>
      </c>
      <c r="R19" s="199">
        <v>2551</v>
      </c>
      <c r="S19" s="199">
        <v>2851</v>
      </c>
      <c r="T19" s="199">
        <v>4080.64</v>
      </c>
      <c r="U19" s="199"/>
      <c r="V19" s="199"/>
      <c r="W19" s="199">
        <v>3118.74</v>
      </c>
      <c r="X19" s="199">
        <v>3963</v>
      </c>
      <c r="Y19" s="199">
        <v>2571.5</v>
      </c>
      <c r="Z19" s="199"/>
      <c r="AA19" s="199"/>
      <c r="AB19" s="199"/>
      <c r="AC19" s="199">
        <v>5072.1499999999996</v>
      </c>
      <c r="AD19" s="199"/>
      <c r="AE19" s="199"/>
      <c r="AF19" s="199"/>
      <c r="AG19" s="199"/>
      <c r="AH19" s="199"/>
      <c r="AI19" s="200"/>
      <c r="AJ19" s="200"/>
      <c r="AK19" s="200"/>
      <c r="AL19" s="200"/>
      <c r="AM19" s="200"/>
    </row>
    <row r="20" spans="1:39" s="147" customFormat="1" ht="18" customHeight="1" thickBot="1" x14ac:dyDescent="0.3">
      <c r="A20" s="151"/>
      <c r="B20" s="152"/>
      <c r="C20" s="207"/>
      <c r="D20" s="153"/>
      <c r="E20" s="201"/>
      <c r="F20" s="201"/>
      <c r="G20" s="201"/>
      <c r="H20" s="202"/>
      <c r="I20" s="202"/>
      <c r="J20" s="202"/>
      <c r="K20" s="202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4"/>
      <c r="AJ20" s="204"/>
      <c r="AK20" s="204"/>
      <c r="AL20" s="204"/>
      <c r="AM20" s="204"/>
    </row>
    <row r="21" spans="1:39" ht="18" customHeight="1" thickBot="1" x14ac:dyDescent="0.3">
      <c r="A21" s="46" t="s">
        <v>575</v>
      </c>
      <c r="B21" s="46"/>
      <c r="C21" s="208">
        <f>SUM(C12:C19)</f>
        <v>921997</v>
      </c>
      <c r="D21" s="96"/>
      <c r="E21" s="205">
        <f t="shared" ref="E21:AM21" si="3">SUM(E12:E19)</f>
        <v>921997</v>
      </c>
      <c r="F21" s="205">
        <f t="shared" si="3"/>
        <v>921997</v>
      </c>
      <c r="G21" s="205">
        <f t="shared" si="3"/>
        <v>0</v>
      </c>
      <c r="H21" s="205">
        <f t="shared" si="3"/>
        <v>0</v>
      </c>
      <c r="I21" s="205">
        <f t="shared" si="3"/>
        <v>0</v>
      </c>
      <c r="J21" s="205">
        <f t="shared" si="3"/>
        <v>0</v>
      </c>
      <c r="K21" s="205">
        <f t="shared" si="3"/>
        <v>0</v>
      </c>
      <c r="L21" s="205">
        <f t="shared" si="3"/>
        <v>0</v>
      </c>
      <c r="M21" s="205">
        <f t="shared" si="3"/>
        <v>0</v>
      </c>
      <c r="N21" s="205">
        <f t="shared" si="3"/>
        <v>3381.44</v>
      </c>
      <c r="O21" s="205">
        <f t="shared" si="3"/>
        <v>4487.32</v>
      </c>
      <c r="P21" s="205">
        <f t="shared" si="3"/>
        <v>14813.97</v>
      </c>
      <c r="Q21" s="205">
        <f t="shared" si="3"/>
        <v>309302.82</v>
      </c>
      <c r="R21" s="205">
        <f t="shared" si="3"/>
        <v>34298.29</v>
      </c>
      <c r="S21" s="205">
        <f t="shared" si="3"/>
        <v>116399.18</v>
      </c>
      <c r="T21" s="205">
        <f t="shared" si="3"/>
        <v>77347.960000000006</v>
      </c>
      <c r="U21" s="205">
        <f t="shared" si="3"/>
        <v>34431.89</v>
      </c>
      <c r="V21" s="205">
        <f t="shared" si="3"/>
        <v>20035.440000000002</v>
      </c>
      <c r="W21" s="205">
        <f t="shared" si="3"/>
        <v>108961.88</v>
      </c>
      <c r="X21" s="205">
        <f t="shared" si="3"/>
        <v>8702.6899999999987</v>
      </c>
      <c r="Y21" s="205">
        <f t="shared" si="3"/>
        <v>2571.5</v>
      </c>
      <c r="Z21" s="205">
        <f t="shared" si="3"/>
        <v>13529.05</v>
      </c>
      <c r="AA21" s="205">
        <f t="shared" si="3"/>
        <v>20317.84</v>
      </c>
      <c r="AB21" s="205">
        <f t="shared" si="3"/>
        <v>0</v>
      </c>
      <c r="AC21" s="205">
        <f t="shared" si="3"/>
        <v>59278.560000000005</v>
      </c>
      <c r="AD21" s="205">
        <f t="shared" si="3"/>
        <v>4497.51</v>
      </c>
      <c r="AE21" s="205">
        <f t="shared" si="3"/>
        <v>37895.660000000003</v>
      </c>
      <c r="AF21" s="205">
        <f t="shared" si="3"/>
        <v>0</v>
      </c>
      <c r="AG21" s="205">
        <f t="shared" si="3"/>
        <v>51744</v>
      </c>
      <c r="AH21" s="205">
        <f t="shared" si="3"/>
        <v>0</v>
      </c>
      <c r="AI21" s="205">
        <f t="shared" si="3"/>
        <v>0</v>
      </c>
      <c r="AJ21" s="205">
        <f t="shared" si="3"/>
        <v>0</v>
      </c>
      <c r="AK21" s="205">
        <f t="shared" si="3"/>
        <v>0</v>
      </c>
      <c r="AL21" s="205">
        <f t="shared" si="3"/>
        <v>0</v>
      </c>
      <c r="AM21" s="205">
        <f t="shared" si="3"/>
        <v>0</v>
      </c>
    </row>
    <row r="23" spans="1:39" x14ac:dyDescent="0.25">
      <c r="N23" s="75"/>
      <c r="O23" s="75"/>
      <c r="P23" s="75"/>
      <c r="S23" s="75"/>
    </row>
    <row r="24" spans="1:39" x14ac:dyDescent="0.25">
      <c r="V24" s="75"/>
    </row>
  </sheetData>
  <sheetProtection algorithmName="SHA-512" hashValue="hmLPy+UYuGGVlD0/+93ninauN0g4i+mh7fT4UpNyAsIZpCfn8dT6YvejIvIDkFpuTe6Nu01vK74zqQ7JpcDY4Q==" saltValue="M2voRc6Ohu7HFui/u2R5uw==" spinCount="100000" sheet="1" objects="1" scenarios="1"/>
  <sortState xmlns:xlrd2="http://schemas.microsoft.com/office/spreadsheetml/2017/richdata2" ref="A11:AF191">
    <sortCondition ref="A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66CCFF"/>
  </sheetPr>
  <dimension ref="A1:AM17"/>
  <sheetViews>
    <sheetView workbookViewId="0">
      <pane xSplit="7" ySplit="11" topLeftCell="AD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H12" sqref="AH12"/>
    </sheetView>
  </sheetViews>
  <sheetFormatPr defaultColWidth="9.140625" defaultRowHeight="15" x14ac:dyDescent="0.25"/>
  <cols>
    <col min="1" max="1" width="9.140625" style="133" customWidth="1"/>
    <col min="2" max="2" width="36.7109375" style="133" customWidth="1"/>
    <col min="3" max="4" width="17.28515625" style="133" customWidth="1"/>
    <col min="5" max="5" width="29.28515625" style="133" customWidth="1"/>
    <col min="6" max="7" width="17.28515625" style="6" customWidth="1"/>
    <col min="8" max="34" width="15.7109375" style="6" customWidth="1"/>
    <col min="35" max="39" width="17.140625" style="6" customWidth="1"/>
    <col min="40" max="16384" width="9.140625" style="6"/>
  </cols>
  <sheetData>
    <row r="1" spans="1:39" ht="21" x14ac:dyDescent="0.35">
      <c r="A1" s="76" t="s">
        <v>0</v>
      </c>
      <c r="B1" s="77"/>
      <c r="C1" s="120" t="s">
        <v>576</v>
      </c>
      <c r="D1" s="120"/>
      <c r="E1" s="120"/>
      <c r="F1" s="10"/>
      <c r="G1" s="13"/>
      <c r="H1" s="14"/>
      <c r="I1" s="14"/>
      <c r="J1" s="12" t="str">
        <f>C1</f>
        <v>Title I-D Delinquent -- State Agencies</v>
      </c>
      <c r="K1" s="12"/>
      <c r="L1" s="10"/>
      <c r="M1" s="10"/>
      <c r="N1" s="13"/>
      <c r="O1" s="13"/>
      <c r="P1" s="14"/>
      <c r="Q1" s="14"/>
      <c r="R1" s="78" t="str">
        <f>C1</f>
        <v>Title I-D Delinquent -- State Agencies</v>
      </c>
      <c r="S1" s="12"/>
      <c r="T1" s="10"/>
      <c r="U1" s="10"/>
      <c r="V1" s="13"/>
      <c r="W1" s="13"/>
      <c r="X1" s="14"/>
      <c r="Y1" s="14"/>
      <c r="Z1" s="78" t="str">
        <f>C1</f>
        <v>Title I-D Delinquent -- State Agencies</v>
      </c>
      <c r="AA1" s="12"/>
      <c r="AB1" s="10"/>
      <c r="AC1" s="10"/>
      <c r="AD1" s="13"/>
      <c r="AE1" s="13"/>
      <c r="AF1" s="78" t="str">
        <f>C1</f>
        <v>Title I-D Delinquent -- State Agencies</v>
      </c>
      <c r="AG1" s="14"/>
      <c r="AH1" s="12"/>
      <c r="AI1" s="120"/>
      <c r="AJ1" s="120"/>
      <c r="AK1" s="120"/>
      <c r="AL1" s="120"/>
      <c r="AM1" s="120"/>
    </row>
    <row r="2" spans="1:39" ht="15.75" x14ac:dyDescent="0.25">
      <c r="A2" s="81" t="s">
        <v>1</v>
      </c>
      <c r="B2" s="77"/>
      <c r="C2" s="121" t="s">
        <v>395</v>
      </c>
      <c r="D2" s="121"/>
      <c r="E2" s="121"/>
      <c r="F2" s="15"/>
      <c r="G2" s="17"/>
      <c r="H2" s="14"/>
      <c r="I2" s="14"/>
      <c r="J2" s="15" t="str">
        <f>"FY"&amp;C4</f>
        <v>FY2020-2021</v>
      </c>
      <c r="K2" s="15"/>
      <c r="L2" s="18"/>
      <c r="M2" s="18"/>
      <c r="N2" s="17"/>
      <c r="O2" s="17"/>
      <c r="P2" s="17"/>
      <c r="Q2" s="17"/>
      <c r="R2" s="81" t="str">
        <f>"FY"&amp;C4</f>
        <v>FY2020-2021</v>
      </c>
      <c r="S2" s="15"/>
      <c r="T2" s="18"/>
      <c r="U2" s="18"/>
      <c r="V2" s="17"/>
      <c r="W2" s="17"/>
      <c r="X2" s="17"/>
      <c r="Y2" s="17"/>
      <c r="Z2" s="81" t="str">
        <f>"FY"&amp;C4</f>
        <v>FY2020-2021</v>
      </c>
      <c r="AA2" s="15"/>
      <c r="AB2" s="18"/>
      <c r="AC2" s="18"/>
      <c r="AD2" s="17"/>
      <c r="AE2" s="17"/>
      <c r="AF2" s="81" t="str">
        <f>"FY"&amp;C4</f>
        <v>FY2020-2021</v>
      </c>
      <c r="AG2" s="17"/>
      <c r="AH2" s="15"/>
      <c r="AI2" s="81"/>
      <c r="AJ2" s="81"/>
      <c r="AK2" s="81"/>
      <c r="AL2" s="81"/>
      <c r="AM2" s="81"/>
    </row>
    <row r="3" spans="1:39" ht="15.75" x14ac:dyDescent="0.25">
      <c r="A3" s="81" t="s">
        <v>3</v>
      </c>
      <c r="B3" s="77"/>
      <c r="C3" s="121">
        <v>4013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15.75" x14ac:dyDescent="0.25">
      <c r="A4" s="81" t="s">
        <v>2</v>
      </c>
      <c r="B4" s="77"/>
      <c r="C4" s="121" t="str">
        <f>'[1]ESSA Title I-A Formula'!$C$4</f>
        <v>2020-2021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81" t="s">
        <v>392</v>
      </c>
      <c r="B5" s="77"/>
      <c r="C5" s="67" t="s">
        <v>619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81" t="s">
        <v>4</v>
      </c>
      <c r="B6" s="77"/>
      <c r="C6" s="81" t="s">
        <v>638</v>
      </c>
      <c r="D6" s="81"/>
      <c r="E6" s="81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s="133" customFormat="1" ht="15.75" x14ac:dyDescent="0.25">
      <c r="A7" s="81"/>
      <c r="B7" s="77"/>
      <c r="C7" s="81" t="s">
        <v>639</v>
      </c>
      <c r="D7" s="81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15.75" x14ac:dyDescent="0.25">
      <c r="A8" s="81" t="s">
        <v>378</v>
      </c>
      <c r="B8" s="77"/>
      <c r="C8" s="81" t="s">
        <v>581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81" t="s">
        <v>379</v>
      </c>
      <c r="B9" s="77"/>
      <c r="C9" s="81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ht="16.5" thickBot="1" x14ac:dyDescent="0.3">
      <c r="A10" s="81" t="s">
        <v>393</v>
      </c>
      <c r="B10" s="77"/>
      <c r="C10" s="81" t="s">
        <v>656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ht="30.75" thickBot="1" x14ac:dyDescent="0.3">
      <c r="A11" s="39" t="s">
        <v>365</v>
      </c>
      <c r="B11" s="87" t="s">
        <v>366</v>
      </c>
      <c r="C11" s="87" t="s">
        <v>367</v>
      </c>
      <c r="D11" s="107" t="s">
        <v>610</v>
      </c>
      <c r="E11" s="41" t="s">
        <v>609</v>
      </c>
      <c r="F11" s="40" t="s">
        <v>368</v>
      </c>
      <c r="G11" s="38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ht="16.5" thickBot="1" x14ac:dyDescent="0.3">
      <c r="A12" s="43" t="s">
        <v>599</v>
      </c>
      <c r="B12" s="44" t="s">
        <v>600</v>
      </c>
      <c r="C12" s="206">
        <v>531304</v>
      </c>
      <c r="D12" s="95"/>
      <c r="E12" s="195">
        <f>C12</f>
        <v>531304</v>
      </c>
      <c r="F12" s="196">
        <f>SUM(H12:AH12)</f>
        <v>531304</v>
      </c>
      <c r="G12" s="197">
        <f>E12-F12</f>
        <v>0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>
        <v>12389.8</v>
      </c>
      <c r="S12" s="199">
        <v>282004.38</v>
      </c>
      <c r="T12" s="199">
        <v>65668.42</v>
      </c>
      <c r="U12" s="199"/>
      <c r="V12" s="199"/>
      <c r="W12" s="199"/>
      <c r="X12" s="199">
        <v>82473.740000000005</v>
      </c>
      <c r="Y12" s="199"/>
      <c r="Z12" s="199">
        <v>49476.94</v>
      </c>
      <c r="AA12" s="199">
        <f>-121168.77+30738.22</f>
        <v>-90430.55</v>
      </c>
      <c r="AB12" s="199">
        <v>27855.05</v>
      </c>
      <c r="AC12" s="199"/>
      <c r="AD12" s="199">
        <v>20926.64</v>
      </c>
      <c r="AE12" s="199">
        <f>24196.47+24221.71</f>
        <v>48418.18</v>
      </c>
      <c r="AF12" s="199"/>
      <c r="AG12" s="199"/>
      <c r="AH12" s="199">
        <f>29877.21+2644.19</f>
        <v>32521.399999999998</v>
      </c>
      <c r="AI12" s="200"/>
      <c r="AJ12" s="200"/>
      <c r="AK12" s="200"/>
      <c r="AL12" s="200"/>
      <c r="AM12" s="200"/>
    </row>
    <row r="13" spans="1:39" s="147" customFormat="1" ht="16.5" thickBot="1" x14ac:dyDescent="0.3">
      <c r="A13" s="154"/>
      <c r="B13" s="155"/>
      <c r="C13" s="210"/>
      <c r="D13" s="156"/>
      <c r="E13" s="209"/>
      <c r="F13" s="209"/>
      <c r="G13" s="209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4"/>
      <c r="AJ13" s="204"/>
      <c r="AK13" s="204"/>
      <c r="AL13" s="204"/>
      <c r="AM13" s="204"/>
    </row>
    <row r="14" spans="1:39" ht="16.5" thickBot="1" x14ac:dyDescent="0.3">
      <c r="A14" s="46" t="s">
        <v>575</v>
      </c>
      <c r="B14" s="46"/>
      <c r="C14" s="208">
        <f>C12</f>
        <v>531304</v>
      </c>
      <c r="D14" s="96"/>
      <c r="E14" s="205">
        <f>E12</f>
        <v>531304</v>
      </c>
      <c r="F14" s="205">
        <f t="shared" ref="F14:G14" si="0">F12</f>
        <v>531304</v>
      </c>
      <c r="G14" s="205">
        <f t="shared" si="0"/>
        <v>0</v>
      </c>
      <c r="H14" s="205">
        <f t="shared" ref="H14:AM14" si="1">SUM(H12:H12)</f>
        <v>0</v>
      </c>
      <c r="I14" s="205">
        <f t="shared" si="1"/>
        <v>0</v>
      </c>
      <c r="J14" s="205">
        <f t="shared" si="1"/>
        <v>0</v>
      </c>
      <c r="K14" s="205">
        <f t="shared" si="1"/>
        <v>0</v>
      </c>
      <c r="L14" s="205">
        <f t="shared" si="1"/>
        <v>0</v>
      </c>
      <c r="M14" s="205">
        <f t="shared" si="1"/>
        <v>0</v>
      </c>
      <c r="N14" s="205">
        <f t="shared" si="1"/>
        <v>0</v>
      </c>
      <c r="O14" s="205">
        <f t="shared" si="1"/>
        <v>0</v>
      </c>
      <c r="P14" s="205">
        <f t="shared" si="1"/>
        <v>0</v>
      </c>
      <c r="Q14" s="205">
        <f t="shared" si="1"/>
        <v>0</v>
      </c>
      <c r="R14" s="205">
        <f t="shared" si="1"/>
        <v>12389.8</v>
      </c>
      <c r="S14" s="205">
        <f t="shared" si="1"/>
        <v>282004.38</v>
      </c>
      <c r="T14" s="205">
        <f t="shared" si="1"/>
        <v>65668.42</v>
      </c>
      <c r="U14" s="205">
        <f t="shared" si="1"/>
        <v>0</v>
      </c>
      <c r="V14" s="205">
        <f t="shared" si="1"/>
        <v>0</v>
      </c>
      <c r="W14" s="205">
        <f t="shared" si="1"/>
        <v>0</v>
      </c>
      <c r="X14" s="205">
        <f t="shared" si="1"/>
        <v>82473.740000000005</v>
      </c>
      <c r="Y14" s="205">
        <f t="shared" si="1"/>
        <v>0</v>
      </c>
      <c r="Z14" s="205">
        <f t="shared" si="1"/>
        <v>49476.94</v>
      </c>
      <c r="AA14" s="205">
        <f t="shared" si="1"/>
        <v>-90430.55</v>
      </c>
      <c r="AB14" s="205">
        <f t="shared" si="1"/>
        <v>27855.05</v>
      </c>
      <c r="AC14" s="205">
        <f t="shared" si="1"/>
        <v>0</v>
      </c>
      <c r="AD14" s="205">
        <f t="shared" si="1"/>
        <v>20926.64</v>
      </c>
      <c r="AE14" s="205">
        <f t="shared" si="1"/>
        <v>48418.18</v>
      </c>
      <c r="AF14" s="205">
        <f t="shared" si="1"/>
        <v>0</v>
      </c>
      <c r="AG14" s="205">
        <f t="shared" si="1"/>
        <v>0</v>
      </c>
      <c r="AH14" s="205">
        <f t="shared" si="1"/>
        <v>32521.399999999998</v>
      </c>
      <c r="AI14" s="205">
        <f t="shared" si="1"/>
        <v>0</v>
      </c>
      <c r="AJ14" s="205">
        <f t="shared" si="1"/>
        <v>0</v>
      </c>
      <c r="AK14" s="205">
        <f t="shared" si="1"/>
        <v>0</v>
      </c>
      <c r="AL14" s="205">
        <f t="shared" si="1"/>
        <v>0</v>
      </c>
      <c r="AM14" s="205">
        <f t="shared" si="1"/>
        <v>0</v>
      </c>
    </row>
    <row r="17" spans="18:18" x14ac:dyDescent="0.25">
      <c r="R17" s="75"/>
    </row>
  </sheetData>
  <sheetProtection algorithmName="SHA-512" hashValue="usf5QP1a764eJeCx8AOW1qi/4ok9jOVzfnEQphY3LYiofmA6j7jJ7Rz4K53qGM6cOubtLoE0krvqWktoDzbn0g==" saltValue="OqFVZCqKS9dU9KCvsAdkk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CCFF"/>
    <pageSetUpPr fitToPage="1"/>
  </sheetPr>
  <dimension ref="A1:AP225"/>
  <sheetViews>
    <sheetView zoomScaleNormal="100"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H15" sqref="AH15"/>
    </sheetView>
  </sheetViews>
  <sheetFormatPr defaultColWidth="9.140625" defaultRowHeight="15.75" x14ac:dyDescent="0.25"/>
  <cols>
    <col min="1" max="1" width="8.28515625" style="116" customWidth="1"/>
    <col min="2" max="2" width="39.28515625" style="116" bestFit="1" customWidth="1"/>
    <col min="3" max="3" width="16.5703125" style="133" customWidth="1"/>
    <col min="4" max="4" width="17.5703125" style="132" customWidth="1"/>
    <col min="5" max="5" width="24.7109375" style="133" customWidth="1"/>
    <col min="6" max="7" width="17" style="133" customWidth="1"/>
    <col min="8" max="11" width="15.7109375" style="133" customWidth="1"/>
    <col min="12" max="12" width="17.5703125" style="133" customWidth="1"/>
    <col min="13" max="18" width="15.7109375" style="133" customWidth="1"/>
    <col min="19" max="19" width="15.7109375" style="304" customWidth="1"/>
    <col min="20" max="20" width="17.7109375" style="133" customWidth="1"/>
    <col min="21" max="37" width="15.7109375" style="133" customWidth="1"/>
    <col min="38" max="43" width="12.7109375" style="133" customWidth="1"/>
    <col min="44" max="16384" width="9.140625" style="133"/>
  </cols>
  <sheetData>
    <row r="1" spans="1:42" s="7" customFormat="1" ht="21" x14ac:dyDescent="0.35">
      <c r="A1" s="160" t="s">
        <v>0</v>
      </c>
      <c r="B1" s="117"/>
      <c r="C1" s="120" t="s">
        <v>665</v>
      </c>
      <c r="D1" s="128"/>
      <c r="E1" s="120"/>
      <c r="F1" s="76"/>
      <c r="G1" s="79"/>
      <c r="H1" s="80"/>
      <c r="I1" s="80"/>
      <c r="J1" s="120" t="str">
        <f>C1</f>
        <v>Title II-A Formula  (Revised Final)</v>
      </c>
      <c r="K1" s="120"/>
      <c r="L1" s="76"/>
      <c r="M1" s="76"/>
      <c r="N1" s="79"/>
      <c r="O1" s="79"/>
      <c r="P1" s="120" t="str">
        <f>C1</f>
        <v>Title II-A Formula  (Revised Final)</v>
      </c>
      <c r="Q1" s="80"/>
      <c r="R1" s="120"/>
      <c r="S1" s="121"/>
      <c r="T1" s="76"/>
      <c r="U1" s="76"/>
      <c r="V1" s="120" t="str">
        <f>C1</f>
        <v>Title II-A Formula  (Revised Final)</v>
      </c>
      <c r="W1" s="79"/>
      <c r="X1" s="80"/>
      <c r="Y1" s="80"/>
      <c r="Z1" s="120"/>
      <c r="AA1" s="120"/>
      <c r="AB1" s="120" t="str">
        <f>C1</f>
        <v>Title II-A Formula  (Revised Final)</v>
      </c>
      <c r="AC1" s="76"/>
      <c r="AD1" s="79"/>
      <c r="AE1" s="79"/>
      <c r="AF1" s="80"/>
      <c r="AG1" s="120" t="str">
        <f>C1</f>
        <v>Title II-A Formula  (Revised Final)</v>
      </c>
      <c r="AH1" s="120"/>
      <c r="AI1" s="120"/>
      <c r="AJ1" s="120"/>
      <c r="AK1" s="120"/>
      <c r="AL1" s="120"/>
      <c r="AM1" s="120"/>
      <c r="AN1" s="29"/>
      <c r="AO1" s="30"/>
      <c r="AP1" s="31"/>
    </row>
    <row r="2" spans="1:42" s="7" customFormat="1" ht="21" x14ac:dyDescent="0.35">
      <c r="A2" s="161" t="s">
        <v>1</v>
      </c>
      <c r="B2" s="117"/>
      <c r="C2" s="82">
        <v>84.367000000000004</v>
      </c>
      <c r="D2" s="131"/>
      <c r="E2" s="82"/>
      <c r="F2" s="81"/>
      <c r="G2" s="83"/>
      <c r="H2" s="80"/>
      <c r="I2" s="80"/>
      <c r="J2" s="81" t="str">
        <f>"FY"&amp;C4</f>
        <v>FY2020-2021</v>
      </c>
      <c r="K2" s="120"/>
      <c r="L2" s="121"/>
      <c r="M2" s="121"/>
      <c r="N2" s="83"/>
      <c r="O2" s="83"/>
      <c r="P2" s="81" t="str">
        <f>"FY"&amp;C4</f>
        <v>FY2020-2021</v>
      </c>
      <c r="Q2" s="83"/>
      <c r="R2" s="81"/>
      <c r="S2" s="121"/>
      <c r="T2" s="121" t="s">
        <v>382</v>
      </c>
      <c r="U2" s="121"/>
      <c r="V2" s="81" t="str">
        <f>"FY"&amp;C4</f>
        <v>FY2020-2021</v>
      </c>
      <c r="W2" s="83"/>
      <c r="X2" s="83"/>
      <c r="Y2" s="83"/>
      <c r="Z2" s="81"/>
      <c r="AA2" s="120"/>
      <c r="AB2" s="81" t="str">
        <f>"FY"&amp;C4</f>
        <v>FY2020-2021</v>
      </c>
      <c r="AC2" s="121"/>
      <c r="AD2" s="83"/>
      <c r="AE2" s="83"/>
      <c r="AF2" s="83"/>
      <c r="AG2" s="81" t="str">
        <f>"FY"&amp;C4</f>
        <v>FY2020-2021</v>
      </c>
      <c r="AH2" s="81"/>
      <c r="AI2" s="81"/>
      <c r="AJ2" s="81"/>
      <c r="AK2" s="81"/>
      <c r="AL2" s="81"/>
      <c r="AM2" s="81"/>
      <c r="AN2" s="32"/>
      <c r="AO2" s="34"/>
      <c r="AP2" s="33"/>
    </row>
    <row r="3" spans="1:42" s="7" customFormat="1" x14ac:dyDescent="0.25">
      <c r="A3" s="161" t="s">
        <v>3</v>
      </c>
      <c r="B3" s="117"/>
      <c r="C3" s="121">
        <v>4367</v>
      </c>
      <c r="D3" s="129"/>
      <c r="E3" s="121"/>
      <c r="F3" s="81"/>
      <c r="G3" s="8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05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42" s="7" customFormat="1" ht="21" x14ac:dyDescent="0.35">
      <c r="A4" s="161" t="s">
        <v>2</v>
      </c>
      <c r="B4" s="117"/>
      <c r="C4" s="120" t="str">
        <f>'[1]ESSA Title I-A Formula'!$C$4</f>
        <v>2020-2021</v>
      </c>
      <c r="D4" s="129"/>
      <c r="E4" s="121"/>
      <c r="F4" s="83"/>
      <c r="G4" s="83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305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42" s="7" customFormat="1" x14ac:dyDescent="0.25">
      <c r="A5" s="161" t="s">
        <v>392</v>
      </c>
      <c r="B5" s="117"/>
      <c r="C5" s="67" t="s">
        <v>619</v>
      </c>
      <c r="D5" s="129"/>
      <c r="E5" s="81"/>
      <c r="F5" s="81"/>
      <c r="G5" s="85"/>
      <c r="H5" s="85"/>
      <c r="I5" s="85"/>
      <c r="J5" s="85"/>
      <c r="K5" s="85"/>
      <c r="L5" s="86"/>
      <c r="M5" s="86"/>
      <c r="N5" s="86"/>
      <c r="O5" s="86"/>
      <c r="P5" s="86"/>
      <c r="Q5" s="86"/>
      <c r="R5" s="86"/>
      <c r="S5" s="30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35"/>
      <c r="AO5" s="35"/>
    </row>
    <row r="6" spans="1:42" s="7" customFormat="1" x14ac:dyDescent="0.25">
      <c r="A6" s="161" t="s">
        <v>4</v>
      </c>
      <c r="B6" s="117"/>
      <c r="C6" s="67" t="s">
        <v>364</v>
      </c>
      <c r="D6" s="129"/>
      <c r="E6" s="81"/>
      <c r="F6" s="81"/>
      <c r="G6" s="85"/>
      <c r="H6" s="85"/>
      <c r="I6" s="85"/>
      <c r="J6" s="85"/>
      <c r="K6" s="85"/>
      <c r="L6" s="86"/>
      <c r="M6" s="86"/>
      <c r="N6" s="86"/>
      <c r="O6" s="86"/>
      <c r="P6" s="86"/>
      <c r="Q6" s="86"/>
      <c r="R6" s="86"/>
      <c r="S6" s="30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35"/>
      <c r="AO6" s="35"/>
    </row>
    <row r="7" spans="1:42" s="7" customFormat="1" x14ac:dyDescent="0.25">
      <c r="A7" s="161"/>
      <c r="B7" s="117"/>
      <c r="C7" s="81" t="s">
        <v>632</v>
      </c>
      <c r="D7" s="129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30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35"/>
      <c r="AO7" s="35"/>
    </row>
    <row r="8" spans="1:42" s="7" customFormat="1" x14ac:dyDescent="0.25">
      <c r="A8" s="161" t="s">
        <v>378</v>
      </c>
      <c r="B8" s="117"/>
      <c r="C8" s="81" t="s">
        <v>582</v>
      </c>
      <c r="D8" s="129"/>
      <c r="E8" s="81"/>
      <c r="F8" s="83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30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35"/>
      <c r="AO8" s="35"/>
    </row>
    <row r="9" spans="1:42" s="7" customFormat="1" x14ac:dyDescent="0.25">
      <c r="A9" s="161" t="s">
        <v>379</v>
      </c>
      <c r="B9" s="117"/>
      <c r="C9" s="81" t="s">
        <v>380</v>
      </c>
      <c r="D9" s="129"/>
      <c r="E9" s="81"/>
      <c r="F9" s="83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30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35"/>
      <c r="AO9" s="35"/>
    </row>
    <row r="10" spans="1:42" s="7" customFormat="1" ht="16.5" thickBot="1" x14ac:dyDescent="0.3">
      <c r="A10" s="161" t="s">
        <v>393</v>
      </c>
      <c r="B10" s="117"/>
      <c r="C10" s="81" t="s">
        <v>656</v>
      </c>
      <c r="D10" s="129"/>
      <c r="E10" s="81"/>
      <c r="F10" s="83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30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35"/>
      <c r="AO10" s="35"/>
    </row>
    <row r="11" spans="1:42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42" s="119" customFormat="1" ht="18" customHeight="1" thickBot="1" x14ac:dyDescent="0.35">
      <c r="A12" s="136" t="s">
        <v>6</v>
      </c>
      <c r="B12" s="135" t="s">
        <v>184</v>
      </c>
      <c r="C12" s="292">
        <v>196663</v>
      </c>
      <c r="D12" s="136"/>
      <c r="E12" s="187">
        <f>C12</f>
        <v>196663</v>
      </c>
      <c r="F12" s="187">
        <f>SUM(H12:AK12)</f>
        <v>196663</v>
      </c>
      <c r="G12" s="187">
        <f>E12-(F12+AL12+AM12)</f>
        <v>0</v>
      </c>
      <c r="H12" s="213"/>
      <c r="I12" s="214"/>
      <c r="J12" s="214"/>
      <c r="K12" s="214"/>
      <c r="L12" s="214">
        <v>64563.56</v>
      </c>
      <c r="M12" s="214">
        <v>2208.9899999999998</v>
      </c>
      <c r="N12" s="214">
        <v>19327.650000000001</v>
      </c>
      <c r="O12" s="214">
        <v>13398.42</v>
      </c>
      <c r="P12" s="214">
        <v>1443.81</v>
      </c>
      <c r="Q12" s="214">
        <v>19736.25</v>
      </c>
      <c r="R12" s="214">
        <v>23577.119999999999</v>
      </c>
      <c r="S12" s="214">
        <v>52407.199999999997</v>
      </c>
      <c r="T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5"/>
      <c r="AJ12" s="216"/>
      <c r="AK12" s="216"/>
      <c r="AL12" s="216"/>
      <c r="AM12" s="216"/>
    </row>
    <row r="13" spans="1:42" s="119" customFormat="1" ht="18" customHeight="1" thickBot="1" x14ac:dyDescent="0.35">
      <c r="A13" s="136" t="s">
        <v>7</v>
      </c>
      <c r="B13" s="135" t="s">
        <v>185</v>
      </c>
      <c r="C13" s="292">
        <v>877845</v>
      </c>
      <c r="D13" s="136"/>
      <c r="E13" s="187">
        <f t="shared" ref="E13:E76" si="0">C13</f>
        <v>877845</v>
      </c>
      <c r="F13" s="187">
        <f t="shared" ref="F13:F76" si="1">SUM(H13:AK13)</f>
        <v>877845</v>
      </c>
      <c r="G13" s="187">
        <f t="shared" ref="G13:G76" si="2">E13-(F13+AL13+AM13)</f>
        <v>0</v>
      </c>
      <c r="H13" s="213"/>
      <c r="I13" s="214"/>
      <c r="J13" s="214"/>
      <c r="K13" s="214"/>
      <c r="L13" s="214">
        <v>25184.39</v>
      </c>
      <c r="M13" s="214">
        <v>63878.54</v>
      </c>
      <c r="N13" s="214">
        <v>78021.53</v>
      </c>
      <c r="O13" s="214">
        <v>60859.21</v>
      </c>
      <c r="P13" s="214">
        <v>92224.61</v>
      </c>
      <c r="Q13" s="214"/>
      <c r="R13" s="214">
        <f>67790.38+64481.98</f>
        <v>132272.36000000002</v>
      </c>
      <c r="S13" s="214">
        <v>68884.23</v>
      </c>
      <c r="T13" s="214">
        <v>64435.29</v>
      </c>
      <c r="U13" s="214">
        <v>107384.07</v>
      </c>
      <c r="V13" s="214">
        <v>45105.77</v>
      </c>
      <c r="W13" s="214"/>
      <c r="X13" s="214">
        <f>30929.62+108665.38</f>
        <v>139595</v>
      </c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5"/>
      <c r="AJ13" s="216"/>
      <c r="AK13" s="216"/>
      <c r="AL13" s="216"/>
      <c r="AM13" s="216"/>
    </row>
    <row r="14" spans="1:42" s="119" customFormat="1" ht="18" customHeight="1" thickBot="1" x14ac:dyDescent="0.35">
      <c r="A14" s="136" t="s">
        <v>8</v>
      </c>
      <c r="B14" s="135" t="s">
        <v>186</v>
      </c>
      <c r="C14" s="292">
        <v>325292</v>
      </c>
      <c r="D14" s="136"/>
      <c r="E14" s="187">
        <f t="shared" si="0"/>
        <v>325292</v>
      </c>
      <c r="F14" s="187">
        <f t="shared" si="1"/>
        <v>325292</v>
      </c>
      <c r="G14" s="187">
        <f t="shared" si="2"/>
        <v>0</v>
      </c>
      <c r="H14" s="213"/>
      <c r="I14" s="214"/>
      <c r="J14" s="214"/>
      <c r="K14" s="214"/>
      <c r="L14" s="214"/>
      <c r="M14" s="214"/>
      <c r="N14" s="214"/>
      <c r="O14" s="214">
        <f>19218.09+28263.05</f>
        <v>47481.14</v>
      </c>
      <c r="P14" s="214">
        <v>81115.38</v>
      </c>
      <c r="Q14" s="214">
        <v>28672.75</v>
      </c>
      <c r="R14" s="214">
        <v>26652.11</v>
      </c>
      <c r="S14" s="214">
        <v>25831.439999999999</v>
      </c>
      <c r="T14" s="214"/>
      <c r="U14" s="214">
        <v>49148.959999999999</v>
      </c>
      <c r="V14" s="214"/>
      <c r="W14" s="214"/>
      <c r="X14" s="214"/>
      <c r="Y14" s="214">
        <v>37291.040000000001</v>
      </c>
      <c r="Z14" s="214"/>
      <c r="AA14" s="214">
        <v>29099.18</v>
      </c>
      <c r="AB14" s="214"/>
      <c r="AC14" s="214"/>
      <c r="AD14" s="214"/>
      <c r="AE14" s="214"/>
      <c r="AF14" s="214"/>
      <c r="AG14" s="214"/>
      <c r="AH14" s="214"/>
      <c r="AI14" s="215"/>
      <c r="AJ14" s="216"/>
      <c r="AK14" s="216"/>
      <c r="AL14" s="216"/>
      <c r="AM14" s="216"/>
    </row>
    <row r="15" spans="1:42" s="119" customFormat="1" ht="18" customHeight="1" thickBot="1" x14ac:dyDescent="0.35">
      <c r="A15" s="136" t="s">
        <v>9</v>
      </c>
      <c r="B15" s="135" t="s">
        <v>187</v>
      </c>
      <c r="C15" s="292">
        <v>306079</v>
      </c>
      <c r="D15" s="136"/>
      <c r="E15" s="187">
        <f t="shared" si="0"/>
        <v>306079</v>
      </c>
      <c r="F15" s="187">
        <f t="shared" si="1"/>
        <v>306078.99999999994</v>
      </c>
      <c r="G15" s="187">
        <f t="shared" si="2"/>
        <v>0</v>
      </c>
      <c r="H15" s="213"/>
      <c r="I15" s="214"/>
      <c r="J15" s="214"/>
      <c r="K15" s="214"/>
      <c r="L15" s="214"/>
      <c r="M15" s="214"/>
      <c r="N15" s="214"/>
      <c r="O15" s="214"/>
      <c r="P15" s="214"/>
      <c r="Q15" s="214"/>
      <c r="R15" s="214">
        <v>107924.62</v>
      </c>
      <c r="S15" s="214"/>
      <c r="T15" s="214">
        <v>22504</v>
      </c>
      <c r="U15" s="214"/>
      <c r="V15" s="214">
        <v>21295.21</v>
      </c>
      <c r="W15" s="214">
        <v>45592</v>
      </c>
      <c r="X15" s="214"/>
      <c r="Y15" s="214">
        <f>36086+18026+36086</f>
        <v>90198</v>
      </c>
      <c r="Z15" s="214"/>
      <c r="AA15" s="214">
        <v>18565.169999999998</v>
      </c>
      <c r="AB15" s="214"/>
      <c r="AC15" s="214"/>
      <c r="AD15" s="214"/>
      <c r="AE15" s="214"/>
      <c r="AF15" s="214"/>
      <c r="AG15" s="214"/>
      <c r="AH15" s="214"/>
      <c r="AI15" s="215"/>
      <c r="AJ15" s="216"/>
      <c r="AK15" s="216"/>
      <c r="AL15" s="216"/>
      <c r="AM15" s="216"/>
    </row>
    <row r="16" spans="1:42" s="119" customFormat="1" ht="18" customHeight="1" thickBot="1" x14ac:dyDescent="0.35">
      <c r="A16" s="136" t="s">
        <v>10</v>
      </c>
      <c r="B16" s="135" t="s">
        <v>188</v>
      </c>
      <c r="C16" s="292">
        <v>20751</v>
      </c>
      <c r="D16" s="136" t="s">
        <v>370</v>
      </c>
      <c r="E16" s="281">
        <v>0</v>
      </c>
      <c r="F16" s="187">
        <f t="shared" si="1"/>
        <v>0</v>
      </c>
      <c r="G16" s="187">
        <f t="shared" si="2"/>
        <v>0</v>
      </c>
      <c r="H16" s="213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216"/>
      <c r="AK16" s="216"/>
      <c r="AL16" s="216"/>
      <c r="AM16" s="216"/>
    </row>
    <row r="17" spans="1:39" s="119" customFormat="1" ht="18" customHeight="1" thickBot="1" x14ac:dyDescent="0.35">
      <c r="A17" s="136" t="s">
        <v>11</v>
      </c>
      <c r="B17" s="135" t="s">
        <v>189</v>
      </c>
      <c r="C17" s="292">
        <v>15721</v>
      </c>
      <c r="D17" s="136" t="s">
        <v>370</v>
      </c>
      <c r="E17" s="281">
        <v>0</v>
      </c>
      <c r="F17" s="187">
        <f t="shared" si="1"/>
        <v>0</v>
      </c>
      <c r="G17" s="187">
        <f t="shared" si="2"/>
        <v>0</v>
      </c>
      <c r="H17" s="213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5"/>
      <c r="AJ17" s="216"/>
      <c r="AK17" s="216"/>
      <c r="AL17" s="216"/>
      <c r="AM17" s="216"/>
    </row>
    <row r="18" spans="1:39" s="119" customFormat="1" ht="18" customHeight="1" thickBot="1" x14ac:dyDescent="0.35">
      <c r="A18" s="136" t="s">
        <v>12</v>
      </c>
      <c r="B18" s="135" t="s">
        <v>190</v>
      </c>
      <c r="C18" s="292">
        <v>413307</v>
      </c>
      <c r="D18" s="136"/>
      <c r="E18" s="187">
        <f t="shared" si="0"/>
        <v>413307</v>
      </c>
      <c r="F18" s="187">
        <f t="shared" si="1"/>
        <v>413306.99999999994</v>
      </c>
      <c r="G18" s="187">
        <f t="shared" si="2"/>
        <v>0</v>
      </c>
      <c r="H18" s="213"/>
      <c r="I18" s="214"/>
      <c r="J18" s="214"/>
      <c r="K18" s="214"/>
      <c r="L18" s="214"/>
      <c r="M18" s="214"/>
      <c r="N18" s="214">
        <v>134401.68</v>
      </c>
      <c r="O18" s="214">
        <v>18532.55</v>
      </c>
      <c r="P18" s="214">
        <v>63760.42</v>
      </c>
      <c r="Q18" s="214">
        <v>19216.29</v>
      </c>
      <c r="R18" s="214">
        <f>19930.29+27520.46</f>
        <v>47450.75</v>
      </c>
      <c r="S18" s="214">
        <v>47424.7</v>
      </c>
      <c r="T18" s="214"/>
      <c r="U18" s="214"/>
      <c r="V18" s="214">
        <v>20408.599999999999</v>
      </c>
      <c r="W18" s="214">
        <v>54370.34</v>
      </c>
      <c r="X18" s="214">
        <v>7741.67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5"/>
      <c r="AJ18" s="216"/>
      <c r="AK18" s="216"/>
      <c r="AL18" s="216"/>
      <c r="AM18" s="216"/>
    </row>
    <row r="19" spans="1:39" s="119" customFormat="1" ht="18" customHeight="1" thickBot="1" x14ac:dyDescent="0.35">
      <c r="A19" s="136" t="s">
        <v>13</v>
      </c>
      <c r="B19" s="135" t="s">
        <v>191</v>
      </c>
      <c r="C19" s="292">
        <v>131440</v>
      </c>
      <c r="D19" s="136"/>
      <c r="E19" s="187">
        <f t="shared" si="0"/>
        <v>131440</v>
      </c>
      <c r="F19" s="187">
        <f t="shared" si="1"/>
        <v>131440</v>
      </c>
      <c r="G19" s="187">
        <f t="shared" si="2"/>
        <v>0</v>
      </c>
      <c r="H19" s="213"/>
      <c r="I19" s="214"/>
      <c r="J19" s="214"/>
      <c r="K19" s="214"/>
      <c r="L19" s="214"/>
      <c r="M19" s="214">
        <v>5056.6499999999996</v>
      </c>
      <c r="N19" s="214">
        <v>8875.4599999999991</v>
      </c>
      <c r="O19" s="214">
        <v>8678.92</v>
      </c>
      <c r="P19" s="214">
        <v>8678.89</v>
      </c>
      <c r="Q19" s="214">
        <v>8678.92</v>
      </c>
      <c r="R19" s="214">
        <v>9178.92</v>
      </c>
      <c r="S19" s="214">
        <v>14449.5</v>
      </c>
      <c r="T19" s="214">
        <v>13114.28</v>
      </c>
      <c r="U19" s="214">
        <v>9044.86</v>
      </c>
      <c r="V19" s="214">
        <v>17858.150000000001</v>
      </c>
      <c r="W19" s="214">
        <f>244.48+10706.29</f>
        <v>10950.77</v>
      </c>
      <c r="X19" s="214">
        <v>9148.0300000000007</v>
      </c>
      <c r="Y19" s="214">
        <v>7726.65</v>
      </c>
      <c r="Z19" s="214"/>
      <c r="AA19" s="214"/>
      <c r="AB19" s="214"/>
      <c r="AC19" s="214"/>
      <c r="AD19" s="214"/>
      <c r="AE19" s="214"/>
      <c r="AF19" s="214"/>
      <c r="AG19" s="214"/>
      <c r="AH19" s="214"/>
      <c r="AI19" s="215"/>
      <c r="AJ19" s="216"/>
      <c r="AK19" s="216"/>
      <c r="AL19" s="216"/>
      <c r="AM19" s="216"/>
    </row>
    <row r="20" spans="1:39" s="119" customFormat="1" ht="18" customHeight="1" thickBot="1" x14ac:dyDescent="0.35">
      <c r="A20" s="136" t="s">
        <v>14</v>
      </c>
      <c r="B20" s="135" t="s">
        <v>192</v>
      </c>
      <c r="C20" s="292">
        <v>12436</v>
      </c>
      <c r="D20" s="136"/>
      <c r="E20" s="187">
        <f t="shared" si="0"/>
        <v>12436</v>
      </c>
      <c r="F20" s="187">
        <f t="shared" si="1"/>
        <v>12436</v>
      </c>
      <c r="G20" s="187">
        <f t="shared" si="2"/>
        <v>0</v>
      </c>
      <c r="H20" s="213"/>
      <c r="I20" s="214"/>
      <c r="J20" s="214"/>
      <c r="K20" s="214"/>
      <c r="L20" s="214"/>
      <c r="M20" s="214"/>
      <c r="N20" s="214"/>
      <c r="O20" s="214">
        <v>4827.32</v>
      </c>
      <c r="P20" s="214"/>
      <c r="Q20" s="214"/>
      <c r="R20" s="214"/>
      <c r="S20" s="214">
        <v>7271.68</v>
      </c>
      <c r="T20" s="214"/>
      <c r="U20" s="214"/>
      <c r="V20" s="214"/>
      <c r="W20" s="214"/>
      <c r="X20" s="214"/>
      <c r="Y20" s="214"/>
      <c r="Z20" s="214"/>
      <c r="AA20" s="214"/>
      <c r="AB20" s="214"/>
      <c r="AC20" s="214">
        <v>337</v>
      </c>
      <c r="AD20" s="214"/>
      <c r="AE20" s="214"/>
      <c r="AF20" s="214"/>
      <c r="AG20" s="214"/>
      <c r="AH20" s="214"/>
      <c r="AI20" s="215"/>
      <c r="AJ20" s="216"/>
      <c r="AK20" s="216"/>
      <c r="AL20" s="216"/>
      <c r="AM20" s="216"/>
    </row>
    <row r="21" spans="1:39" s="119" customFormat="1" ht="18" customHeight="1" thickBot="1" x14ac:dyDescent="0.35">
      <c r="A21" s="136" t="s">
        <v>15</v>
      </c>
      <c r="B21" s="135" t="s">
        <v>193</v>
      </c>
      <c r="C21" s="292">
        <v>112565</v>
      </c>
      <c r="D21" s="136"/>
      <c r="E21" s="187">
        <f t="shared" si="0"/>
        <v>112565</v>
      </c>
      <c r="F21" s="187">
        <f t="shared" si="1"/>
        <v>112565</v>
      </c>
      <c r="G21" s="187">
        <f t="shared" si="2"/>
        <v>0</v>
      </c>
      <c r="H21" s="213"/>
      <c r="I21" s="214"/>
      <c r="J21" s="214"/>
      <c r="K21" s="214"/>
      <c r="L21" s="214">
        <v>25503</v>
      </c>
      <c r="M21" s="214">
        <v>8208</v>
      </c>
      <c r="N21" s="214">
        <v>8207</v>
      </c>
      <c r="O21" s="214">
        <v>8207</v>
      </c>
      <c r="P21" s="214">
        <v>8208</v>
      </c>
      <c r="Q21" s="214">
        <v>10766</v>
      </c>
      <c r="R21" s="214">
        <v>8492</v>
      </c>
      <c r="S21" s="214">
        <v>8207</v>
      </c>
      <c r="T21" s="214">
        <v>8744</v>
      </c>
      <c r="U21" s="214"/>
      <c r="V21" s="214">
        <v>5059</v>
      </c>
      <c r="W21" s="214"/>
      <c r="X21" s="214"/>
      <c r="Y21" s="214">
        <v>12964</v>
      </c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  <c r="AJ21" s="216"/>
      <c r="AK21" s="216"/>
      <c r="AL21" s="216"/>
      <c r="AM21" s="216"/>
    </row>
    <row r="22" spans="1:39" s="119" customFormat="1" ht="18" customHeight="1" thickBot="1" x14ac:dyDescent="0.35">
      <c r="A22" s="136" t="s">
        <v>16</v>
      </c>
      <c r="B22" s="135" t="s">
        <v>194</v>
      </c>
      <c r="C22" s="292">
        <v>64780</v>
      </c>
      <c r="D22" s="136"/>
      <c r="E22" s="187">
        <f t="shared" si="0"/>
        <v>64780</v>
      </c>
      <c r="F22" s="187">
        <f t="shared" si="1"/>
        <v>64779.999999999993</v>
      </c>
      <c r="G22" s="187">
        <f t="shared" si="2"/>
        <v>0</v>
      </c>
      <c r="H22" s="213"/>
      <c r="I22" s="214"/>
      <c r="J22" s="214"/>
      <c r="K22" s="214"/>
      <c r="L22" s="214"/>
      <c r="M22" s="214"/>
      <c r="N22" s="215">
        <v>14392.39</v>
      </c>
      <c r="O22" s="214"/>
      <c r="P22" s="214"/>
      <c r="Q22" s="214">
        <v>17313.439999999999</v>
      </c>
      <c r="R22" s="214"/>
      <c r="S22" s="214">
        <v>11545.45</v>
      </c>
      <c r="T22" s="214"/>
      <c r="U22" s="214">
        <v>11683.81</v>
      </c>
      <c r="V22" s="214"/>
      <c r="W22" s="214">
        <v>194.13</v>
      </c>
      <c r="X22" s="214">
        <v>7522.5</v>
      </c>
      <c r="Y22" s="214">
        <v>2128.2800000000002</v>
      </c>
      <c r="Z22" s="214"/>
      <c r="AA22" s="214"/>
      <c r="AB22" s="214"/>
      <c r="AC22" s="214"/>
      <c r="AD22" s="214"/>
      <c r="AE22" s="214"/>
      <c r="AF22" s="214"/>
      <c r="AG22" s="214"/>
      <c r="AH22" s="214"/>
      <c r="AI22" s="215"/>
      <c r="AJ22" s="216"/>
      <c r="AK22" s="216"/>
      <c r="AL22" s="216"/>
      <c r="AM22" s="216"/>
    </row>
    <row r="23" spans="1:39" s="119" customFormat="1" ht="18" customHeight="1" thickBot="1" x14ac:dyDescent="0.35">
      <c r="A23" s="136" t="s">
        <v>17</v>
      </c>
      <c r="B23" s="135" t="s">
        <v>195</v>
      </c>
      <c r="C23" s="292">
        <v>959974</v>
      </c>
      <c r="D23" s="136"/>
      <c r="E23" s="187">
        <f t="shared" si="0"/>
        <v>959974</v>
      </c>
      <c r="F23" s="187">
        <f t="shared" si="1"/>
        <v>411436.09</v>
      </c>
      <c r="G23" s="187">
        <f t="shared" si="2"/>
        <v>548537.90999999992</v>
      </c>
      <c r="H23" s="213"/>
      <c r="I23" s="214"/>
      <c r="J23" s="214"/>
      <c r="K23" s="214"/>
      <c r="L23" s="214"/>
      <c r="M23" s="214"/>
      <c r="N23" s="214"/>
      <c r="O23" s="214"/>
      <c r="P23" s="214">
        <v>58222.22</v>
      </c>
      <c r="Q23" s="214">
        <v>7888.92</v>
      </c>
      <c r="R23" s="214">
        <v>6810.9</v>
      </c>
      <c r="S23" s="214">
        <v>6625.12</v>
      </c>
      <c r="T23" s="214">
        <v>6804.26</v>
      </c>
      <c r="U23" s="214"/>
      <c r="V23" s="214">
        <v>30017.27</v>
      </c>
      <c r="W23" s="214">
        <v>5552.58</v>
      </c>
      <c r="X23" s="214"/>
      <c r="Y23" s="214"/>
      <c r="Z23" s="214"/>
      <c r="AA23" s="214"/>
      <c r="AB23" s="214"/>
      <c r="AC23" s="214"/>
      <c r="AD23" s="214"/>
      <c r="AE23" s="214"/>
      <c r="AF23" s="214">
        <v>174628.24</v>
      </c>
      <c r="AG23" s="214"/>
      <c r="AH23" s="214">
        <v>114886.58</v>
      </c>
      <c r="AI23" s="215"/>
      <c r="AJ23" s="216"/>
      <c r="AK23" s="216"/>
      <c r="AL23" s="216"/>
      <c r="AM23" s="216"/>
    </row>
    <row r="24" spans="1:39" s="119" customFormat="1" ht="18" customHeight="1" thickBot="1" x14ac:dyDescent="0.35">
      <c r="A24" s="136" t="s">
        <v>18</v>
      </c>
      <c r="B24" s="135" t="s">
        <v>196</v>
      </c>
      <c r="C24" s="292">
        <v>212815</v>
      </c>
      <c r="D24" s="136"/>
      <c r="E24" s="187">
        <f t="shared" si="0"/>
        <v>212815</v>
      </c>
      <c r="F24" s="187">
        <f t="shared" si="1"/>
        <v>212815</v>
      </c>
      <c r="G24" s="187">
        <f t="shared" si="2"/>
        <v>0</v>
      </c>
      <c r="H24" s="213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>
        <v>7769.66</v>
      </c>
      <c r="W24" s="214">
        <v>4876.6099999999997</v>
      </c>
      <c r="X24" s="214">
        <v>22898.3</v>
      </c>
      <c r="Y24" s="214"/>
      <c r="Z24" s="214">
        <f>12218.03+40273.07</f>
        <v>52491.1</v>
      </c>
      <c r="AA24" s="214">
        <v>8951.6299999999992</v>
      </c>
      <c r="AB24" s="214">
        <v>20586.64</v>
      </c>
      <c r="AC24" s="214">
        <v>48612.97</v>
      </c>
      <c r="AD24" s="214">
        <v>32961.879999999997</v>
      </c>
      <c r="AE24" s="214">
        <v>13666.21</v>
      </c>
      <c r="AF24" s="214"/>
      <c r="AG24" s="214"/>
      <c r="AH24" s="214"/>
      <c r="AI24" s="215"/>
      <c r="AJ24" s="216"/>
      <c r="AK24" s="216"/>
      <c r="AL24" s="216"/>
      <c r="AM24" s="216"/>
    </row>
    <row r="25" spans="1:39" s="119" customFormat="1" ht="18" customHeight="1" thickBot="1" x14ac:dyDescent="0.35">
      <c r="A25" s="136" t="s">
        <v>19</v>
      </c>
      <c r="B25" s="135" t="s">
        <v>197</v>
      </c>
      <c r="C25" s="292">
        <v>4115</v>
      </c>
      <c r="D25" s="136" t="s">
        <v>370</v>
      </c>
      <c r="E25" s="281">
        <v>0</v>
      </c>
      <c r="F25" s="187">
        <f t="shared" si="1"/>
        <v>0</v>
      </c>
      <c r="G25" s="187">
        <f t="shared" si="2"/>
        <v>0</v>
      </c>
      <c r="H25" s="213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5"/>
      <c r="AJ25" s="216"/>
      <c r="AK25" s="216"/>
      <c r="AL25" s="216"/>
      <c r="AM25" s="216"/>
    </row>
    <row r="26" spans="1:39" s="119" customFormat="1" ht="18" customHeight="1" thickBot="1" x14ac:dyDescent="0.35">
      <c r="A26" s="136" t="s">
        <v>20</v>
      </c>
      <c r="B26" s="135" t="s">
        <v>198</v>
      </c>
      <c r="C26" s="292">
        <v>1409085</v>
      </c>
      <c r="D26" s="136"/>
      <c r="E26" s="187">
        <f t="shared" si="0"/>
        <v>1409085</v>
      </c>
      <c r="F26" s="187">
        <f t="shared" si="1"/>
        <v>1409085</v>
      </c>
      <c r="G26" s="187">
        <f t="shared" si="2"/>
        <v>0</v>
      </c>
      <c r="H26" s="213"/>
      <c r="I26" s="214"/>
      <c r="J26" s="214"/>
      <c r="K26" s="214"/>
      <c r="L26" s="214"/>
      <c r="M26" s="214">
        <v>391009.14</v>
      </c>
      <c r="N26" s="214"/>
      <c r="O26" s="214">
        <v>268158.77</v>
      </c>
      <c r="P26" s="214">
        <v>146930.38</v>
      </c>
      <c r="Q26" s="214">
        <v>148041.93</v>
      </c>
      <c r="R26" s="214"/>
      <c r="S26" s="214"/>
      <c r="T26" s="214"/>
      <c r="U26" s="214"/>
      <c r="V26" s="214"/>
      <c r="W26" s="214">
        <f>275649.86+171696.31</f>
        <v>447346.17</v>
      </c>
      <c r="X26" s="214"/>
      <c r="Y26" s="214"/>
      <c r="Z26" s="214">
        <v>7598.61</v>
      </c>
      <c r="AA26" s="214"/>
      <c r="AB26" s="214"/>
      <c r="AC26" s="214"/>
      <c r="AD26" s="214"/>
      <c r="AE26" s="214"/>
      <c r="AF26" s="214"/>
      <c r="AG26" s="214"/>
      <c r="AH26" s="214"/>
      <c r="AI26" s="215"/>
      <c r="AJ26" s="216"/>
      <c r="AK26" s="216"/>
      <c r="AL26" s="216"/>
      <c r="AM26" s="216"/>
    </row>
    <row r="27" spans="1:39" s="119" customFormat="1" ht="18" customHeight="1" thickBot="1" x14ac:dyDescent="0.35">
      <c r="A27" s="136" t="s">
        <v>21</v>
      </c>
      <c r="B27" s="135" t="s">
        <v>199</v>
      </c>
      <c r="C27" s="292">
        <v>10306</v>
      </c>
      <c r="D27" s="136" t="s">
        <v>370</v>
      </c>
      <c r="E27" s="281">
        <v>0</v>
      </c>
      <c r="F27" s="187">
        <f t="shared" si="1"/>
        <v>0</v>
      </c>
      <c r="G27" s="187">
        <f t="shared" si="2"/>
        <v>0</v>
      </c>
      <c r="H27" s="213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5"/>
      <c r="AJ27" s="216"/>
      <c r="AK27" s="216"/>
      <c r="AL27" s="216"/>
      <c r="AM27" s="216"/>
    </row>
    <row r="28" spans="1:39" s="119" customFormat="1" ht="18" customHeight="1" thickBot="1" x14ac:dyDescent="0.35">
      <c r="A28" s="136" t="s">
        <v>22</v>
      </c>
      <c r="B28" s="135" t="s">
        <v>200</v>
      </c>
      <c r="C28" s="292">
        <v>70986</v>
      </c>
      <c r="D28" s="136"/>
      <c r="E28" s="187">
        <f t="shared" si="0"/>
        <v>70986</v>
      </c>
      <c r="F28" s="187">
        <f t="shared" si="1"/>
        <v>70986</v>
      </c>
      <c r="G28" s="187">
        <f t="shared" si="2"/>
        <v>0</v>
      </c>
      <c r="H28" s="213"/>
      <c r="I28" s="214"/>
      <c r="J28" s="214"/>
      <c r="K28" s="214"/>
      <c r="L28" s="214"/>
      <c r="M28" s="214">
        <v>31794.74</v>
      </c>
      <c r="N28" s="214">
        <v>6519.71</v>
      </c>
      <c r="O28" s="214">
        <f>6519.71+5806</f>
        <v>12325.71</v>
      </c>
      <c r="P28" s="214"/>
      <c r="Q28" s="214">
        <v>505.42</v>
      </c>
      <c r="R28" s="214">
        <v>6519.71</v>
      </c>
      <c r="S28" s="214">
        <v>6519.71</v>
      </c>
      <c r="T28" s="214">
        <v>6509.59</v>
      </c>
      <c r="U28" s="214"/>
      <c r="V28" s="214"/>
      <c r="W28" s="214"/>
      <c r="X28" s="214"/>
      <c r="Y28" s="214"/>
      <c r="Z28" s="214"/>
      <c r="AA28" s="214">
        <v>291.41000000000003</v>
      </c>
      <c r="AB28" s="214"/>
      <c r="AC28" s="214"/>
      <c r="AD28" s="214"/>
      <c r="AE28" s="214"/>
      <c r="AF28" s="214"/>
      <c r="AG28" s="214"/>
      <c r="AH28" s="214"/>
      <c r="AI28" s="215"/>
      <c r="AJ28" s="216"/>
      <c r="AK28" s="216"/>
      <c r="AL28" s="216"/>
      <c r="AM28" s="216"/>
    </row>
    <row r="29" spans="1:39" s="119" customFormat="1" ht="18" customHeight="1" thickBot="1" x14ac:dyDescent="0.35">
      <c r="A29" s="136" t="s">
        <v>23</v>
      </c>
      <c r="B29" s="135" t="s">
        <v>201</v>
      </c>
      <c r="C29" s="292">
        <v>4928</v>
      </c>
      <c r="D29" s="136"/>
      <c r="E29" s="187">
        <f t="shared" si="0"/>
        <v>4928</v>
      </c>
      <c r="F29" s="187">
        <f t="shared" si="1"/>
        <v>4928</v>
      </c>
      <c r="G29" s="187">
        <f t="shared" si="2"/>
        <v>0</v>
      </c>
      <c r="H29" s="213"/>
      <c r="I29" s="214"/>
      <c r="J29" s="214"/>
      <c r="K29" s="214"/>
      <c r="L29" s="214"/>
      <c r="M29" s="214">
        <v>3442</v>
      </c>
      <c r="N29" s="214"/>
      <c r="O29" s="214"/>
      <c r="P29" s="214"/>
      <c r="Q29" s="214"/>
      <c r="R29" s="214"/>
      <c r="S29" s="214">
        <v>1447</v>
      </c>
      <c r="T29" s="214"/>
      <c r="U29" s="214"/>
      <c r="V29" s="214"/>
      <c r="W29" s="214"/>
      <c r="X29" s="214"/>
      <c r="Y29" s="214"/>
      <c r="Z29" s="214">
        <v>39</v>
      </c>
      <c r="AA29" s="214"/>
      <c r="AB29" s="214"/>
      <c r="AC29" s="214"/>
      <c r="AD29" s="214"/>
      <c r="AE29" s="214"/>
      <c r="AF29" s="214"/>
      <c r="AG29" s="214"/>
      <c r="AH29" s="214"/>
      <c r="AI29" s="215"/>
      <c r="AJ29" s="216"/>
      <c r="AK29" s="216"/>
      <c r="AL29" s="216"/>
      <c r="AM29" s="216"/>
    </row>
    <row r="30" spans="1:39" s="119" customFormat="1" ht="18" customHeight="1" thickBot="1" x14ac:dyDescent="0.35">
      <c r="A30" s="136" t="s">
        <v>24</v>
      </c>
      <c r="B30" s="135" t="s">
        <v>202</v>
      </c>
      <c r="C30" s="292">
        <v>2311</v>
      </c>
      <c r="D30" s="136"/>
      <c r="E30" s="187">
        <f t="shared" si="0"/>
        <v>2311</v>
      </c>
      <c r="F30" s="187">
        <f t="shared" si="1"/>
        <v>0</v>
      </c>
      <c r="G30" s="187">
        <f t="shared" si="2"/>
        <v>2311</v>
      </c>
      <c r="H30" s="213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5"/>
      <c r="AJ30" s="216"/>
      <c r="AK30" s="216"/>
      <c r="AL30" s="216"/>
      <c r="AM30" s="216"/>
    </row>
    <row r="31" spans="1:39" s="119" customFormat="1" ht="18" customHeight="1" thickBot="1" x14ac:dyDescent="0.35">
      <c r="A31" s="136" t="s">
        <v>25</v>
      </c>
      <c r="B31" s="135" t="s">
        <v>203</v>
      </c>
      <c r="C31" s="292">
        <v>19951</v>
      </c>
      <c r="D31" s="136"/>
      <c r="E31" s="187">
        <f t="shared" si="0"/>
        <v>19951</v>
      </c>
      <c r="F31" s="187">
        <f t="shared" si="1"/>
        <v>19951</v>
      </c>
      <c r="G31" s="187">
        <f t="shared" si="2"/>
        <v>0</v>
      </c>
      <c r="H31" s="213"/>
      <c r="I31" s="214"/>
      <c r="J31" s="214"/>
      <c r="K31" s="214"/>
      <c r="L31" s="214"/>
      <c r="M31" s="214"/>
      <c r="N31" s="214"/>
      <c r="O31" s="214"/>
      <c r="P31" s="214">
        <f>13957.83+3524.9</f>
        <v>17482.73</v>
      </c>
      <c r="Q31" s="214"/>
      <c r="R31" s="214">
        <v>2468.27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5"/>
      <c r="AJ31" s="216"/>
      <c r="AK31" s="216"/>
      <c r="AL31" s="216"/>
      <c r="AM31" s="216"/>
    </row>
    <row r="32" spans="1:39" s="119" customFormat="1" ht="18" customHeight="1" thickBot="1" x14ac:dyDescent="0.35">
      <c r="A32" s="136" t="s">
        <v>26</v>
      </c>
      <c r="B32" s="135" t="s">
        <v>204</v>
      </c>
      <c r="C32" s="292">
        <v>2286</v>
      </c>
      <c r="D32" s="136"/>
      <c r="E32" s="187">
        <f t="shared" si="0"/>
        <v>2286</v>
      </c>
      <c r="F32" s="187">
        <f t="shared" si="1"/>
        <v>2286</v>
      </c>
      <c r="G32" s="187">
        <f t="shared" si="2"/>
        <v>0</v>
      </c>
      <c r="H32" s="213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>
        <v>2286</v>
      </c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5"/>
      <c r="AJ32" s="216"/>
      <c r="AK32" s="216"/>
      <c r="AL32" s="216"/>
      <c r="AM32" s="216"/>
    </row>
    <row r="33" spans="1:39" s="119" customFormat="1" ht="18" customHeight="1" thickBot="1" x14ac:dyDescent="0.35">
      <c r="A33" s="136" t="s">
        <v>27</v>
      </c>
      <c r="B33" s="135" t="s">
        <v>205</v>
      </c>
      <c r="C33" s="292">
        <v>1887</v>
      </c>
      <c r="D33" s="136"/>
      <c r="E33" s="187">
        <f t="shared" si="0"/>
        <v>1887</v>
      </c>
      <c r="F33" s="187">
        <f t="shared" si="1"/>
        <v>1887</v>
      </c>
      <c r="G33" s="187">
        <f t="shared" si="2"/>
        <v>0</v>
      </c>
      <c r="H33" s="213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>
        <v>900</v>
      </c>
      <c r="T33" s="214"/>
      <c r="U33" s="214">
        <v>986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>
        <v>1</v>
      </c>
      <c r="AF33" s="214"/>
      <c r="AG33" s="214"/>
      <c r="AH33" s="214"/>
      <c r="AI33" s="215"/>
      <c r="AJ33" s="216"/>
      <c r="AK33" s="216"/>
      <c r="AL33" s="216"/>
      <c r="AM33" s="216"/>
    </row>
    <row r="34" spans="1:39" s="119" customFormat="1" ht="18" customHeight="1" thickBot="1" x14ac:dyDescent="0.35">
      <c r="A34" s="136" t="s">
        <v>28</v>
      </c>
      <c r="B34" s="135" t="s">
        <v>206</v>
      </c>
      <c r="C34" s="292">
        <v>30643</v>
      </c>
      <c r="D34" s="136"/>
      <c r="E34" s="187">
        <f t="shared" si="0"/>
        <v>30643</v>
      </c>
      <c r="F34" s="187">
        <f t="shared" si="1"/>
        <v>30643</v>
      </c>
      <c r="G34" s="187">
        <f t="shared" si="2"/>
        <v>0</v>
      </c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>
        <v>23481.9</v>
      </c>
      <c r="U34" s="214">
        <v>3021.67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>
        <v>4139.43</v>
      </c>
      <c r="AF34" s="214"/>
      <c r="AG34" s="214"/>
      <c r="AH34" s="214"/>
      <c r="AI34" s="215"/>
      <c r="AJ34" s="216"/>
      <c r="AK34" s="216"/>
      <c r="AL34" s="216"/>
      <c r="AM34" s="216"/>
    </row>
    <row r="35" spans="1:39" s="119" customFormat="1" ht="18" customHeight="1" thickBot="1" x14ac:dyDescent="0.35">
      <c r="A35" s="136" t="s">
        <v>29</v>
      </c>
      <c r="B35" s="135" t="s">
        <v>207</v>
      </c>
      <c r="C35" s="292">
        <v>5979</v>
      </c>
      <c r="D35" s="136"/>
      <c r="E35" s="187">
        <f t="shared" si="0"/>
        <v>5979</v>
      </c>
      <c r="F35" s="187">
        <f t="shared" si="1"/>
        <v>5979</v>
      </c>
      <c r="G35" s="187">
        <f t="shared" si="2"/>
        <v>0</v>
      </c>
      <c r="H35" s="213"/>
      <c r="I35" s="214"/>
      <c r="J35" s="214"/>
      <c r="K35" s="214"/>
      <c r="L35" s="214">
        <v>3074</v>
      </c>
      <c r="M35" s="214"/>
      <c r="N35" s="214"/>
      <c r="O35" s="214"/>
      <c r="P35" s="214">
        <v>2905</v>
      </c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5"/>
      <c r="AJ35" s="216"/>
      <c r="AK35" s="216"/>
      <c r="AL35" s="216"/>
      <c r="AM35" s="216"/>
    </row>
    <row r="36" spans="1:39" s="119" customFormat="1" ht="18" customHeight="1" thickBot="1" x14ac:dyDescent="0.35">
      <c r="A36" s="136" t="s">
        <v>30</v>
      </c>
      <c r="B36" s="135" t="s">
        <v>208</v>
      </c>
      <c r="C36" s="292">
        <v>539819</v>
      </c>
      <c r="D36" s="136"/>
      <c r="E36" s="187">
        <f t="shared" si="0"/>
        <v>539819</v>
      </c>
      <c r="F36" s="187">
        <f t="shared" si="1"/>
        <v>539819</v>
      </c>
      <c r="G36" s="187">
        <f t="shared" si="2"/>
        <v>0</v>
      </c>
      <c r="H36" s="213"/>
      <c r="I36" s="214"/>
      <c r="J36" s="214"/>
      <c r="K36" s="214"/>
      <c r="L36" s="214"/>
      <c r="M36" s="214"/>
      <c r="N36" s="214"/>
      <c r="O36" s="214"/>
      <c r="P36" s="214"/>
      <c r="Q36" s="214">
        <v>10866.33</v>
      </c>
      <c r="R36" s="214">
        <v>27694.36</v>
      </c>
      <c r="S36" s="214">
        <v>31595.78</v>
      </c>
      <c r="T36" s="214">
        <v>29851.73</v>
      </c>
      <c r="U36" s="214"/>
      <c r="V36" s="214"/>
      <c r="W36" s="214">
        <f>40096.98+197992.34</f>
        <v>238089.32</v>
      </c>
      <c r="X36" s="214"/>
      <c r="Y36" s="214">
        <v>64323.839999999997</v>
      </c>
      <c r="Z36" s="214">
        <v>34038.79</v>
      </c>
      <c r="AA36" s="214"/>
      <c r="AB36" s="214"/>
      <c r="AC36" s="214"/>
      <c r="AD36" s="214"/>
      <c r="AE36" s="214">
        <f>34372.08+68986.77</f>
        <v>103358.85</v>
      </c>
      <c r="AF36" s="214"/>
      <c r="AG36" s="214"/>
      <c r="AH36" s="214"/>
      <c r="AI36" s="215"/>
      <c r="AJ36" s="216"/>
      <c r="AK36" s="216"/>
      <c r="AL36" s="216"/>
      <c r="AM36" s="216"/>
    </row>
    <row r="37" spans="1:39" s="119" customFormat="1" ht="18" customHeight="1" thickBot="1" x14ac:dyDescent="0.35">
      <c r="A37" s="136" t="s">
        <v>31</v>
      </c>
      <c r="B37" s="135" t="s">
        <v>209</v>
      </c>
      <c r="C37" s="292">
        <v>451523</v>
      </c>
      <c r="D37" s="136"/>
      <c r="E37" s="187">
        <f t="shared" si="0"/>
        <v>451523</v>
      </c>
      <c r="F37" s="187">
        <f t="shared" si="1"/>
        <v>404261.5</v>
      </c>
      <c r="G37" s="187">
        <f t="shared" si="2"/>
        <v>47261.5</v>
      </c>
      <c r="H37" s="213"/>
      <c r="I37" s="214"/>
      <c r="J37" s="214"/>
      <c r="K37" s="214"/>
      <c r="L37" s="214"/>
      <c r="M37" s="214">
        <v>5046.5200000000004</v>
      </c>
      <c r="N37" s="214"/>
      <c r="O37" s="214">
        <v>16023.65</v>
      </c>
      <c r="P37" s="214">
        <v>28517.98</v>
      </c>
      <c r="Q37" s="214">
        <v>13493.3</v>
      </c>
      <c r="R37" s="214">
        <v>15946.27</v>
      </c>
      <c r="S37" s="190">
        <v>28454.240000000002</v>
      </c>
      <c r="T37" s="214"/>
      <c r="U37" s="214"/>
      <c r="V37" s="214">
        <v>11056.76</v>
      </c>
      <c r="W37" s="214">
        <v>61900.82</v>
      </c>
      <c r="X37" s="214">
        <v>28052.18</v>
      </c>
      <c r="Y37" s="214">
        <v>26403.74</v>
      </c>
      <c r="Z37" s="214">
        <v>31471.66</v>
      </c>
      <c r="AA37" s="214">
        <v>31552.63</v>
      </c>
      <c r="AB37" s="214"/>
      <c r="AC37" s="214">
        <f>31431.94+26604.81</f>
        <v>58036.75</v>
      </c>
      <c r="AD37" s="214"/>
      <c r="AE37" s="214">
        <f>26166+22139</f>
        <v>48305</v>
      </c>
      <c r="AF37" s="214"/>
      <c r="AG37" s="214"/>
      <c r="AH37" s="214"/>
      <c r="AI37" s="215"/>
      <c r="AJ37" s="216"/>
      <c r="AK37" s="216"/>
      <c r="AL37" s="216"/>
      <c r="AM37" s="216"/>
    </row>
    <row r="38" spans="1:39" s="119" customFormat="1" ht="18" customHeight="1" thickBot="1" x14ac:dyDescent="0.35">
      <c r="A38" s="136" t="s">
        <v>32</v>
      </c>
      <c r="B38" s="135" t="s">
        <v>210</v>
      </c>
      <c r="C38" s="292">
        <v>28514</v>
      </c>
      <c r="D38" s="136"/>
      <c r="E38" s="187">
        <f t="shared" si="0"/>
        <v>28514</v>
      </c>
      <c r="F38" s="187">
        <f t="shared" si="1"/>
        <v>28514</v>
      </c>
      <c r="G38" s="187">
        <f t="shared" si="2"/>
        <v>0</v>
      </c>
      <c r="H38" s="213"/>
      <c r="I38" s="214"/>
      <c r="J38" s="214"/>
      <c r="K38" s="214"/>
      <c r="L38" s="214"/>
      <c r="M38" s="214">
        <v>14251</v>
      </c>
      <c r="N38" s="214"/>
      <c r="O38" s="214"/>
      <c r="P38" s="214"/>
      <c r="Q38" s="214"/>
      <c r="R38" s="214"/>
      <c r="S38" s="214">
        <v>14263</v>
      </c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5"/>
      <c r="AJ38" s="216"/>
      <c r="AK38" s="216"/>
      <c r="AL38" s="216"/>
      <c r="AM38" s="216"/>
    </row>
    <row r="39" spans="1:39" s="119" customFormat="1" ht="18" customHeight="1" thickBot="1" x14ac:dyDescent="0.35">
      <c r="A39" s="136" t="s">
        <v>33</v>
      </c>
      <c r="B39" s="135" t="s">
        <v>211</v>
      </c>
      <c r="C39" s="292">
        <v>34334</v>
      </c>
      <c r="D39" s="136"/>
      <c r="E39" s="187">
        <f t="shared" si="0"/>
        <v>34334</v>
      </c>
      <c r="F39" s="187">
        <f t="shared" si="1"/>
        <v>34333.999999999993</v>
      </c>
      <c r="G39" s="187">
        <f t="shared" si="2"/>
        <v>0</v>
      </c>
      <c r="H39" s="213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>
        <v>9644.73</v>
      </c>
      <c r="T39" s="214">
        <v>3844.64</v>
      </c>
      <c r="U39" s="214"/>
      <c r="V39" s="214"/>
      <c r="W39" s="214"/>
      <c r="X39" s="214"/>
      <c r="Y39" s="214">
        <v>59.82</v>
      </c>
      <c r="Z39" s="214"/>
      <c r="AA39" s="214">
        <f>12234.45+375.99</f>
        <v>12610.44</v>
      </c>
      <c r="AB39" s="214">
        <v>5863.96</v>
      </c>
      <c r="AC39" s="214"/>
      <c r="AD39" s="214">
        <f>265.08+1314.44</f>
        <v>1579.52</v>
      </c>
      <c r="AE39" s="214">
        <v>730.89</v>
      </c>
      <c r="AF39" s="214"/>
      <c r="AG39" s="214"/>
      <c r="AH39" s="214"/>
      <c r="AI39" s="215"/>
      <c r="AJ39" s="216"/>
      <c r="AK39" s="216"/>
      <c r="AL39" s="216"/>
      <c r="AM39" s="216"/>
    </row>
    <row r="40" spans="1:39" s="119" customFormat="1" ht="18" customHeight="1" thickBot="1" x14ac:dyDescent="0.35">
      <c r="A40" s="136" t="s">
        <v>34</v>
      </c>
      <c r="B40" s="135" t="s">
        <v>212</v>
      </c>
      <c r="C40" s="292">
        <v>3920</v>
      </c>
      <c r="D40" s="136" t="s">
        <v>370</v>
      </c>
      <c r="E40" s="281">
        <v>0</v>
      </c>
      <c r="F40" s="187">
        <f t="shared" si="1"/>
        <v>0</v>
      </c>
      <c r="G40" s="187">
        <f t="shared" si="2"/>
        <v>0</v>
      </c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5"/>
      <c r="AJ40" s="216"/>
      <c r="AK40" s="216"/>
      <c r="AL40" s="216"/>
      <c r="AM40" s="216"/>
    </row>
    <row r="41" spans="1:39" s="119" customFormat="1" ht="18" customHeight="1" thickBot="1" x14ac:dyDescent="0.35">
      <c r="A41" s="136" t="s">
        <v>35</v>
      </c>
      <c r="B41" s="135" t="s">
        <v>213</v>
      </c>
      <c r="C41" s="292">
        <v>9273</v>
      </c>
      <c r="D41" s="136" t="s">
        <v>370</v>
      </c>
      <c r="E41" s="281">
        <v>0</v>
      </c>
      <c r="F41" s="187">
        <f t="shared" si="1"/>
        <v>0</v>
      </c>
      <c r="G41" s="187">
        <f t="shared" si="2"/>
        <v>0</v>
      </c>
      <c r="H41" s="213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5"/>
      <c r="AJ41" s="216"/>
      <c r="AK41" s="216"/>
      <c r="AL41" s="216"/>
      <c r="AM41" s="216"/>
    </row>
    <row r="42" spans="1:39" s="119" customFormat="1" ht="18" customHeight="1" thickBot="1" x14ac:dyDescent="0.35">
      <c r="A42" s="136" t="s">
        <v>36</v>
      </c>
      <c r="B42" s="135" t="s">
        <v>214</v>
      </c>
      <c r="C42" s="292">
        <v>23405</v>
      </c>
      <c r="D42" s="136"/>
      <c r="E42" s="187">
        <f t="shared" si="0"/>
        <v>23405</v>
      </c>
      <c r="F42" s="187">
        <f t="shared" si="1"/>
        <v>23405</v>
      </c>
      <c r="G42" s="187">
        <f t="shared" si="2"/>
        <v>0</v>
      </c>
      <c r="H42" s="213"/>
      <c r="I42" s="214"/>
      <c r="J42" s="214"/>
      <c r="K42" s="214"/>
      <c r="L42" s="214"/>
      <c r="M42" s="214"/>
      <c r="N42" s="214"/>
      <c r="O42" s="214"/>
      <c r="P42" s="214">
        <v>16129.35</v>
      </c>
      <c r="Q42" s="214"/>
      <c r="R42" s="214"/>
      <c r="S42" s="214">
        <v>6379.48</v>
      </c>
      <c r="T42" s="214"/>
      <c r="U42" s="214"/>
      <c r="V42" s="214"/>
      <c r="W42" s="214"/>
      <c r="X42" s="214"/>
      <c r="Y42" s="214"/>
      <c r="Z42" s="214">
        <v>896.17</v>
      </c>
      <c r="AA42" s="214"/>
      <c r="AB42" s="214"/>
      <c r="AC42" s="214"/>
      <c r="AD42" s="214"/>
      <c r="AE42" s="214"/>
      <c r="AF42" s="214"/>
      <c r="AG42" s="214"/>
      <c r="AH42" s="214"/>
      <c r="AI42" s="215"/>
      <c r="AJ42" s="216"/>
      <c r="AK42" s="216"/>
      <c r="AL42" s="216"/>
      <c r="AM42" s="216"/>
    </row>
    <row r="43" spans="1:39" s="119" customFormat="1" ht="18" customHeight="1" thickBot="1" x14ac:dyDescent="0.35">
      <c r="A43" s="136" t="s">
        <v>37</v>
      </c>
      <c r="B43" s="135" t="s">
        <v>215</v>
      </c>
      <c r="C43" s="292">
        <v>45005</v>
      </c>
      <c r="D43" s="136"/>
      <c r="E43" s="187">
        <f t="shared" si="0"/>
        <v>45005</v>
      </c>
      <c r="F43" s="187">
        <f t="shared" si="1"/>
        <v>45004.999999999993</v>
      </c>
      <c r="G43" s="187">
        <f t="shared" si="2"/>
        <v>0</v>
      </c>
      <c r="H43" s="213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>
        <v>644</v>
      </c>
      <c r="T43" s="214"/>
      <c r="U43" s="214"/>
      <c r="V43" s="214">
        <v>10027.35</v>
      </c>
      <c r="W43" s="214">
        <v>1358.4</v>
      </c>
      <c r="X43" s="214">
        <v>3769.34</v>
      </c>
      <c r="Y43" s="214">
        <v>5000.5</v>
      </c>
      <c r="Z43" s="214"/>
      <c r="AA43" s="214">
        <f>5625+7143.69</f>
        <v>12768.689999999999</v>
      </c>
      <c r="AB43" s="214">
        <v>3067.17</v>
      </c>
      <c r="AC43" s="214">
        <v>5188.7</v>
      </c>
      <c r="AD43" s="214">
        <v>3180.85</v>
      </c>
      <c r="AE43" s="214"/>
      <c r="AF43" s="214"/>
      <c r="AG43" s="214"/>
      <c r="AH43" s="214"/>
      <c r="AI43" s="215"/>
      <c r="AJ43" s="216"/>
      <c r="AK43" s="216"/>
      <c r="AL43" s="216"/>
      <c r="AM43" s="216"/>
    </row>
    <row r="44" spans="1:39" s="119" customFormat="1" ht="18" customHeight="1" thickBot="1" x14ac:dyDescent="0.35">
      <c r="A44" s="136" t="s">
        <v>38</v>
      </c>
      <c r="B44" s="135" t="s">
        <v>216</v>
      </c>
      <c r="C44" s="292">
        <v>14662</v>
      </c>
      <c r="D44" s="136"/>
      <c r="E44" s="187">
        <f t="shared" si="0"/>
        <v>14662</v>
      </c>
      <c r="F44" s="187">
        <f t="shared" si="1"/>
        <v>14662</v>
      </c>
      <c r="G44" s="187">
        <f t="shared" si="2"/>
        <v>0</v>
      </c>
      <c r="H44" s="213"/>
      <c r="I44" s="214"/>
      <c r="J44" s="214"/>
      <c r="K44" s="214"/>
      <c r="L44" s="214"/>
      <c r="M44" s="214"/>
      <c r="N44" s="214"/>
      <c r="O44" s="214"/>
      <c r="P44" s="214"/>
      <c r="Q44" s="214">
        <v>8535</v>
      </c>
      <c r="R44" s="214"/>
      <c r="S44" s="214">
        <v>6064</v>
      </c>
      <c r="T44" s="214"/>
      <c r="U44" s="214"/>
      <c r="V44" s="214"/>
      <c r="W44" s="214"/>
      <c r="X44" s="214"/>
      <c r="Y44" s="214"/>
      <c r="Z44" s="214"/>
      <c r="AA44" s="214">
        <v>63</v>
      </c>
      <c r="AB44" s="214"/>
      <c r="AC44" s="214"/>
      <c r="AD44" s="214"/>
      <c r="AE44" s="214"/>
      <c r="AF44" s="214"/>
      <c r="AG44" s="214"/>
      <c r="AH44" s="214"/>
      <c r="AI44" s="215"/>
      <c r="AJ44" s="216"/>
      <c r="AK44" s="216"/>
      <c r="AL44" s="216"/>
      <c r="AM44" s="216"/>
    </row>
    <row r="45" spans="1:39" s="119" customFormat="1" ht="18" customHeight="1" thickBot="1" x14ac:dyDescent="0.35">
      <c r="A45" s="136" t="s">
        <v>39</v>
      </c>
      <c r="B45" s="135" t="s">
        <v>217</v>
      </c>
      <c r="C45" s="292">
        <v>19923</v>
      </c>
      <c r="D45" s="136"/>
      <c r="E45" s="187">
        <f t="shared" si="0"/>
        <v>19923</v>
      </c>
      <c r="F45" s="187">
        <f t="shared" si="1"/>
        <v>12653.33</v>
      </c>
      <c r="G45" s="187">
        <f t="shared" si="2"/>
        <v>7269.67</v>
      </c>
      <c r="H45" s="213"/>
      <c r="I45" s="214"/>
      <c r="J45" s="214"/>
      <c r="K45" s="214"/>
      <c r="L45" s="214"/>
      <c r="M45" s="214">
        <f>391.5+3916</f>
        <v>4307.5</v>
      </c>
      <c r="N45" s="214"/>
      <c r="O45" s="214"/>
      <c r="P45" s="214">
        <v>1900</v>
      </c>
      <c r="Q45" s="214"/>
      <c r="R45" s="214"/>
      <c r="S45" s="214"/>
      <c r="T45" s="214"/>
      <c r="U45" s="214"/>
      <c r="V45" s="214"/>
      <c r="W45" s="214">
        <v>2737.73</v>
      </c>
      <c r="X45" s="214">
        <v>158.5</v>
      </c>
      <c r="Y45" s="214"/>
      <c r="Z45" s="214"/>
      <c r="AA45" s="214">
        <v>655.6</v>
      </c>
      <c r="AB45" s="214">
        <v>114</v>
      </c>
      <c r="AC45" s="214">
        <v>512.07000000000005</v>
      </c>
      <c r="AD45" s="214">
        <v>2142.6</v>
      </c>
      <c r="AE45" s="214">
        <v>125.33</v>
      </c>
      <c r="AF45" s="214"/>
      <c r="AG45" s="214"/>
      <c r="AH45" s="214"/>
      <c r="AI45" s="215"/>
      <c r="AJ45" s="216"/>
      <c r="AK45" s="216"/>
      <c r="AL45" s="216"/>
      <c r="AM45" s="216"/>
    </row>
    <row r="46" spans="1:39" s="119" customFormat="1" ht="18" customHeight="1" thickBot="1" x14ac:dyDescent="0.35">
      <c r="A46" s="136" t="s">
        <v>40</v>
      </c>
      <c r="B46" s="135" t="s">
        <v>218</v>
      </c>
      <c r="C46" s="292">
        <v>20840</v>
      </c>
      <c r="D46" s="136"/>
      <c r="E46" s="187">
        <f t="shared" si="0"/>
        <v>20840</v>
      </c>
      <c r="F46" s="187">
        <f t="shared" si="1"/>
        <v>20840</v>
      </c>
      <c r="G46" s="187">
        <f t="shared" si="2"/>
        <v>0</v>
      </c>
      <c r="H46" s="213"/>
      <c r="I46" s="214"/>
      <c r="J46" s="214"/>
      <c r="K46" s="214"/>
      <c r="L46" s="214"/>
      <c r="M46" s="214"/>
      <c r="N46" s="214"/>
      <c r="O46" s="214"/>
      <c r="P46" s="214"/>
      <c r="Q46" s="214">
        <v>20763</v>
      </c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>
        <v>77</v>
      </c>
      <c r="AE46" s="214"/>
      <c r="AF46" s="214"/>
      <c r="AG46" s="214"/>
      <c r="AH46" s="214"/>
      <c r="AI46" s="215"/>
      <c r="AJ46" s="216"/>
      <c r="AK46" s="216"/>
      <c r="AL46" s="216"/>
      <c r="AM46" s="216"/>
    </row>
    <row r="47" spans="1:39" s="119" customFormat="1" ht="18" customHeight="1" thickBot="1" x14ac:dyDescent="0.35">
      <c r="A47" s="136" t="s">
        <v>41</v>
      </c>
      <c r="B47" s="135" t="s">
        <v>219</v>
      </c>
      <c r="C47" s="292">
        <v>16763</v>
      </c>
      <c r="D47" s="136"/>
      <c r="E47" s="187">
        <f t="shared" si="0"/>
        <v>16763</v>
      </c>
      <c r="F47" s="187">
        <f t="shared" si="1"/>
        <v>16763</v>
      </c>
      <c r="G47" s="187">
        <f t="shared" si="2"/>
        <v>0</v>
      </c>
      <c r="H47" s="213"/>
      <c r="I47" s="214"/>
      <c r="J47" s="214"/>
      <c r="K47" s="214"/>
      <c r="L47" s="214"/>
      <c r="M47" s="214"/>
      <c r="N47" s="214"/>
      <c r="O47" s="214">
        <v>11413.3</v>
      </c>
      <c r="P47" s="214"/>
      <c r="Q47" s="214"/>
      <c r="R47" s="214">
        <v>3368.11</v>
      </c>
      <c r="S47" s="214">
        <v>1973.59</v>
      </c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>
        <v>8</v>
      </c>
      <c r="AE47" s="214"/>
      <c r="AF47" s="214"/>
      <c r="AG47" s="214"/>
      <c r="AH47" s="214"/>
      <c r="AI47" s="215"/>
      <c r="AJ47" s="216"/>
      <c r="AK47" s="216"/>
      <c r="AL47" s="216"/>
      <c r="AM47" s="216"/>
    </row>
    <row r="48" spans="1:39" s="119" customFormat="1" ht="18" customHeight="1" thickBot="1" x14ac:dyDescent="0.35">
      <c r="A48" s="136" t="s">
        <v>42</v>
      </c>
      <c r="B48" s="135" t="s">
        <v>220</v>
      </c>
      <c r="C48" s="292">
        <v>24599</v>
      </c>
      <c r="D48" s="136"/>
      <c r="E48" s="187">
        <f t="shared" si="0"/>
        <v>24599</v>
      </c>
      <c r="F48" s="187">
        <f t="shared" si="1"/>
        <v>18010.580000000002</v>
      </c>
      <c r="G48" s="187">
        <f t="shared" si="2"/>
        <v>6588.4199999999983</v>
      </c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>
        <v>18010.580000000002</v>
      </c>
      <c r="AF48" s="214"/>
      <c r="AG48" s="214"/>
      <c r="AH48" s="214"/>
      <c r="AI48" s="215"/>
      <c r="AJ48" s="216"/>
      <c r="AK48" s="216"/>
      <c r="AL48" s="216"/>
      <c r="AM48" s="216"/>
    </row>
    <row r="49" spans="1:39" s="119" customFormat="1" ht="18" customHeight="1" thickBot="1" x14ac:dyDescent="0.35">
      <c r="A49" s="136" t="s">
        <v>43</v>
      </c>
      <c r="B49" s="135" t="s">
        <v>443</v>
      </c>
      <c r="C49" s="292">
        <v>24218</v>
      </c>
      <c r="D49" s="136"/>
      <c r="E49" s="187">
        <f t="shared" si="0"/>
        <v>24218</v>
      </c>
      <c r="F49" s="187">
        <f t="shared" si="1"/>
        <v>24218</v>
      </c>
      <c r="G49" s="187">
        <f t="shared" si="2"/>
        <v>0</v>
      </c>
      <c r="H49" s="213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>
        <v>12511.87</v>
      </c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>
        <v>11706.13</v>
      </c>
      <c r="AI49" s="215"/>
      <c r="AJ49" s="216"/>
      <c r="AK49" s="216"/>
      <c r="AL49" s="216"/>
      <c r="AM49" s="216"/>
    </row>
    <row r="50" spans="1:39" s="119" customFormat="1" ht="18" customHeight="1" thickBot="1" x14ac:dyDescent="0.35">
      <c r="A50" s="136" t="s">
        <v>44</v>
      </c>
      <c r="B50" s="135" t="s">
        <v>222</v>
      </c>
      <c r="C50" s="292">
        <v>200773</v>
      </c>
      <c r="D50" s="136"/>
      <c r="E50" s="187">
        <f t="shared" si="0"/>
        <v>200773</v>
      </c>
      <c r="F50" s="187">
        <f t="shared" si="1"/>
        <v>200773</v>
      </c>
      <c r="G50" s="187">
        <f t="shared" si="2"/>
        <v>0</v>
      </c>
      <c r="H50" s="213"/>
      <c r="I50" s="214"/>
      <c r="J50" s="214"/>
      <c r="K50" s="214"/>
      <c r="L50" s="214">
        <v>43270.879999999997</v>
      </c>
      <c r="M50" s="214">
        <v>17939.91</v>
      </c>
      <c r="N50" s="214"/>
      <c r="O50" s="214">
        <v>35308.68</v>
      </c>
      <c r="P50" s="214">
        <v>17763.11</v>
      </c>
      <c r="Q50" s="214">
        <v>17757.23</v>
      </c>
      <c r="R50" s="214">
        <v>17757.12</v>
      </c>
      <c r="S50" s="214">
        <v>17794.28</v>
      </c>
      <c r="T50" s="214"/>
      <c r="U50" s="214"/>
      <c r="V50" s="214">
        <f>185471.06-167591.21</f>
        <v>17879.850000000006</v>
      </c>
      <c r="W50" s="214">
        <v>15301.94</v>
      </c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5"/>
      <c r="AJ50" s="216"/>
      <c r="AK50" s="216"/>
      <c r="AL50" s="216"/>
      <c r="AM50" s="216"/>
    </row>
    <row r="51" spans="1:39" s="119" customFormat="1" ht="18" customHeight="1" thickBot="1" x14ac:dyDescent="0.35">
      <c r="A51" s="136" t="s">
        <v>45</v>
      </c>
      <c r="B51" s="135" t="s">
        <v>223</v>
      </c>
      <c r="C51" s="292">
        <v>3284683</v>
      </c>
      <c r="D51" s="136"/>
      <c r="E51" s="187">
        <f t="shared" si="0"/>
        <v>3284683</v>
      </c>
      <c r="F51" s="187">
        <f t="shared" si="1"/>
        <v>3284683</v>
      </c>
      <c r="G51" s="187">
        <f t="shared" si="2"/>
        <v>0</v>
      </c>
      <c r="H51" s="213"/>
      <c r="I51" s="214"/>
      <c r="J51" s="214"/>
      <c r="K51" s="214"/>
      <c r="L51" s="214"/>
      <c r="M51" s="214"/>
      <c r="N51" s="214"/>
      <c r="O51" s="214"/>
      <c r="P51" s="214"/>
      <c r="Q51" s="214">
        <v>643902.86</v>
      </c>
      <c r="R51" s="214">
        <v>214597.79</v>
      </c>
      <c r="S51" s="214"/>
      <c r="T51" s="214">
        <f>222708.43+182567.04</f>
        <v>405275.47</v>
      </c>
      <c r="U51" s="214"/>
      <c r="V51" s="214"/>
      <c r="W51" s="214">
        <v>999462.94</v>
      </c>
      <c r="X51" s="214"/>
      <c r="Y51" s="214"/>
      <c r="Z51" s="214"/>
      <c r="AA51" s="214"/>
      <c r="AB51" s="214">
        <v>1021443.94</v>
      </c>
      <c r="AC51" s="214"/>
      <c r="AD51" s="214"/>
      <c r="AE51" s="214"/>
      <c r="AF51" s="214"/>
      <c r="AG51" s="214"/>
      <c r="AH51" s="214"/>
      <c r="AI51" s="215"/>
      <c r="AJ51" s="216"/>
      <c r="AK51" s="216"/>
      <c r="AL51" s="216"/>
      <c r="AM51" s="216"/>
    </row>
    <row r="52" spans="1:39" s="119" customFormat="1" ht="18" customHeight="1" thickBot="1" x14ac:dyDescent="0.35">
      <c r="A52" s="136" t="s">
        <v>46</v>
      </c>
      <c r="B52" s="135" t="s">
        <v>224</v>
      </c>
      <c r="C52" s="292">
        <v>10537</v>
      </c>
      <c r="D52" s="136"/>
      <c r="E52" s="187">
        <f t="shared" si="0"/>
        <v>10537</v>
      </c>
      <c r="F52" s="187">
        <f t="shared" si="1"/>
        <v>10537</v>
      </c>
      <c r="G52" s="187">
        <f t="shared" si="2"/>
        <v>0</v>
      </c>
      <c r="H52" s="213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>
        <v>10537</v>
      </c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5"/>
      <c r="AJ52" s="216"/>
      <c r="AK52" s="216"/>
      <c r="AL52" s="216"/>
      <c r="AM52" s="216"/>
    </row>
    <row r="53" spans="1:39" s="119" customFormat="1" ht="18" customHeight="1" thickBot="1" x14ac:dyDescent="0.35">
      <c r="A53" s="136" t="s">
        <v>47</v>
      </c>
      <c r="B53" s="135" t="s">
        <v>225</v>
      </c>
      <c r="C53" s="292">
        <v>612735</v>
      </c>
      <c r="D53" s="136"/>
      <c r="E53" s="187">
        <f t="shared" si="0"/>
        <v>612735</v>
      </c>
      <c r="F53" s="187">
        <f t="shared" si="1"/>
        <v>612735</v>
      </c>
      <c r="G53" s="187">
        <f t="shared" si="2"/>
        <v>0</v>
      </c>
      <c r="H53" s="213"/>
      <c r="I53" s="214"/>
      <c r="J53" s="214"/>
      <c r="K53" s="214"/>
      <c r="L53" s="214"/>
      <c r="M53" s="214"/>
      <c r="N53" s="214"/>
      <c r="O53" s="214">
        <v>73849.34</v>
      </c>
      <c r="P53" s="214">
        <v>53109.07</v>
      </c>
      <c r="Q53" s="214">
        <v>65376.39</v>
      </c>
      <c r="R53" s="214">
        <v>52907.68</v>
      </c>
      <c r="S53" s="214">
        <v>40844.07</v>
      </c>
      <c r="T53" s="214">
        <v>96826.84</v>
      </c>
      <c r="U53" s="214"/>
      <c r="V53" s="214">
        <v>2058.6999999999998</v>
      </c>
      <c r="W53" s="214"/>
      <c r="X53" s="214"/>
      <c r="Y53" s="214"/>
      <c r="Z53" s="214">
        <v>227762.91</v>
      </c>
      <c r="AA53" s="214"/>
      <c r="AB53" s="214"/>
      <c r="AC53" s="214"/>
      <c r="AD53" s="214"/>
      <c r="AE53" s="214"/>
      <c r="AF53" s="214"/>
      <c r="AG53" s="214"/>
      <c r="AH53" s="214"/>
      <c r="AI53" s="215"/>
      <c r="AJ53" s="216"/>
      <c r="AK53" s="216"/>
      <c r="AL53" s="216"/>
      <c r="AM53" s="216"/>
    </row>
    <row r="54" spans="1:39" s="119" customFormat="1" ht="18" customHeight="1" thickBot="1" x14ac:dyDescent="0.35">
      <c r="A54" s="136" t="s">
        <v>48</v>
      </c>
      <c r="B54" s="135" t="s">
        <v>226</v>
      </c>
      <c r="C54" s="292">
        <v>122183</v>
      </c>
      <c r="D54" s="136"/>
      <c r="E54" s="187">
        <f t="shared" si="0"/>
        <v>122183</v>
      </c>
      <c r="F54" s="187">
        <f t="shared" si="1"/>
        <v>122183</v>
      </c>
      <c r="G54" s="187">
        <f t="shared" si="2"/>
        <v>0</v>
      </c>
      <c r="H54" s="213"/>
      <c r="I54" s="214"/>
      <c r="J54" s="214"/>
      <c r="K54" s="214"/>
      <c r="L54" s="214"/>
      <c r="M54" s="214"/>
      <c r="N54" s="214"/>
      <c r="O54" s="214">
        <f>20448.49+30639.53+30639.53</f>
        <v>81727.55</v>
      </c>
      <c r="P54" s="214"/>
      <c r="Q54" s="214"/>
      <c r="R54" s="214"/>
      <c r="S54" s="214">
        <v>40455.449999999997</v>
      </c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5"/>
      <c r="AJ54" s="216"/>
      <c r="AK54" s="216"/>
      <c r="AL54" s="216"/>
      <c r="AM54" s="216"/>
    </row>
    <row r="55" spans="1:39" s="119" customFormat="1" ht="18" customHeight="1" thickBot="1" x14ac:dyDescent="0.35">
      <c r="A55" s="136" t="s">
        <v>49</v>
      </c>
      <c r="B55" s="135" t="s">
        <v>227</v>
      </c>
      <c r="C55" s="292">
        <v>40480</v>
      </c>
      <c r="D55" s="136"/>
      <c r="E55" s="187">
        <f t="shared" si="0"/>
        <v>40480</v>
      </c>
      <c r="F55" s="187">
        <f t="shared" si="1"/>
        <v>40480.020000000004</v>
      </c>
      <c r="G55" s="187">
        <f t="shared" si="2"/>
        <v>-2.0000000004074536E-2</v>
      </c>
      <c r="H55" s="213"/>
      <c r="I55" s="214"/>
      <c r="J55" s="214"/>
      <c r="K55" s="214"/>
      <c r="L55" s="214"/>
      <c r="M55" s="214"/>
      <c r="N55" s="214"/>
      <c r="O55" s="214"/>
      <c r="P55" s="214">
        <v>12202.3</v>
      </c>
      <c r="Q55" s="214">
        <v>21155.22</v>
      </c>
      <c r="R55" s="214"/>
      <c r="S55" s="214">
        <v>7122.5</v>
      </c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5"/>
      <c r="AJ55" s="216"/>
      <c r="AK55" s="216"/>
      <c r="AL55" s="216"/>
      <c r="AM55" s="216"/>
    </row>
    <row r="56" spans="1:39" s="119" customFormat="1" ht="18" customHeight="1" thickBot="1" x14ac:dyDescent="0.35">
      <c r="A56" s="136" t="s">
        <v>50</v>
      </c>
      <c r="B56" s="135" t="s">
        <v>228</v>
      </c>
      <c r="C56" s="292">
        <v>7506</v>
      </c>
      <c r="D56" s="136" t="s">
        <v>370</v>
      </c>
      <c r="E56" s="281">
        <v>0</v>
      </c>
      <c r="F56" s="187">
        <f t="shared" si="1"/>
        <v>0</v>
      </c>
      <c r="G56" s="187">
        <f t="shared" si="2"/>
        <v>0</v>
      </c>
      <c r="H56" s="213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5"/>
      <c r="AJ56" s="216"/>
      <c r="AK56" s="216"/>
      <c r="AL56" s="216"/>
      <c r="AM56" s="216"/>
    </row>
    <row r="57" spans="1:39" s="119" customFormat="1" ht="18" customHeight="1" thickBot="1" x14ac:dyDescent="0.35">
      <c r="A57" s="136" t="s">
        <v>51</v>
      </c>
      <c r="B57" s="135" t="s">
        <v>229</v>
      </c>
      <c r="C57" s="292">
        <v>9180</v>
      </c>
      <c r="D57" s="136"/>
      <c r="E57" s="187">
        <f t="shared" si="0"/>
        <v>9180</v>
      </c>
      <c r="F57" s="187">
        <f t="shared" si="1"/>
        <v>9180</v>
      </c>
      <c r="G57" s="187">
        <f t="shared" si="2"/>
        <v>0</v>
      </c>
      <c r="H57" s="213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>
        <v>9180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5"/>
      <c r="AJ57" s="216"/>
      <c r="AK57" s="216"/>
      <c r="AL57" s="216"/>
      <c r="AM57" s="216"/>
    </row>
    <row r="58" spans="1:39" s="119" customFormat="1" ht="18" customHeight="1" thickBot="1" x14ac:dyDescent="0.35">
      <c r="A58" s="136" t="s">
        <v>52</v>
      </c>
      <c r="B58" s="135" t="s">
        <v>230</v>
      </c>
      <c r="C58" s="292">
        <v>6381</v>
      </c>
      <c r="D58" s="136"/>
      <c r="E58" s="187">
        <f t="shared" si="0"/>
        <v>6381</v>
      </c>
      <c r="F58" s="187">
        <f t="shared" si="1"/>
        <v>6381</v>
      </c>
      <c r="G58" s="187">
        <f t="shared" si="2"/>
        <v>0</v>
      </c>
      <c r="H58" s="213"/>
      <c r="I58" s="214"/>
      <c r="J58" s="214"/>
      <c r="K58" s="214"/>
      <c r="L58" s="214"/>
      <c r="M58" s="214"/>
      <c r="N58" s="214">
        <v>3190.5</v>
      </c>
      <c r="O58" s="214"/>
      <c r="P58" s="214"/>
      <c r="Q58" s="214"/>
      <c r="R58" s="214"/>
      <c r="S58" s="214">
        <v>3190.5</v>
      </c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5"/>
      <c r="AJ58" s="216"/>
      <c r="AK58" s="216"/>
      <c r="AL58" s="216"/>
      <c r="AM58" s="216"/>
    </row>
    <row r="59" spans="1:39" s="119" customFormat="1" ht="18" customHeight="1" thickBot="1" x14ac:dyDescent="0.35">
      <c r="A59" s="136" t="s">
        <v>53</v>
      </c>
      <c r="B59" s="135" t="s">
        <v>231</v>
      </c>
      <c r="C59" s="292">
        <v>3092</v>
      </c>
      <c r="D59" s="136" t="s">
        <v>370</v>
      </c>
      <c r="E59" s="281">
        <v>0</v>
      </c>
      <c r="F59" s="187">
        <f t="shared" si="1"/>
        <v>0</v>
      </c>
      <c r="G59" s="187">
        <f t="shared" si="2"/>
        <v>0</v>
      </c>
      <c r="H59" s="213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5"/>
      <c r="AJ59" s="216"/>
      <c r="AK59" s="216"/>
      <c r="AL59" s="216"/>
      <c r="AM59" s="216"/>
    </row>
    <row r="60" spans="1:39" s="119" customFormat="1" ht="18" customHeight="1" thickBot="1" x14ac:dyDescent="0.35">
      <c r="A60" s="136" t="s">
        <v>54</v>
      </c>
      <c r="B60" s="135" t="s">
        <v>232</v>
      </c>
      <c r="C60" s="292">
        <v>17861</v>
      </c>
      <c r="D60" s="136"/>
      <c r="E60" s="187">
        <f t="shared" si="0"/>
        <v>17861</v>
      </c>
      <c r="F60" s="187">
        <f t="shared" si="1"/>
        <v>17861</v>
      </c>
      <c r="G60" s="187">
        <f t="shared" si="2"/>
        <v>0</v>
      </c>
      <c r="H60" s="213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>
        <f>12086.1+5774.9</f>
        <v>17861</v>
      </c>
      <c r="AF60" s="214"/>
      <c r="AG60" s="214"/>
      <c r="AH60" s="214"/>
      <c r="AI60" s="215"/>
      <c r="AJ60" s="216"/>
      <c r="AK60" s="216"/>
      <c r="AL60" s="216"/>
      <c r="AM60" s="216"/>
    </row>
    <row r="61" spans="1:39" s="119" customFormat="1" ht="18" customHeight="1" thickBot="1" x14ac:dyDescent="0.35">
      <c r="A61" s="136" t="s">
        <v>55</v>
      </c>
      <c r="B61" s="135" t="s">
        <v>233</v>
      </c>
      <c r="C61" s="292">
        <v>658346</v>
      </c>
      <c r="D61" s="136"/>
      <c r="E61" s="187">
        <f t="shared" si="0"/>
        <v>658346</v>
      </c>
      <c r="F61" s="187">
        <f t="shared" si="1"/>
        <v>658346</v>
      </c>
      <c r="G61" s="187">
        <f t="shared" si="2"/>
        <v>0</v>
      </c>
      <c r="H61" s="213"/>
      <c r="I61" s="214"/>
      <c r="J61" s="214"/>
      <c r="K61" s="214"/>
      <c r="L61" s="214"/>
      <c r="M61" s="214"/>
      <c r="N61" s="214"/>
      <c r="O61" s="214"/>
      <c r="P61" s="214">
        <v>80619.23</v>
      </c>
      <c r="Q61" s="214"/>
      <c r="R61" s="214"/>
      <c r="S61" s="214">
        <v>184730.19</v>
      </c>
      <c r="T61" s="214"/>
      <c r="U61" s="214"/>
      <c r="V61" s="214"/>
      <c r="W61" s="214"/>
      <c r="X61" s="214"/>
      <c r="Y61" s="214"/>
      <c r="Z61" s="214"/>
      <c r="AA61" s="214"/>
      <c r="AB61" s="214"/>
      <c r="AC61" s="214">
        <f>338645.75+54350.83</f>
        <v>392996.58</v>
      </c>
      <c r="AD61" s="214"/>
      <c r="AE61" s="214"/>
      <c r="AF61" s="214"/>
      <c r="AG61" s="214"/>
      <c r="AH61" s="214"/>
      <c r="AI61" s="215"/>
      <c r="AJ61" s="216"/>
      <c r="AK61" s="216"/>
      <c r="AL61" s="216"/>
      <c r="AM61" s="216"/>
    </row>
    <row r="62" spans="1:39" s="119" customFormat="1" ht="18" customHeight="1" thickBot="1" x14ac:dyDescent="0.35">
      <c r="A62" s="136" t="s">
        <v>56</v>
      </c>
      <c r="B62" s="135" t="s">
        <v>234</v>
      </c>
      <c r="C62" s="292">
        <v>265375</v>
      </c>
      <c r="D62" s="136"/>
      <c r="E62" s="187">
        <f t="shared" si="0"/>
        <v>265375</v>
      </c>
      <c r="F62" s="187">
        <f t="shared" si="1"/>
        <v>265375</v>
      </c>
      <c r="G62" s="187">
        <f t="shared" si="2"/>
        <v>0</v>
      </c>
      <c r="H62" s="213"/>
      <c r="I62" s="214"/>
      <c r="J62" s="214"/>
      <c r="K62" s="214"/>
      <c r="L62" s="214"/>
      <c r="M62" s="214">
        <v>63972.69</v>
      </c>
      <c r="N62" s="214"/>
      <c r="O62" s="214">
        <v>64292.94</v>
      </c>
      <c r="P62" s="214">
        <v>19684.66</v>
      </c>
      <c r="Q62" s="214">
        <v>19684.66</v>
      </c>
      <c r="R62" s="214">
        <v>19684.66</v>
      </c>
      <c r="S62" s="214"/>
      <c r="T62" s="214"/>
      <c r="U62" s="214"/>
      <c r="V62" s="214"/>
      <c r="W62" s="214">
        <v>69296.789999999994</v>
      </c>
      <c r="X62" s="214"/>
      <c r="Y62" s="214">
        <v>8758.6</v>
      </c>
      <c r="Z62" s="214"/>
      <c r="AA62" s="214"/>
      <c r="AB62" s="214"/>
      <c r="AC62" s="214"/>
      <c r="AD62" s="214"/>
      <c r="AE62" s="214"/>
      <c r="AF62" s="214"/>
      <c r="AG62" s="214"/>
      <c r="AH62" s="214"/>
      <c r="AI62" s="215"/>
      <c r="AJ62" s="216"/>
      <c r="AK62" s="216"/>
      <c r="AL62" s="216"/>
      <c r="AM62" s="216"/>
    </row>
    <row r="63" spans="1:39" s="119" customFormat="1" ht="18" customHeight="1" thickBot="1" x14ac:dyDescent="0.35">
      <c r="A63" s="136" t="s">
        <v>57</v>
      </c>
      <c r="B63" s="135" t="s">
        <v>235</v>
      </c>
      <c r="C63" s="292">
        <v>215668</v>
      </c>
      <c r="D63" s="136"/>
      <c r="E63" s="187">
        <f t="shared" si="0"/>
        <v>215668</v>
      </c>
      <c r="F63" s="187">
        <f t="shared" si="1"/>
        <v>215667.99999999997</v>
      </c>
      <c r="G63" s="187">
        <f t="shared" si="2"/>
        <v>0</v>
      </c>
      <c r="H63" s="213"/>
      <c r="I63" s="214"/>
      <c r="J63" s="214"/>
      <c r="K63" s="214">
        <v>80666.179999999993</v>
      </c>
      <c r="L63" s="214"/>
      <c r="M63" s="214">
        <f>37234.13+39536</f>
        <v>76770.13</v>
      </c>
      <c r="N63" s="214">
        <v>10790.83</v>
      </c>
      <c r="O63" s="214">
        <v>13336.31</v>
      </c>
      <c r="P63" s="214"/>
      <c r="Q63" s="214">
        <f>11517+14691</f>
        <v>26208</v>
      </c>
      <c r="R63" s="214">
        <v>7896.55</v>
      </c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5"/>
      <c r="AJ63" s="216"/>
      <c r="AK63" s="216"/>
      <c r="AL63" s="216"/>
      <c r="AM63" s="216"/>
    </row>
    <row r="64" spans="1:39" s="119" customFormat="1" ht="18" customHeight="1" thickBot="1" x14ac:dyDescent="0.35">
      <c r="A64" s="136" t="s">
        <v>58</v>
      </c>
      <c r="B64" s="135" t="s">
        <v>236</v>
      </c>
      <c r="C64" s="292">
        <v>1217248</v>
      </c>
      <c r="D64" s="136"/>
      <c r="E64" s="187">
        <f t="shared" si="0"/>
        <v>1217248</v>
      </c>
      <c r="F64" s="187">
        <f t="shared" si="1"/>
        <v>1217248</v>
      </c>
      <c r="G64" s="187">
        <f t="shared" si="2"/>
        <v>0</v>
      </c>
      <c r="H64" s="213"/>
      <c r="I64" s="214"/>
      <c r="J64" s="214"/>
      <c r="K64" s="214"/>
      <c r="L64" s="214"/>
      <c r="M64" s="214"/>
      <c r="N64" s="214">
        <f>93958.35+53313.48</f>
        <v>147271.83000000002</v>
      </c>
      <c r="O64" s="214">
        <v>93607.039999999994</v>
      </c>
      <c r="P64" s="214">
        <v>10930.28</v>
      </c>
      <c r="Q64" s="214">
        <v>97637.33</v>
      </c>
      <c r="R64" s="214">
        <v>146870.70000000001</v>
      </c>
      <c r="S64" s="214">
        <v>93705.7</v>
      </c>
      <c r="T64" s="214">
        <v>109994.33</v>
      </c>
      <c r="U64" s="214"/>
      <c r="V64" s="214">
        <v>109710.8</v>
      </c>
      <c r="W64" s="214">
        <v>146497.32</v>
      </c>
      <c r="X64" s="214">
        <v>99429.28</v>
      </c>
      <c r="Y64" s="214">
        <v>161593.39000000001</v>
      </c>
      <c r="Z64" s="214"/>
      <c r="AA64" s="214"/>
      <c r="AB64" s="214"/>
      <c r="AC64" s="214"/>
      <c r="AD64" s="214"/>
      <c r="AE64" s="214"/>
      <c r="AF64" s="214"/>
      <c r="AG64" s="214"/>
      <c r="AH64" s="214"/>
      <c r="AI64" s="215"/>
      <c r="AJ64" s="216"/>
      <c r="AK64" s="216"/>
      <c r="AL64" s="216"/>
      <c r="AM64" s="216"/>
    </row>
    <row r="65" spans="1:39" s="119" customFormat="1" ht="18" customHeight="1" thickBot="1" x14ac:dyDescent="0.35">
      <c r="A65" s="136" t="s">
        <v>59</v>
      </c>
      <c r="B65" s="135" t="s">
        <v>237</v>
      </c>
      <c r="C65" s="292">
        <v>68336</v>
      </c>
      <c r="D65" s="136"/>
      <c r="E65" s="187">
        <f t="shared" si="0"/>
        <v>68336</v>
      </c>
      <c r="F65" s="187">
        <f t="shared" si="1"/>
        <v>47237.48</v>
      </c>
      <c r="G65" s="187">
        <f t="shared" si="2"/>
        <v>21098.519999999997</v>
      </c>
      <c r="H65" s="213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>
        <v>3513.48</v>
      </c>
      <c r="X65" s="214"/>
      <c r="Y65" s="214"/>
      <c r="Z65" s="214"/>
      <c r="AA65" s="214"/>
      <c r="AB65" s="214"/>
      <c r="AC65" s="214"/>
      <c r="AD65" s="214"/>
      <c r="AE65" s="214">
        <v>43724</v>
      </c>
      <c r="AF65" s="214"/>
      <c r="AG65" s="214"/>
      <c r="AH65" s="214"/>
      <c r="AI65" s="215"/>
      <c r="AJ65" s="216"/>
      <c r="AK65" s="216"/>
      <c r="AL65" s="216"/>
      <c r="AM65" s="216"/>
    </row>
    <row r="66" spans="1:39" s="119" customFormat="1" ht="18" customHeight="1" thickBot="1" x14ac:dyDescent="0.35">
      <c r="A66" s="136" t="s">
        <v>60</v>
      </c>
      <c r="B66" s="135" t="s">
        <v>238</v>
      </c>
      <c r="C66" s="292">
        <v>20075</v>
      </c>
      <c r="D66" s="136"/>
      <c r="E66" s="187">
        <f t="shared" si="0"/>
        <v>20075</v>
      </c>
      <c r="F66" s="187">
        <f t="shared" si="1"/>
        <v>20075</v>
      </c>
      <c r="G66" s="187">
        <f t="shared" si="2"/>
        <v>0</v>
      </c>
      <c r="H66" s="213"/>
      <c r="I66" s="214"/>
      <c r="J66" s="214"/>
      <c r="K66" s="214"/>
      <c r="L66" s="214"/>
      <c r="M66" s="214"/>
      <c r="N66" s="214"/>
      <c r="O66" s="214"/>
      <c r="P66" s="214"/>
      <c r="Q66" s="214"/>
      <c r="R66" s="214">
        <v>3553.93</v>
      </c>
      <c r="S66" s="214">
        <v>13536</v>
      </c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>
        <v>2985.07</v>
      </c>
      <c r="AF66" s="214"/>
      <c r="AG66" s="214"/>
      <c r="AH66" s="214"/>
      <c r="AI66" s="215"/>
      <c r="AJ66" s="216"/>
      <c r="AK66" s="216"/>
      <c r="AL66" s="216"/>
      <c r="AM66" s="216"/>
    </row>
    <row r="67" spans="1:39" s="119" customFormat="1" ht="18" customHeight="1" thickBot="1" x14ac:dyDescent="0.35">
      <c r="A67" s="136" t="s">
        <v>61</v>
      </c>
      <c r="B67" s="135" t="s">
        <v>239</v>
      </c>
      <c r="C67" s="292">
        <v>318367</v>
      </c>
      <c r="D67" s="136"/>
      <c r="E67" s="187">
        <f t="shared" si="0"/>
        <v>318367</v>
      </c>
      <c r="F67" s="187">
        <f t="shared" si="1"/>
        <v>318367</v>
      </c>
      <c r="G67" s="187">
        <f t="shared" si="2"/>
        <v>0</v>
      </c>
      <c r="H67" s="213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>
        <v>153816.42000000001</v>
      </c>
      <c r="T67" s="214">
        <v>30345.17</v>
      </c>
      <c r="U67" s="214"/>
      <c r="V67" s="214">
        <v>27495.41</v>
      </c>
      <c r="W67" s="214"/>
      <c r="X67" s="214">
        <v>21072.68</v>
      </c>
      <c r="Y67" s="214"/>
      <c r="Z67" s="214"/>
      <c r="AA67" s="214">
        <v>18291.29</v>
      </c>
      <c r="AB67" s="214"/>
      <c r="AC67" s="214"/>
      <c r="AD67" s="214">
        <v>27602.37</v>
      </c>
      <c r="AE67" s="214">
        <v>39743.660000000003</v>
      </c>
      <c r="AF67" s="214"/>
      <c r="AG67" s="214"/>
      <c r="AH67" s="214"/>
      <c r="AI67" s="215"/>
      <c r="AJ67" s="216"/>
      <c r="AK67" s="216"/>
      <c r="AL67" s="216"/>
      <c r="AM67" s="216"/>
    </row>
    <row r="68" spans="1:39" s="119" customFormat="1" ht="18" customHeight="1" thickBot="1" x14ac:dyDescent="0.35">
      <c r="A68" s="136" t="s">
        <v>62</v>
      </c>
      <c r="B68" s="135" t="s">
        <v>240</v>
      </c>
      <c r="C68" s="292">
        <v>32162</v>
      </c>
      <c r="D68" s="136"/>
      <c r="E68" s="187">
        <f t="shared" si="0"/>
        <v>32162</v>
      </c>
      <c r="F68" s="187">
        <f t="shared" si="1"/>
        <v>32162</v>
      </c>
      <c r="G68" s="187">
        <f t="shared" si="2"/>
        <v>0</v>
      </c>
      <c r="H68" s="213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>
        <v>32162</v>
      </c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5"/>
      <c r="AJ68" s="216"/>
      <c r="AK68" s="216"/>
      <c r="AL68" s="216"/>
      <c r="AM68" s="216"/>
    </row>
    <row r="69" spans="1:39" s="119" customFormat="1" ht="18" customHeight="1" thickBot="1" x14ac:dyDescent="0.35">
      <c r="A69" s="136" t="s">
        <v>63</v>
      </c>
      <c r="B69" s="135" t="s">
        <v>241</v>
      </c>
      <c r="C69" s="292">
        <v>19229</v>
      </c>
      <c r="D69" s="136"/>
      <c r="E69" s="187">
        <f t="shared" si="0"/>
        <v>19229</v>
      </c>
      <c r="F69" s="187">
        <f t="shared" si="1"/>
        <v>19229</v>
      </c>
      <c r="G69" s="187">
        <f t="shared" si="2"/>
        <v>0</v>
      </c>
      <c r="H69" s="213"/>
      <c r="I69" s="214"/>
      <c r="J69" s="214"/>
      <c r="K69" s="214"/>
      <c r="L69" s="214"/>
      <c r="M69" s="214"/>
      <c r="N69" s="214"/>
      <c r="O69" s="214"/>
      <c r="P69" s="214"/>
      <c r="Q69" s="214">
        <v>1520.44</v>
      </c>
      <c r="R69" s="214"/>
      <c r="S69" s="214"/>
      <c r="T69" s="214"/>
      <c r="U69" s="214"/>
      <c r="V69" s="214"/>
      <c r="W69" s="214">
        <v>7622.39</v>
      </c>
      <c r="X69" s="214"/>
      <c r="Y69" s="214"/>
      <c r="Z69" s="214"/>
      <c r="AA69" s="214">
        <v>10086.17</v>
      </c>
      <c r="AB69" s="214"/>
      <c r="AC69" s="214"/>
      <c r="AD69" s="214"/>
      <c r="AE69" s="214"/>
      <c r="AF69" s="214"/>
      <c r="AG69" s="214"/>
      <c r="AH69" s="214"/>
      <c r="AI69" s="215"/>
      <c r="AJ69" s="216"/>
      <c r="AK69" s="216"/>
      <c r="AL69" s="216"/>
      <c r="AM69" s="216"/>
    </row>
    <row r="70" spans="1:39" s="119" customFormat="1" ht="18" customHeight="1" thickBot="1" x14ac:dyDescent="0.35">
      <c r="A70" s="136" t="s">
        <v>64</v>
      </c>
      <c r="B70" s="135" t="s">
        <v>242</v>
      </c>
      <c r="C70" s="292">
        <v>13369</v>
      </c>
      <c r="D70" s="136"/>
      <c r="E70" s="187">
        <f t="shared" si="0"/>
        <v>13369</v>
      </c>
      <c r="F70" s="187">
        <f t="shared" si="1"/>
        <v>13369</v>
      </c>
      <c r="G70" s="187">
        <f t="shared" si="2"/>
        <v>0</v>
      </c>
      <c r="H70" s="213"/>
      <c r="I70" s="214"/>
      <c r="J70" s="214"/>
      <c r="K70" s="214"/>
      <c r="L70" s="214"/>
      <c r="M70" s="214"/>
      <c r="N70" s="216"/>
      <c r="O70" s="214">
        <v>6600</v>
      </c>
      <c r="P70" s="214"/>
      <c r="Q70" s="214"/>
      <c r="R70" s="214"/>
      <c r="S70" s="214">
        <v>6769</v>
      </c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5"/>
      <c r="AJ70" s="216"/>
      <c r="AK70" s="216"/>
      <c r="AL70" s="216"/>
      <c r="AM70" s="216"/>
    </row>
    <row r="71" spans="1:39" s="119" customFormat="1" ht="18" customHeight="1" thickBot="1" x14ac:dyDescent="0.35">
      <c r="A71" s="136" t="s">
        <v>65</v>
      </c>
      <c r="B71" s="135" t="s">
        <v>243</v>
      </c>
      <c r="C71" s="292">
        <v>107225</v>
      </c>
      <c r="D71" s="136"/>
      <c r="E71" s="187">
        <f t="shared" si="0"/>
        <v>107225</v>
      </c>
      <c r="F71" s="187">
        <f t="shared" si="1"/>
        <v>107224.99999999999</v>
      </c>
      <c r="G71" s="187">
        <f t="shared" si="2"/>
        <v>0</v>
      </c>
      <c r="H71" s="213"/>
      <c r="I71" s="214"/>
      <c r="J71" s="214"/>
      <c r="K71" s="214"/>
      <c r="L71" s="214"/>
      <c r="M71" s="214"/>
      <c r="N71" s="214"/>
      <c r="O71" s="214"/>
      <c r="P71" s="214"/>
      <c r="Q71" s="214"/>
      <c r="R71" s="214">
        <f>3902.31+6980.26</f>
        <v>10882.57</v>
      </c>
      <c r="S71" s="214">
        <v>14427.13</v>
      </c>
      <c r="T71" s="214"/>
      <c r="U71" s="214"/>
      <c r="V71" s="214"/>
      <c r="W71" s="214"/>
      <c r="X71" s="214"/>
      <c r="Y71" s="214"/>
      <c r="Z71" s="214"/>
      <c r="AA71" s="214"/>
      <c r="AB71" s="214"/>
      <c r="AC71" s="214">
        <f>6201.8+26858.88</f>
        <v>33060.68</v>
      </c>
      <c r="AD71" s="214">
        <v>27667.69</v>
      </c>
      <c r="AE71" s="214">
        <v>8347.1200000000008</v>
      </c>
      <c r="AF71" s="214"/>
      <c r="AG71" s="214">
        <v>12839.81</v>
      </c>
      <c r="AH71" s="214"/>
      <c r="AI71" s="215"/>
      <c r="AJ71" s="216"/>
      <c r="AK71" s="216"/>
      <c r="AL71" s="216"/>
      <c r="AM71" s="216"/>
    </row>
    <row r="72" spans="1:39" s="119" customFormat="1" ht="18" customHeight="1" thickBot="1" x14ac:dyDescent="0.35">
      <c r="A72" s="136" t="s">
        <v>66</v>
      </c>
      <c r="B72" s="135" t="s">
        <v>244</v>
      </c>
      <c r="C72" s="292">
        <v>338019</v>
      </c>
      <c r="D72" s="136"/>
      <c r="E72" s="187">
        <f t="shared" si="0"/>
        <v>338019</v>
      </c>
      <c r="F72" s="187">
        <f t="shared" si="1"/>
        <v>338019</v>
      </c>
      <c r="G72" s="187">
        <f t="shared" si="2"/>
        <v>0</v>
      </c>
      <c r="H72" s="213"/>
      <c r="I72" s="214"/>
      <c r="J72" s="214"/>
      <c r="K72" s="214"/>
      <c r="L72" s="214"/>
      <c r="M72" s="214"/>
      <c r="O72" s="214"/>
      <c r="P72" s="214"/>
      <c r="Q72" s="214"/>
      <c r="R72" s="214"/>
      <c r="S72" s="214">
        <v>26360</v>
      </c>
      <c r="T72" s="214"/>
      <c r="U72" s="214">
        <v>109267</v>
      </c>
      <c r="V72" s="214"/>
      <c r="W72" s="214"/>
      <c r="X72" s="214"/>
      <c r="Y72" s="214">
        <v>75220</v>
      </c>
      <c r="Z72" s="214"/>
      <c r="AA72" s="214">
        <v>19628</v>
      </c>
      <c r="AB72" s="214"/>
      <c r="AC72" s="214">
        <v>36439</v>
      </c>
      <c r="AD72" s="214"/>
      <c r="AE72" s="214">
        <v>44925</v>
      </c>
      <c r="AF72" s="214">
        <v>26180</v>
      </c>
      <c r="AG72" s="214"/>
      <c r="AH72" s="214"/>
      <c r="AI72" s="215"/>
      <c r="AJ72" s="216"/>
      <c r="AK72" s="216"/>
      <c r="AL72" s="216"/>
      <c r="AM72" s="216"/>
    </row>
    <row r="73" spans="1:39" s="119" customFormat="1" ht="18" customHeight="1" thickBot="1" x14ac:dyDescent="0.35">
      <c r="A73" s="136" t="s">
        <v>67</v>
      </c>
      <c r="B73" s="135" t="s">
        <v>245</v>
      </c>
      <c r="C73" s="292">
        <v>3501</v>
      </c>
      <c r="D73" s="136"/>
      <c r="E73" s="187">
        <f t="shared" si="0"/>
        <v>3501</v>
      </c>
      <c r="F73" s="187">
        <f t="shared" si="1"/>
        <v>3501</v>
      </c>
      <c r="G73" s="187">
        <f t="shared" si="2"/>
        <v>0</v>
      </c>
      <c r="H73" s="213"/>
      <c r="I73" s="214"/>
      <c r="J73" s="214"/>
      <c r="K73" s="214"/>
      <c r="L73" s="214"/>
      <c r="M73" s="214"/>
      <c r="N73" s="214"/>
      <c r="O73" s="214"/>
      <c r="P73" s="214"/>
      <c r="Q73" s="214"/>
      <c r="R73" s="214">
        <v>3501</v>
      </c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5"/>
      <c r="AJ73" s="216"/>
      <c r="AK73" s="216"/>
      <c r="AL73" s="216"/>
      <c r="AM73" s="216"/>
    </row>
    <row r="74" spans="1:39" s="119" customFormat="1" ht="18" customHeight="1" thickBot="1" x14ac:dyDescent="0.35">
      <c r="A74" s="136" t="s">
        <v>68</v>
      </c>
      <c r="B74" s="135" t="s">
        <v>246</v>
      </c>
      <c r="C74" s="292">
        <v>13269</v>
      </c>
      <c r="D74" s="136"/>
      <c r="E74" s="187">
        <f t="shared" si="0"/>
        <v>13269</v>
      </c>
      <c r="F74" s="187">
        <f t="shared" si="1"/>
        <v>13269</v>
      </c>
      <c r="G74" s="187">
        <f t="shared" si="2"/>
        <v>0</v>
      </c>
      <c r="H74" s="213"/>
      <c r="I74" s="214"/>
      <c r="J74" s="214"/>
      <c r="K74" s="214"/>
      <c r="L74" s="214">
        <v>5542</v>
      </c>
      <c r="M74" s="214"/>
      <c r="N74" s="216"/>
      <c r="O74" s="214"/>
      <c r="P74" s="214"/>
      <c r="Q74" s="214">
        <v>7727</v>
      </c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5"/>
      <c r="AJ74" s="216"/>
      <c r="AK74" s="216"/>
      <c r="AL74" s="216"/>
      <c r="AM74" s="216"/>
    </row>
    <row r="75" spans="1:39" s="119" customFormat="1" ht="18" customHeight="1" thickBot="1" x14ac:dyDescent="0.35">
      <c r="A75" s="136" t="s">
        <v>69</v>
      </c>
      <c r="B75" s="135" t="s">
        <v>247</v>
      </c>
      <c r="C75" s="292">
        <v>178485</v>
      </c>
      <c r="D75" s="136"/>
      <c r="E75" s="187">
        <f t="shared" si="0"/>
        <v>178485</v>
      </c>
      <c r="F75" s="187">
        <f t="shared" si="1"/>
        <v>178485</v>
      </c>
      <c r="G75" s="187">
        <f t="shared" si="2"/>
        <v>0</v>
      </c>
      <c r="H75" s="213"/>
      <c r="I75" s="214"/>
      <c r="J75" s="214"/>
      <c r="K75" s="214"/>
      <c r="L75" s="214"/>
      <c r="M75" s="214"/>
      <c r="N75" s="214">
        <v>11984</v>
      </c>
      <c r="O75" s="214"/>
      <c r="P75" s="214">
        <v>25975</v>
      </c>
      <c r="Q75" s="214"/>
      <c r="R75" s="214"/>
      <c r="S75" s="214">
        <f>22481+18620</f>
        <v>41101</v>
      </c>
      <c r="T75" s="214"/>
      <c r="U75" s="214">
        <v>31336</v>
      </c>
      <c r="V75" s="214"/>
      <c r="W75" s="214"/>
      <c r="X75" s="214"/>
      <c r="Y75" s="214"/>
      <c r="Z75" s="214"/>
      <c r="AA75" s="214"/>
      <c r="AB75" s="214"/>
      <c r="AC75" s="214"/>
      <c r="AD75" s="214">
        <v>59948.89</v>
      </c>
      <c r="AE75" s="214"/>
      <c r="AF75" s="214"/>
      <c r="AG75" s="214"/>
      <c r="AH75" s="214">
        <v>8140.11</v>
      </c>
      <c r="AI75" s="215"/>
      <c r="AJ75" s="216"/>
      <c r="AK75" s="216"/>
      <c r="AL75" s="216"/>
      <c r="AM75" s="216"/>
    </row>
    <row r="76" spans="1:39" s="119" customFormat="1" ht="18" customHeight="1" thickBot="1" x14ac:dyDescent="0.35">
      <c r="A76" s="136" t="s">
        <v>70</v>
      </c>
      <c r="B76" s="135" t="s">
        <v>248</v>
      </c>
      <c r="C76" s="292">
        <v>68374</v>
      </c>
      <c r="D76" s="136"/>
      <c r="E76" s="187">
        <f t="shared" si="0"/>
        <v>68374</v>
      </c>
      <c r="F76" s="187">
        <f t="shared" si="1"/>
        <v>68373.999999999985</v>
      </c>
      <c r="G76" s="187">
        <f t="shared" si="2"/>
        <v>0</v>
      </c>
      <c r="H76" s="213"/>
      <c r="I76" s="214"/>
      <c r="J76" s="214"/>
      <c r="K76" s="214"/>
      <c r="L76" s="214"/>
      <c r="M76" s="214"/>
      <c r="N76" s="214"/>
      <c r="O76" s="214"/>
      <c r="P76" s="214"/>
      <c r="Q76" s="214"/>
      <c r="R76" s="214">
        <v>32367.67</v>
      </c>
      <c r="S76" s="190">
        <v>2359.31</v>
      </c>
      <c r="T76" s="214">
        <f>4220.16*2</f>
        <v>8440.32</v>
      </c>
      <c r="U76" s="214"/>
      <c r="V76" s="214"/>
      <c r="W76" s="214">
        <f>2046.15+12265.4</f>
        <v>14311.55</v>
      </c>
      <c r="X76" s="214"/>
      <c r="Y76" s="214"/>
      <c r="Z76" s="214"/>
      <c r="AA76" s="214">
        <v>10895.15</v>
      </c>
      <c r="AB76" s="214"/>
      <c r="AC76" s="214"/>
      <c r="AD76" s="214"/>
      <c r="AE76" s="214"/>
      <c r="AF76" s="214"/>
      <c r="AG76" s="214"/>
      <c r="AH76" s="214"/>
      <c r="AI76" s="215"/>
      <c r="AJ76" s="216"/>
      <c r="AK76" s="216"/>
      <c r="AL76" s="216"/>
      <c r="AM76" s="216"/>
    </row>
    <row r="77" spans="1:39" s="119" customFormat="1" ht="18" customHeight="1" thickBot="1" x14ac:dyDescent="0.35">
      <c r="A77" s="136" t="s">
        <v>71</v>
      </c>
      <c r="B77" s="135" t="s">
        <v>249</v>
      </c>
      <c r="C77" s="292">
        <v>13234</v>
      </c>
      <c r="D77" s="136"/>
      <c r="E77" s="187">
        <f t="shared" ref="E77:E140" si="3">C77</f>
        <v>13234</v>
      </c>
      <c r="F77" s="187">
        <f t="shared" ref="F77:F140" si="4">SUM(H77:AK77)</f>
        <v>13234</v>
      </c>
      <c r="G77" s="187">
        <f t="shared" ref="G77:G140" si="5">E77-(F77+AL77+AM77)</f>
        <v>0</v>
      </c>
      <c r="H77" s="213"/>
      <c r="I77" s="214"/>
      <c r="J77" s="214"/>
      <c r="K77" s="214"/>
      <c r="L77" s="214"/>
      <c r="M77" s="214"/>
      <c r="N77" s="214"/>
      <c r="O77" s="214"/>
      <c r="P77" s="214"/>
      <c r="Q77" s="214"/>
      <c r="R77" s="199"/>
      <c r="S77" s="190">
        <v>13234</v>
      </c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5"/>
      <c r="AJ77" s="216"/>
      <c r="AK77" s="216"/>
      <c r="AL77" s="216"/>
      <c r="AM77" s="216"/>
    </row>
    <row r="78" spans="1:39" s="119" customFormat="1" ht="18" customHeight="1" thickBot="1" x14ac:dyDescent="0.35">
      <c r="A78" s="136" t="s">
        <v>72</v>
      </c>
      <c r="B78" s="135" t="s">
        <v>250</v>
      </c>
      <c r="C78" s="292">
        <v>140352</v>
      </c>
      <c r="D78" s="136"/>
      <c r="E78" s="187">
        <f t="shared" si="3"/>
        <v>140352</v>
      </c>
      <c r="F78" s="187">
        <f t="shared" si="4"/>
        <v>140352</v>
      </c>
      <c r="G78" s="187">
        <f t="shared" si="5"/>
        <v>0</v>
      </c>
      <c r="H78" s="213"/>
      <c r="I78" s="214"/>
      <c r="J78" s="214"/>
      <c r="K78" s="214"/>
      <c r="L78" s="214"/>
      <c r="M78" s="214"/>
      <c r="N78" s="214"/>
      <c r="O78" s="214">
        <v>46927.12</v>
      </c>
      <c r="P78" s="214"/>
      <c r="Q78" s="214"/>
      <c r="R78" s="199">
        <v>31893.63</v>
      </c>
      <c r="S78" s="199"/>
      <c r="T78" s="214"/>
      <c r="U78" s="214">
        <v>31855.85</v>
      </c>
      <c r="V78" s="214"/>
      <c r="W78" s="214"/>
      <c r="X78" s="214">
        <v>14010.46</v>
      </c>
      <c r="Y78" s="214"/>
      <c r="Z78" s="214"/>
      <c r="AA78" s="214">
        <v>15664.94</v>
      </c>
      <c r="AB78" s="214"/>
      <c r="AC78" s="214"/>
      <c r="AD78" s="214"/>
      <c r="AE78" s="214"/>
      <c r="AF78" s="214"/>
      <c r="AG78" s="214"/>
      <c r="AH78" s="214"/>
      <c r="AI78" s="215"/>
      <c r="AJ78" s="216"/>
      <c r="AK78" s="216"/>
      <c r="AL78" s="216"/>
      <c r="AM78" s="216"/>
    </row>
    <row r="79" spans="1:39" s="119" customFormat="1" ht="18" customHeight="1" thickBot="1" x14ac:dyDescent="0.35">
      <c r="A79" s="136" t="s">
        <v>73</v>
      </c>
      <c r="B79" s="135" t="s">
        <v>251</v>
      </c>
      <c r="C79" s="292">
        <v>123674</v>
      </c>
      <c r="D79" s="136"/>
      <c r="E79" s="187">
        <f t="shared" si="3"/>
        <v>123674</v>
      </c>
      <c r="F79" s="187">
        <f t="shared" si="4"/>
        <v>100558.29</v>
      </c>
      <c r="G79" s="187">
        <f t="shared" si="5"/>
        <v>23115.710000000006</v>
      </c>
      <c r="H79" s="213"/>
      <c r="I79" s="214"/>
      <c r="J79" s="214"/>
      <c r="K79" s="214"/>
      <c r="L79" s="214"/>
      <c r="M79" s="214"/>
      <c r="N79" s="214"/>
      <c r="O79" s="214"/>
      <c r="P79" s="214"/>
      <c r="Q79" s="214">
        <v>7779.65</v>
      </c>
      <c r="R79" s="190"/>
      <c r="S79" s="199">
        <v>3334.14</v>
      </c>
      <c r="T79" s="214"/>
      <c r="U79" s="214"/>
      <c r="V79" s="214"/>
      <c r="W79" s="214">
        <v>14125.3</v>
      </c>
      <c r="X79" s="214"/>
      <c r="Y79" s="214"/>
      <c r="Z79" s="214"/>
      <c r="AA79" s="214">
        <v>36998.31</v>
      </c>
      <c r="AB79" s="214"/>
      <c r="AC79" s="214"/>
      <c r="AD79" s="214"/>
      <c r="AE79" s="214"/>
      <c r="AF79" s="214"/>
      <c r="AG79" s="214"/>
      <c r="AH79" s="214">
        <v>38320.89</v>
      </c>
      <c r="AI79" s="215"/>
      <c r="AJ79" s="216"/>
      <c r="AK79" s="216"/>
      <c r="AL79" s="216"/>
      <c r="AM79" s="216"/>
    </row>
    <row r="80" spans="1:39" s="119" customFormat="1" ht="18" customHeight="1" thickBot="1" x14ac:dyDescent="0.35">
      <c r="A80" s="136" t="s">
        <v>74</v>
      </c>
      <c r="B80" s="135" t="s">
        <v>252</v>
      </c>
      <c r="C80" s="292">
        <v>28924</v>
      </c>
      <c r="D80" s="136"/>
      <c r="E80" s="187">
        <f t="shared" si="3"/>
        <v>28924</v>
      </c>
      <c r="F80" s="187">
        <f t="shared" si="4"/>
        <v>28924</v>
      </c>
      <c r="G80" s="187">
        <f t="shared" si="5"/>
        <v>0</v>
      </c>
      <c r="H80" s="213"/>
      <c r="I80" s="214"/>
      <c r="J80" s="214"/>
      <c r="K80" s="214"/>
      <c r="L80" s="214"/>
      <c r="M80" s="214"/>
      <c r="N80" s="214"/>
      <c r="O80" s="214">
        <v>25164.5</v>
      </c>
      <c r="P80" s="214"/>
      <c r="Q80" s="214"/>
      <c r="R80" s="199"/>
      <c r="S80" s="199">
        <v>3567.5</v>
      </c>
      <c r="T80" s="214"/>
      <c r="U80" s="214"/>
      <c r="V80" s="214"/>
      <c r="W80" s="214"/>
      <c r="X80" s="214"/>
      <c r="Y80" s="214"/>
      <c r="Z80" s="214"/>
      <c r="AA80" s="214"/>
      <c r="AB80" s="214">
        <v>192</v>
      </c>
      <c r="AC80" s="214"/>
      <c r="AD80" s="214"/>
      <c r="AE80" s="214"/>
      <c r="AF80" s="214"/>
      <c r="AG80" s="214"/>
      <c r="AH80" s="214"/>
      <c r="AI80" s="215"/>
      <c r="AJ80" s="216"/>
      <c r="AK80" s="216"/>
      <c r="AL80" s="216"/>
      <c r="AM80" s="216"/>
    </row>
    <row r="81" spans="1:39" s="119" customFormat="1" ht="18" customHeight="1" thickBot="1" x14ac:dyDescent="0.35">
      <c r="A81" s="136" t="s">
        <v>75</v>
      </c>
      <c r="B81" s="135" t="s">
        <v>253</v>
      </c>
      <c r="C81" s="292">
        <v>7328</v>
      </c>
      <c r="D81" s="136"/>
      <c r="E81" s="187">
        <f t="shared" si="3"/>
        <v>7328</v>
      </c>
      <c r="F81" s="187">
        <f t="shared" si="4"/>
        <v>7328</v>
      </c>
      <c r="G81" s="187">
        <f t="shared" si="5"/>
        <v>0</v>
      </c>
      <c r="H81" s="213"/>
      <c r="I81" s="214"/>
      <c r="J81" s="214"/>
      <c r="K81" s="214">
        <v>6618</v>
      </c>
      <c r="L81" s="214"/>
      <c r="M81" s="214"/>
      <c r="N81" s="214"/>
      <c r="O81" s="214"/>
      <c r="P81" s="214"/>
      <c r="Q81" s="214"/>
      <c r="R81" s="199"/>
      <c r="S81" s="199"/>
      <c r="T81" s="214"/>
      <c r="U81" s="214"/>
      <c r="V81" s="214"/>
      <c r="W81" s="214"/>
      <c r="X81" s="214"/>
      <c r="Y81" s="214">
        <v>710</v>
      </c>
      <c r="Z81" s="214"/>
      <c r="AA81" s="214"/>
      <c r="AB81" s="214"/>
      <c r="AC81" s="214"/>
      <c r="AD81" s="214"/>
      <c r="AE81" s="214"/>
      <c r="AF81" s="214"/>
      <c r="AG81" s="214"/>
      <c r="AH81" s="214"/>
      <c r="AI81" s="215"/>
      <c r="AJ81" s="216"/>
      <c r="AK81" s="216"/>
      <c r="AL81" s="216"/>
      <c r="AM81" s="216"/>
    </row>
    <row r="82" spans="1:39" s="119" customFormat="1" ht="18" customHeight="1" thickBot="1" x14ac:dyDescent="0.35">
      <c r="A82" s="136" t="s">
        <v>76</v>
      </c>
      <c r="B82" s="135" t="s">
        <v>254</v>
      </c>
      <c r="C82" s="292">
        <v>16607</v>
      </c>
      <c r="D82" s="136"/>
      <c r="E82" s="187">
        <f t="shared" si="3"/>
        <v>16607</v>
      </c>
      <c r="F82" s="187">
        <f t="shared" si="4"/>
        <v>16607</v>
      </c>
      <c r="G82" s="187">
        <f t="shared" si="5"/>
        <v>0</v>
      </c>
      <c r="H82" s="213"/>
      <c r="I82" s="214"/>
      <c r="J82" s="214"/>
      <c r="K82" s="214"/>
      <c r="L82" s="214"/>
      <c r="M82" s="214"/>
      <c r="O82" s="214"/>
      <c r="P82" s="214"/>
      <c r="Q82" s="214"/>
      <c r="R82" s="199">
        <v>16607</v>
      </c>
      <c r="S82" s="199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5"/>
      <c r="AJ82" s="216"/>
      <c r="AK82" s="216"/>
      <c r="AL82" s="216"/>
      <c r="AM82" s="216"/>
    </row>
    <row r="83" spans="1:39" s="119" customFormat="1" ht="18" customHeight="1" thickBot="1" x14ac:dyDescent="0.35">
      <c r="A83" s="136" t="s">
        <v>77</v>
      </c>
      <c r="B83" s="135" t="s">
        <v>255</v>
      </c>
      <c r="C83" s="292">
        <v>30635</v>
      </c>
      <c r="D83" s="136"/>
      <c r="E83" s="187">
        <f t="shared" si="3"/>
        <v>30635</v>
      </c>
      <c r="F83" s="187">
        <f t="shared" si="4"/>
        <v>30635</v>
      </c>
      <c r="G83" s="187">
        <f t="shared" si="5"/>
        <v>0</v>
      </c>
      <c r="H83" s="213"/>
      <c r="I83" s="214"/>
      <c r="J83" s="214"/>
      <c r="K83" s="214"/>
      <c r="L83" s="214"/>
      <c r="M83" s="214"/>
      <c r="N83" s="214"/>
      <c r="O83" s="214"/>
      <c r="P83" s="214"/>
      <c r="Q83" s="214"/>
      <c r="R83" s="199">
        <v>21021.43</v>
      </c>
      <c r="S83" s="199"/>
      <c r="T83" s="214"/>
      <c r="U83" s="214"/>
      <c r="V83" s="214"/>
      <c r="W83" s="214"/>
      <c r="X83" s="214"/>
      <c r="Y83" s="214">
        <v>3814.72</v>
      </c>
      <c r="Z83" s="214"/>
      <c r="AA83" s="214"/>
      <c r="AB83" s="214"/>
      <c r="AC83" s="214"/>
      <c r="AD83" s="214">
        <v>5798.85</v>
      </c>
      <c r="AE83" s="214"/>
      <c r="AF83" s="214"/>
      <c r="AG83" s="214"/>
      <c r="AH83" s="214"/>
      <c r="AI83" s="215"/>
      <c r="AJ83" s="216"/>
      <c r="AK83" s="216"/>
      <c r="AL83" s="216"/>
      <c r="AM83" s="216"/>
    </row>
    <row r="84" spans="1:39" s="119" customFormat="1" ht="18" customHeight="1" thickBot="1" x14ac:dyDescent="0.35">
      <c r="A84" s="136" t="s">
        <v>78</v>
      </c>
      <c r="B84" s="135" t="s">
        <v>256</v>
      </c>
      <c r="C84" s="292">
        <v>45442</v>
      </c>
      <c r="D84" s="136"/>
      <c r="E84" s="187">
        <f t="shared" si="3"/>
        <v>45442</v>
      </c>
      <c r="F84" s="187">
        <f t="shared" si="4"/>
        <v>45442</v>
      </c>
      <c r="G84" s="187">
        <f t="shared" si="5"/>
        <v>0</v>
      </c>
      <c r="H84" s="213"/>
      <c r="I84" s="214"/>
      <c r="J84" s="214"/>
      <c r="K84" s="214"/>
      <c r="L84" s="214"/>
      <c r="M84" s="214"/>
      <c r="N84" s="214"/>
      <c r="O84" s="214">
        <v>17300.72</v>
      </c>
      <c r="P84" s="214"/>
      <c r="Q84" s="214"/>
      <c r="R84" s="199"/>
      <c r="S84" s="199">
        <v>22064.17</v>
      </c>
      <c r="T84" s="214"/>
      <c r="U84" s="214">
        <v>2538.11</v>
      </c>
      <c r="V84" s="214"/>
      <c r="W84" s="214"/>
      <c r="X84" s="214"/>
      <c r="Y84" s="214"/>
      <c r="Z84" s="214"/>
      <c r="AA84" s="214">
        <v>3539</v>
      </c>
      <c r="AB84" s="214"/>
      <c r="AC84" s="214"/>
      <c r="AD84" s="214"/>
      <c r="AE84" s="214"/>
      <c r="AF84" s="214"/>
      <c r="AG84" s="214"/>
      <c r="AH84" s="214"/>
      <c r="AI84" s="215"/>
      <c r="AJ84" s="216"/>
      <c r="AK84" s="216"/>
      <c r="AL84" s="216"/>
      <c r="AM84" s="216"/>
    </row>
    <row r="85" spans="1:39" s="119" customFormat="1" ht="18" customHeight="1" thickBot="1" x14ac:dyDescent="0.35">
      <c r="A85" s="136" t="s">
        <v>79</v>
      </c>
      <c r="B85" s="135" t="s">
        <v>257</v>
      </c>
      <c r="C85" s="292">
        <v>2875</v>
      </c>
      <c r="D85" s="136"/>
      <c r="E85" s="187">
        <f t="shared" si="3"/>
        <v>2875</v>
      </c>
      <c r="F85" s="187">
        <f t="shared" si="4"/>
        <v>2875</v>
      </c>
      <c r="G85" s="187">
        <f t="shared" si="5"/>
        <v>0</v>
      </c>
      <c r="H85" s="213"/>
      <c r="I85" s="214"/>
      <c r="J85" s="214"/>
      <c r="K85" s="214"/>
      <c r="L85" s="214"/>
      <c r="M85" s="214"/>
      <c r="N85" s="214"/>
      <c r="O85" s="214"/>
      <c r="P85" s="214"/>
      <c r="Q85" s="214"/>
      <c r="R85" s="199">
        <v>2875</v>
      </c>
      <c r="S85" s="199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5"/>
      <c r="AJ85" s="216"/>
      <c r="AK85" s="216"/>
      <c r="AL85" s="216"/>
      <c r="AM85" s="216"/>
    </row>
    <row r="86" spans="1:39" s="119" customFormat="1" ht="18" customHeight="1" thickBot="1" x14ac:dyDescent="0.35">
      <c r="A86" s="136" t="s">
        <v>80</v>
      </c>
      <c r="B86" s="135" t="s">
        <v>258</v>
      </c>
      <c r="C86" s="292">
        <v>42329</v>
      </c>
      <c r="D86" s="136"/>
      <c r="E86" s="187">
        <f t="shared" si="3"/>
        <v>42329</v>
      </c>
      <c r="F86" s="187">
        <f t="shared" si="4"/>
        <v>42329</v>
      </c>
      <c r="G86" s="187">
        <f t="shared" si="5"/>
        <v>0</v>
      </c>
      <c r="H86" s="213"/>
      <c r="I86" s="214"/>
      <c r="J86" s="214"/>
      <c r="K86" s="214">
        <v>2691.47</v>
      </c>
      <c r="L86" s="214">
        <v>3722.73</v>
      </c>
      <c r="M86" s="214">
        <v>2245.2600000000002</v>
      </c>
      <c r="N86" s="214"/>
      <c r="O86" s="214">
        <v>5688.97</v>
      </c>
      <c r="P86" s="214">
        <v>7919.5</v>
      </c>
      <c r="Q86" s="214"/>
      <c r="R86" s="199"/>
      <c r="S86" s="199">
        <v>2236.9499999999998</v>
      </c>
      <c r="T86" s="214">
        <v>2805.25</v>
      </c>
      <c r="U86" s="214"/>
      <c r="V86" s="214">
        <v>5660.76</v>
      </c>
      <c r="W86" s="214">
        <v>9358.11</v>
      </c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5"/>
      <c r="AJ86" s="216"/>
      <c r="AK86" s="216"/>
      <c r="AL86" s="216"/>
      <c r="AM86" s="216"/>
    </row>
    <row r="87" spans="1:39" s="119" customFormat="1" ht="18" customHeight="1" thickBot="1" x14ac:dyDescent="0.35">
      <c r="A87" s="136" t="s">
        <v>81</v>
      </c>
      <c r="B87" s="135" t="s">
        <v>259</v>
      </c>
      <c r="C87" s="292">
        <v>11969</v>
      </c>
      <c r="D87" s="136"/>
      <c r="E87" s="187">
        <f t="shared" si="3"/>
        <v>11969</v>
      </c>
      <c r="F87" s="187">
        <f t="shared" si="4"/>
        <v>11969</v>
      </c>
      <c r="G87" s="187">
        <f t="shared" si="5"/>
        <v>0</v>
      </c>
      <c r="H87" s="213"/>
      <c r="I87" s="214"/>
      <c r="J87" s="214"/>
      <c r="K87" s="214">
        <v>1845</v>
      </c>
      <c r="L87" s="214"/>
      <c r="M87" s="214">
        <v>1210</v>
      </c>
      <c r="N87" s="214">
        <v>1018</v>
      </c>
      <c r="O87" s="214"/>
      <c r="P87" s="214">
        <v>2036</v>
      </c>
      <c r="Q87" s="214">
        <v>1018</v>
      </c>
      <c r="R87" s="190"/>
      <c r="S87" s="190">
        <f>2037+1018</f>
        <v>3055</v>
      </c>
      <c r="T87" s="214"/>
      <c r="U87" s="214"/>
      <c r="V87" s="214">
        <v>1787</v>
      </c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5"/>
      <c r="AJ87" s="216"/>
      <c r="AK87" s="216"/>
      <c r="AL87" s="216"/>
      <c r="AM87" s="216"/>
    </row>
    <row r="88" spans="1:39" s="119" customFormat="1" ht="18" customHeight="1" thickBot="1" x14ac:dyDescent="0.35">
      <c r="A88" s="136" t="s">
        <v>82</v>
      </c>
      <c r="B88" s="135" t="s">
        <v>260</v>
      </c>
      <c r="C88" s="292">
        <v>7033</v>
      </c>
      <c r="D88" s="136"/>
      <c r="E88" s="187">
        <f t="shared" si="3"/>
        <v>7033</v>
      </c>
      <c r="F88" s="187">
        <f t="shared" si="4"/>
        <v>7033</v>
      </c>
      <c r="G88" s="187">
        <f t="shared" si="5"/>
        <v>0</v>
      </c>
      <c r="H88" s="213"/>
      <c r="I88" s="214"/>
      <c r="J88" s="214"/>
      <c r="K88" s="214"/>
      <c r="L88" s="214"/>
      <c r="M88" s="214"/>
      <c r="N88" s="214"/>
      <c r="O88" s="214"/>
      <c r="P88" s="214"/>
      <c r="Q88" s="214"/>
      <c r="R88" s="199"/>
      <c r="S88" s="199"/>
      <c r="T88" s="214"/>
      <c r="U88" s="214"/>
      <c r="V88" s="214"/>
      <c r="W88" s="214">
        <v>7033</v>
      </c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5"/>
      <c r="AJ88" s="216"/>
      <c r="AK88" s="216"/>
      <c r="AL88" s="216"/>
      <c r="AM88" s="216"/>
    </row>
    <row r="89" spans="1:39" s="119" customFormat="1" ht="18" customHeight="1" thickBot="1" x14ac:dyDescent="0.35">
      <c r="A89" s="136" t="s">
        <v>83</v>
      </c>
      <c r="B89" s="135" t="s">
        <v>261</v>
      </c>
      <c r="C89" s="292">
        <v>1593609</v>
      </c>
      <c r="D89" s="136"/>
      <c r="E89" s="187">
        <f t="shared" si="3"/>
        <v>1593609</v>
      </c>
      <c r="F89" s="187">
        <f t="shared" si="4"/>
        <v>1593609</v>
      </c>
      <c r="G89" s="187">
        <f t="shared" si="5"/>
        <v>0</v>
      </c>
      <c r="H89" s="213"/>
      <c r="I89" s="214"/>
      <c r="J89" s="214"/>
      <c r="K89" s="214"/>
      <c r="L89" s="214"/>
      <c r="M89" s="214"/>
      <c r="N89" s="214">
        <v>165486.57</v>
      </c>
      <c r="O89" s="214">
        <v>138489.44</v>
      </c>
      <c r="P89" s="214">
        <v>164582.6</v>
      </c>
      <c r="Q89" s="214">
        <v>78207.08</v>
      </c>
      <c r="R89" s="190">
        <v>136628.81</v>
      </c>
      <c r="S89" s="190">
        <v>165871.70000000001</v>
      </c>
      <c r="T89" s="214">
        <v>129980.43</v>
      </c>
      <c r="U89" s="214"/>
      <c r="V89" s="214">
        <v>220886.23</v>
      </c>
      <c r="W89" s="214"/>
      <c r="X89" s="214"/>
      <c r="Y89" s="214"/>
      <c r="Z89" s="214"/>
      <c r="AA89" s="214">
        <v>393476.14</v>
      </c>
      <c r="AB89" s="214"/>
      <c r="AC89" s="214"/>
      <c r="AD89" s="214"/>
      <c r="AE89" s="214"/>
      <c r="AF89" s="214"/>
      <c r="AG89" s="214"/>
      <c r="AH89" s="214"/>
      <c r="AI89" s="215"/>
      <c r="AJ89" s="216"/>
      <c r="AK89" s="216"/>
      <c r="AL89" s="216"/>
      <c r="AM89" s="216"/>
    </row>
    <row r="90" spans="1:39" s="119" customFormat="1" ht="18" customHeight="1" thickBot="1" x14ac:dyDescent="0.35">
      <c r="A90" s="136" t="s">
        <v>84</v>
      </c>
      <c r="B90" s="135" t="s">
        <v>262</v>
      </c>
      <c r="C90" s="292">
        <v>6019</v>
      </c>
      <c r="D90" s="136"/>
      <c r="E90" s="187">
        <f t="shared" si="3"/>
        <v>6019</v>
      </c>
      <c r="F90" s="187">
        <f t="shared" si="4"/>
        <v>6019</v>
      </c>
      <c r="G90" s="187">
        <f t="shared" si="5"/>
        <v>0</v>
      </c>
      <c r="H90" s="213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>
        <v>6016</v>
      </c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>
        <v>3</v>
      </c>
      <c r="AF90" s="214"/>
      <c r="AG90" s="214"/>
      <c r="AH90" s="214"/>
      <c r="AI90" s="215"/>
      <c r="AJ90" s="216"/>
      <c r="AK90" s="216"/>
      <c r="AL90" s="216"/>
      <c r="AM90" s="216"/>
    </row>
    <row r="91" spans="1:39" s="119" customFormat="1" ht="18" customHeight="1" thickBot="1" x14ac:dyDescent="0.35">
      <c r="A91" s="136" t="s">
        <v>85</v>
      </c>
      <c r="B91" s="135" t="s">
        <v>263</v>
      </c>
      <c r="C91" s="292">
        <v>2366</v>
      </c>
      <c r="D91" s="136"/>
      <c r="E91" s="187">
        <f t="shared" si="3"/>
        <v>2366</v>
      </c>
      <c r="F91" s="187">
        <f t="shared" si="4"/>
        <v>2366</v>
      </c>
      <c r="G91" s="187">
        <f t="shared" si="5"/>
        <v>0</v>
      </c>
      <c r="H91" s="213"/>
      <c r="I91" s="214"/>
      <c r="J91" s="214"/>
      <c r="K91" s="214"/>
      <c r="L91" s="214"/>
      <c r="M91" s="214"/>
      <c r="N91" s="214"/>
      <c r="O91" s="214"/>
      <c r="P91" s="214">
        <v>2366</v>
      </c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5"/>
      <c r="AJ91" s="216"/>
      <c r="AK91" s="216"/>
      <c r="AL91" s="216"/>
      <c r="AM91" s="216"/>
    </row>
    <row r="92" spans="1:39" s="119" customFormat="1" ht="18" customHeight="1" thickBot="1" x14ac:dyDescent="0.35">
      <c r="A92" s="136" t="s">
        <v>86</v>
      </c>
      <c r="B92" s="135" t="s">
        <v>264</v>
      </c>
      <c r="C92" s="292">
        <v>5645</v>
      </c>
      <c r="D92" s="136" t="s">
        <v>370</v>
      </c>
      <c r="E92" s="281">
        <v>0</v>
      </c>
      <c r="F92" s="187">
        <f t="shared" si="4"/>
        <v>0</v>
      </c>
      <c r="G92" s="187">
        <f t="shared" si="5"/>
        <v>0</v>
      </c>
      <c r="H92" s="213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5"/>
      <c r="AJ92" s="216"/>
      <c r="AK92" s="216"/>
      <c r="AL92" s="216"/>
      <c r="AM92" s="216"/>
    </row>
    <row r="93" spans="1:39" s="119" customFormat="1" ht="18" customHeight="1" thickBot="1" x14ac:dyDescent="0.35">
      <c r="A93" s="136" t="s">
        <v>87</v>
      </c>
      <c r="B93" s="135" t="s">
        <v>265</v>
      </c>
      <c r="C93" s="292">
        <v>6999</v>
      </c>
      <c r="D93" s="136" t="s">
        <v>370</v>
      </c>
      <c r="E93" s="281">
        <v>0</v>
      </c>
      <c r="F93" s="187">
        <f t="shared" si="4"/>
        <v>0</v>
      </c>
      <c r="G93" s="187">
        <f t="shared" si="5"/>
        <v>0</v>
      </c>
      <c r="H93" s="213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5"/>
      <c r="AJ93" s="216"/>
      <c r="AK93" s="216"/>
      <c r="AL93" s="216"/>
      <c r="AM93" s="216"/>
    </row>
    <row r="94" spans="1:39" s="119" customFormat="1" ht="18" customHeight="1" thickBot="1" x14ac:dyDescent="0.35">
      <c r="A94" s="136" t="s">
        <v>88</v>
      </c>
      <c r="B94" s="135" t="s">
        <v>266</v>
      </c>
      <c r="C94" s="292">
        <v>6184</v>
      </c>
      <c r="D94" s="136" t="s">
        <v>370</v>
      </c>
      <c r="E94" s="281">
        <v>0</v>
      </c>
      <c r="F94" s="187">
        <f t="shared" si="4"/>
        <v>0</v>
      </c>
      <c r="G94" s="187">
        <f t="shared" si="5"/>
        <v>0</v>
      </c>
      <c r="H94" s="213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5"/>
      <c r="AJ94" s="216"/>
      <c r="AK94" s="216"/>
      <c r="AL94" s="216"/>
      <c r="AM94" s="216"/>
    </row>
    <row r="95" spans="1:39" s="119" customFormat="1" ht="18" customHeight="1" thickBot="1" x14ac:dyDescent="0.35">
      <c r="A95" s="136" t="s">
        <v>89</v>
      </c>
      <c r="B95" s="135" t="s">
        <v>267</v>
      </c>
      <c r="C95" s="292">
        <v>2688</v>
      </c>
      <c r="D95" s="136" t="s">
        <v>370</v>
      </c>
      <c r="E95" s="281">
        <v>0</v>
      </c>
      <c r="F95" s="187">
        <f t="shared" si="4"/>
        <v>0</v>
      </c>
      <c r="G95" s="187">
        <f t="shared" si="5"/>
        <v>0</v>
      </c>
      <c r="H95" s="213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5"/>
      <c r="AJ95" s="216"/>
      <c r="AK95" s="216"/>
      <c r="AL95" s="216"/>
      <c r="AM95" s="216"/>
    </row>
    <row r="96" spans="1:39" s="119" customFormat="1" ht="18" customHeight="1" thickBot="1" x14ac:dyDescent="0.35">
      <c r="A96" s="136" t="s">
        <v>90</v>
      </c>
      <c r="B96" s="135" t="s">
        <v>268</v>
      </c>
      <c r="C96" s="292">
        <v>35332</v>
      </c>
      <c r="D96" s="136" t="s">
        <v>370</v>
      </c>
      <c r="E96" s="281">
        <v>0</v>
      </c>
      <c r="F96" s="187">
        <f t="shared" si="4"/>
        <v>0</v>
      </c>
      <c r="G96" s="187">
        <f t="shared" si="5"/>
        <v>0</v>
      </c>
      <c r="H96" s="213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5"/>
      <c r="AJ96" s="216"/>
      <c r="AK96" s="216"/>
      <c r="AL96" s="216"/>
      <c r="AM96" s="216"/>
    </row>
    <row r="97" spans="1:39" s="119" customFormat="1" ht="18" customHeight="1" thickBot="1" x14ac:dyDescent="0.35">
      <c r="A97" s="136" t="s">
        <v>91</v>
      </c>
      <c r="B97" s="135" t="s">
        <v>269</v>
      </c>
      <c r="C97" s="292">
        <v>40080</v>
      </c>
      <c r="D97" s="136"/>
      <c r="E97" s="187">
        <f t="shared" si="3"/>
        <v>40080</v>
      </c>
      <c r="F97" s="187">
        <f t="shared" si="4"/>
        <v>40080</v>
      </c>
      <c r="G97" s="187">
        <f t="shared" si="5"/>
        <v>0</v>
      </c>
      <c r="H97" s="213"/>
      <c r="I97" s="214"/>
      <c r="J97" s="214"/>
      <c r="K97" s="214"/>
      <c r="L97" s="214"/>
      <c r="M97" s="214"/>
      <c r="N97" s="214">
        <f>10911+3563.39</f>
        <v>14474.39</v>
      </c>
      <c r="O97" s="214">
        <v>4811.51</v>
      </c>
      <c r="P97" s="214">
        <v>3563.54</v>
      </c>
      <c r="Q97" s="214">
        <v>2324.44</v>
      </c>
      <c r="R97" s="214">
        <v>3563.54</v>
      </c>
      <c r="S97" s="214">
        <v>11342.58</v>
      </c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5"/>
      <c r="AJ97" s="216"/>
      <c r="AK97" s="216"/>
      <c r="AL97" s="216"/>
      <c r="AM97" s="216"/>
    </row>
    <row r="98" spans="1:39" s="119" customFormat="1" ht="18" customHeight="1" thickBot="1" x14ac:dyDescent="0.35">
      <c r="A98" s="136" t="s">
        <v>92</v>
      </c>
      <c r="B98" s="135" t="s">
        <v>270</v>
      </c>
      <c r="C98" s="292">
        <v>118873</v>
      </c>
      <c r="D98" s="136"/>
      <c r="E98" s="187">
        <f t="shared" si="3"/>
        <v>118873</v>
      </c>
      <c r="F98" s="187">
        <f t="shared" si="4"/>
        <v>118873</v>
      </c>
      <c r="G98" s="187">
        <f t="shared" si="5"/>
        <v>0</v>
      </c>
      <c r="H98" s="213"/>
      <c r="I98" s="214"/>
      <c r="J98" s="214"/>
      <c r="K98" s="214"/>
      <c r="L98" s="214"/>
      <c r="M98" s="214"/>
      <c r="N98" s="214"/>
      <c r="O98" s="214"/>
      <c r="P98" s="214">
        <v>52519.01</v>
      </c>
      <c r="Q98" s="214"/>
      <c r="R98" s="214"/>
      <c r="S98" s="214">
        <v>10240.959999999999</v>
      </c>
      <c r="T98" s="214"/>
      <c r="U98" s="214"/>
      <c r="V98" s="214">
        <v>51050.53</v>
      </c>
      <c r="W98" s="214"/>
      <c r="X98" s="214"/>
      <c r="Y98" s="214"/>
      <c r="Z98" s="214"/>
      <c r="AA98" s="214"/>
      <c r="AB98" s="214"/>
      <c r="AC98" s="214"/>
      <c r="AD98" s="214"/>
      <c r="AE98" s="214">
        <v>5062.5</v>
      </c>
      <c r="AF98" s="214"/>
      <c r="AG98" s="214"/>
      <c r="AH98" s="214"/>
      <c r="AI98" s="215"/>
      <c r="AJ98" s="216"/>
      <c r="AK98" s="216"/>
      <c r="AL98" s="216"/>
      <c r="AM98" s="216"/>
    </row>
    <row r="99" spans="1:39" s="119" customFormat="1" ht="18" customHeight="1" thickBot="1" x14ac:dyDescent="0.35">
      <c r="A99" s="136" t="s">
        <v>93</v>
      </c>
      <c r="B99" s="135" t="s">
        <v>271</v>
      </c>
      <c r="C99" s="292">
        <v>26271</v>
      </c>
      <c r="D99" s="136"/>
      <c r="E99" s="187">
        <f t="shared" si="3"/>
        <v>26271</v>
      </c>
      <c r="F99" s="187">
        <f t="shared" si="4"/>
        <v>26271</v>
      </c>
      <c r="G99" s="187">
        <f t="shared" si="5"/>
        <v>0</v>
      </c>
      <c r="H99" s="213"/>
      <c r="I99" s="214"/>
      <c r="J99" s="214"/>
      <c r="K99" s="214"/>
      <c r="L99" s="214"/>
      <c r="M99" s="214"/>
      <c r="N99" s="214"/>
      <c r="O99" s="214"/>
      <c r="P99" s="214"/>
      <c r="Q99" s="214"/>
      <c r="R99" s="214">
        <v>14739</v>
      </c>
      <c r="S99" s="214"/>
      <c r="T99" s="214">
        <v>9200</v>
      </c>
      <c r="U99" s="214"/>
      <c r="V99" s="214">
        <v>2332</v>
      </c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5"/>
      <c r="AJ99" s="216"/>
      <c r="AK99" s="216"/>
      <c r="AL99" s="216"/>
      <c r="AM99" s="216"/>
    </row>
    <row r="100" spans="1:39" s="119" customFormat="1" ht="18" customHeight="1" thickBot="1" x14ac:dyDescent="0.35">
      <c r="A100" s="136" t="s">
        <v>94</v>
      </c>
      <c r="B100" s="135" t="s">
        <v>272</v>
      </c>
      <c r="C100" s="292">
        <v>25894</v>
      </c>
      <c r="D100" s="136"/>
      <c r="E100" s="187">
        <f t="shared" si="3"/>
        <v>25894</v>
      </c>
      <c r="F100" s="187">
        <f t="shared" si="4"/>
        <v>25894</v>
      </c>
      <c r="G100" s="187">
        <f t="shared" si="5"/>
        <v>0</v>
      </c>
      <c r="H100" s="213"/>
      <c r="I100" s="214"/>
      <c r="J100" s="214"/>
      <c r="K100" s="214"/>
      <c r="L100" s="214"/>
      <c r="M100" s="214"/>
      <c r="N100" s="214"/>
      <c r="O100" s="214"/>
      <c r="P100" s="214">
        <v>1543</v>
      </c>
      <c r="Q100" s="214"/>
      <c r="R100" s="214"/>
      <c r="S100" s="214">
        <v>12735.58</v>
      </c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>
        <v>11615.42</v>
      </c>
      <c r="AF100" s="214"/>
      <c r="AG100" s="214"/>
      <c r="AH100" s="214"/>
      <c r="AI100" s="215"/>
      <c r="AJ100" s="216"/>
      <c r="AK100" s="216"/>
      <c r="AL100" s="216"/>
      <c r="AM100" s="216"/>
    </row>
    <row r="101" spans="1:39" s="119" customFormat="1" ht="18" customHeight="1" thickBot="1" x14ac:dyDescent="0.35">
      <c r="A101" s="136" t="s">
        <v>95</v>
      </c>
      <c r="B101" s="135" t="s">
        <v>273</v>
      </c>
      <c r="C101" s="292">
        <v>549312</v>
      </c>
      <c r="D101" s="136"/>
      <c r="E101" s="187">
        <f t="shared" si="3"/>
        <v>549312</v>
      </c>
      <c r="F101" s="187">
        <f t="shared" si="4"/>
        <v>507060.58</v>
      </c>
      <c r="G101" s="187">
        <f t="shared" si="5"/>
        <v>42251.419999999984</v>
      </c>
      <c r="H101" s="213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>
        <v>19503.66</v>
      </c>
      <c r="S101" s="214">
        <v>71512.42</v>
      </c>
      <c r="T101" s="214"/>
      <c r="U101" s="214">
        <v>35091.58</v>
      </c>
      <c r="V101" s="214"/>
      <c r="W101" s="214"/>
      <c r="X101" s="214">
        <v>59644.34</v>
      </c>
      <c r="Y101" s="214"/>
      <c r="Z101" s="214"/>
      <c r="AA101" s="214">
        <f>72416.6+83768.74</f>
        <v>156185.34000000003</v>
      </c>
      <c r="AB101" s="214"/>
      <c r="AC101" s="214"/>
      <c r="AD101" s="214">
        <v>78786.990000000005</v>
      </c>
      <c r="AE101" s="214">
        <v>57508.99</v>
      </c>
      <c r="AF101" s="214"/>
      <c r="AG101" s="214">
        <v>28827.26</v>
      </c>
      <c r="AH101" s="214"/>
      <c r="AI101" s="215"/>
      <c r="AJ101" s="216"/>
      <c r="AK101" s="216"/>
      <c r="AL101" s="216"/>
      <c r="AM101" s="216"/>
    </row>
    <row r="102" spans="1:39" s="119" customFormat="1" ht="18" customHeight="1" thickBot="1" x14ac:dyDescent="0.35">
      <c r="A102" s="136" t="s">
        <v>96</v>
      </c>
      <c r="B102" s="135" t="s">
        <v>274</v>
      </c>
      <c r="C102" s="292">
        <v>374965</v>
      </c>
      <c r="D102" s="136"/>
      <c r="E102" s="187">
        <f t="shared" si="3"/>
        <v>374965</v>
      </c>
      <c r="F102" s="187">
        <f t="shared" si="4"/>
        <v>374965</v>
      </c>
      <c r="G102" s="187">
        <f t="shared" si="5"/>
        <v>0</v>
      </c>
      <c r="H102" s="213"/>
      <c r="I102" s="214"/>
      <c r="J102" s="214"/>
      <c r="K102" s="214"/>
      <c r="L102" s="214"/>
      <c r="M102" s="214"/>
      <c r="O102" s="214"/>
      <c r="P102" s="214"/>
      <c r="Q102" s="214"/>
      <c r="R102" s="214"/>
      <c r="S102" s="214"/>
      <c r="T102" s="214">
        <v>30235.67</v>
      </c>
      <c r="U102" s="214"/>
      <c r="V102" s="214"/>
      <c r="W102" s="214">
        <v>27068.03</v>
      </c>
      <c r="X102" s="214"/>
      <c r="Y102" s="214"/>
      <c r="Z102" s="214"/>
      <c r="AA102" s="214"/>
      <c r="AB102" s="214"/>
      <c r="AC102" s="214"/>
      <c r="AD102" s="214"/>
      <c r="AE102" s="214">
        <f>31334.95+286326.35</f>
        <v>317661.3</v>
      </c>
      <c r="AF102" s="214"/>
      <c r="AG102" s="214"/>
      <c r="AH102" s="214"/>
      <c r="AI102" s="215"/>
      <c r="AJ102" s="216"/>
      <c r="AK102" s="216"/>
      <c r="AL102" s="216"/>
      <c r="AM102" s="216"/>
    </row>
    <row r="103" spans="1:39" s="119" customFormat="1" ht="18" customHeight="1" thickBot="1" x14ac:dyDescent="0.35">
      <c r="A103" s="136" t="s">
        <v>97</v>
      </c>
      <c r="B103" s="135" t="s">
        <v>275</v>
      </c>
      <c r="C103" s="292">
        <v>52315</v>
      </c>
      <c r="D103" s="136"/>
      <c r="E103" s="187">
        <f t="shared" si="3"/>
        <v>52315</v>
      </c>
      <c r="F103" s="187">
        <f t="shared" si="4"/>
        <v>52315</v>
      </c>
      <c r="G103" s="187">
        <f t="shared" si="5"/>
        <v>0</v>
      </c>
      <c r="H103" s="213"/>
      <c r="I103" s="214"/>
      <c r="J103" s="214"/>
      <c r="K103" s="214"/>
      <c r="L103" s="214"/>
      <c r="M103" s="214"/>
      <c r="N103" s="214">
        <v>32257.69</v>
      </c>
      <c r="O103" s="214">
        <v>365.55</v>
      </c>
      <c r="P103" s="214">
        <v>1243.04</v>
      </c>
      <c r="Q103" s="214">
        <v>804.94</v>
      </c>
      <c r="R103" s="214"/>
      <c r="S103" s="214">
        <v>488.54</v>
      </c>
      <c r="T103" s="214">
        <v>388.82</v>
      </c>
      <c r="U103" s="214"/>
      <c r="V103" s="214"/>
      <c r="W103" s="214"/>
      <c r="X103" s="214">
        <v>16766.419999999998</v>
      </c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5"/>
      <c r="AJ103" s="216"/>
      <c r="AK103" s="216"/>
      <c r="AL103" s="216"/>
      <c r="AM103" s="216"/>
    </row>
    <row r="104" spans="1:39" s="119" customFormat="1" ht="18" customHeight="1" thickBot="1" x14ac:dyDescent="0.35">
      <c r="A104" s="136" t="s">
        <v>98</v>
      </c>
      <c r="B104" s="135" t="s">
        <v>276</v>
      </c>
      <c r="C104" s="292">
        <v>72620</v>
      </c>
      <c r="D104" s="136"/>
      <c r="E104" s="187">
        <f t="shared" si="3"/>
        <v>72620</v>
      </c>
      <c r="F104" s="187">
        <f t="shared" si="4"/>
        <v>72620</v>
      </c>
      <c r="G104" s="187">
        <f t="shared" si="5"/>
        <v>0</v>
      </c>
      <c r="H104" s="213"/>
      <c r="I104" s="214"/>
      <c r="J104" s="214"/>
      <c r="K104" s="214"/>
      <c r="L104" s="214"/>
      <c r="M104" s="214"/>
      <c r="N104" s="214"/>
      <c r="O104" s="214"/>
      <c r="P104" s="214"/>
      <c r="Q104" s="214">
        <v>45414.58</v>
      </c>
      <c r="R104" s="214"/>
      <c r="S104" s="214"/>
      <c r="T104" s="214"/>
      <c r="U104" s="214">
        <v>27205.42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5"/>
      <c r="AJ104" s="216"/>
      <c r="AK104" s="216"/>
      <c r="AL104" s="216"/>
      <c r="AM104" s="216"/>
    </row>
    <row r="105" spans="1:39" s="119" customFormat="1" ht="18" customHeight="1" thickBot="1" x14ac:dyDescent="0.35">
      <c r="A105" s="136" t="s">
        <v>99</v>
      </c>
      <c r="B105" s="135" t="s">
        <v>277</v>
      </c>
      <c r="C105" s="292">
        <v>5696</v>
      </c>
      <c r="D105" s="136"/>
      <c r="E105" s="187">
        <f t="shared" si="3"/>
        <v>5696</v>
      </c>
      <c r="F105" s="187">
        <f t="shared" si="4"/>
        <v>5696</v>
      </c>
      <c r="G105" s="187">
        <f t="shared" si="5"/>
        <v>0</v>
      </c>
      <c r="H105" s="213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199">
        <v>5640</v>
      </c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>
        <v>56</v>
      </c>
      <c r="AF105" s="214"/>
      <c r="AG105" s="214"/>
      <c r="AH105" s="214"/>
      <c r="AI105" s="215"/>
      <c r="AJ105" s="216"/>
      <c r="AK105" s="216"/>
      <c r="AL105" s="216"/>
      <c r="AM105" s="216"/>
    </row>
    <row r="106" spans="1:39" s="119" customFormat="1" ht="18" customHeight="1" thickBot="1" x14ac:dyDescent="0.35">
      <c r="A106" s="136" t="s">
        <v>100</v>
      </c>
      <c r="B106" s="135" t="s">
        <v>278</v>
      </c>
      <c r="C106" s="292">
        <v>13457</v>
      </c>
      <c r="D106" s="136"/>
      <c r="E106" s="187">
        <f t="shared" si="3"/>
        <v>13457</v>
      </c>
      <c r="F106" s="187">
        <f t="shared" si="4"/>
        <v>13457</v>
      </c>
      <c r="G106" s="187">
        <f t="shared" si="5"/>
        <v>0</v>
      </c>
      <c r="H106" s="213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>
        <f>11598+1859</f>
        <v>13457</v>
      </c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5"/>
      <c r="AJ106" s="216"/>
      <c r="AK106" s="216"/>
      <c r="AL106" s="216"/>
      <c r="AM106" s="216"/>
    </row>
    <row r="107" spans="1:39" s="119" customFormat="1" ht="18" customHeight="1" thickBot="1" x14ac:dyDescent="0.35">
      <c r="A107" s="136" t="s">
        <v>101</v>
      </c>
      <c r="B107" s="135" t="s">
        <v>279</v>
      </c>
      <c r="C107" s="292">
        <v>5867</v>
      </c>
      <c r="D107" s="136"/>
      <c r="E107" s="187">
        <f t="shared" si="3"/>
        <v>5867</v>
      </c>
      <c r="F107" s="187">
        <f t="shared" si="4"/>
        <v>5867</v>
      </c>
      <c r="G107" s="187">
        <f t="shared" si="5"/>
        <v>0</v>
      </c>
      <c r="H107" s="213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>
        <v>5867</v>
      </c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5"/>
      <c r="AJ107" s="216"/>
      <c r="AK107" s="216"/>
      <c r="AL107" s="216"/>
      <c r="AM107" s="216"/>
    </row>
    <row r="108" spans="1:39" s="119" customFormat="1" ht="18" customHeight="1" thickBot="1" x14ac:dyDescent="0.35">
      <c r="A108" s="136" t="s">
        <v>102</v>
      </c>
      <c r="B108" s="135" t="s">
        <v>280</v>
      </c>
      <c r="C108" s="292">
        <v>1176</v>
      </c>
      <c r="D108" s="136"/>
      <c r="E108" s="187">
        <f t="shared" si="3"/>
        <v>1176</v>
      </c>
      <c r="F108" s="187">
        <f t="shared" si="4"/>
        <v>519</v>
      </c>
      <c r="G108" s="187">
        <f t="shared" si="5"/>
        <v>657</v>
      </c>
      <c r="H108" s="213"/>
      <c r="I108" s="214"/>
      <c r="J108" s="214"/>
      <c r="K108" s="214"/>
      <c r="L108" s="214"/>
      <c r="M108" s="214"/>
      <c r="N108" s="214"/>
      <c r="O108" s="214"/>
      <c r="P108" s="214">
        <v>519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5"/>
      <c r="AJ108" s="216"/>
      <c r="AK108" s="216"/>
      <c r="AL108" s="216"/>
      <c r="AM108" s="216"/>
    </row>
    <row r="109" spans="1:39" s="119" customFormat="1" ht="18" customHeight="1" thickBot="1" x14ac:dyDescent="0.35">
      <c r="A109" s="136" t="s">
        <v>103</v>
      </c>
      <c r="B109" s="135" t="s">
        <v>281</v>
      </c>
      <c r="C109" s="292">
        <v>1781</v>
      </c>
      <c r="D109" s="136"/>
      <c r="E109" s="187">
        <f t="shared" si="3"/>
        <v>1781</v>
      </c>
      <c r="F109" s="187">
        <f t="shared" si="4"/>
        <v>1781</v>
      </c>
      <c r="G109" s="187">
        <f t="shared" si="5"/>
        <v>0</v>
      </c>
      <c r="H109" s="213"/>
      <c r="I109" s="214"/>
      <c r="J109" s="214"/>
      <c r="K109" s="214">
        <v>1779</v>
      </c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>
        <v>2</v>
      </c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5"/>
      <c r="AJ109" s="216"/>
      <c r="AK109" s="216"/>
      <c r="AL109" s="216"/>
      <c r="AM109" s="216"/>
    </row>
    <row r="110" spans="1:39" s="119" customFormat="1" ht="18" customHeight="1" thickBot="1" x14ac:dyDescent="0.35">
      <c r="A110" s="136" t="s">
        <v>104</v>
      </c>
      <c r="B110" s="135" t="s">
        <v>282</v>
      </c>
      <c r="C110" s="292">
        <v>7123</v>
      </c>
      <c r="D110" s="136" t="s">
        <v>370</v>
      </c>
      <c r="E110" s="281">
        <v>0</v>
      </c>
      <c r="F110" s="187">
        <f t="shared" si="4"/>
        <v>0</v>
      </c>
      <c r="G110" s="187">
        <f t="shared" si="5"/>
        <v>0</v>
      </c>
      <c r="H110" s="213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5"/>
      <c r="AJ110" s="216"/>
      <c r="AK110" s="216"/>
      <c r="AL110" s="216"/>
      <c r="AM110" s="216"/>
    </row>
    <row r="111" spans="1:39" s="119" customFormat="1" ht="18" customHeight="1" thickBot="1" x14ac:dyDescent="0.35">
      <c r="A111" s="136" t="s">
        <v>105</v>
      </c>
      <c r="B111" s="135" t="s">
        <v>283</v>
      </c>
      <c r="C111" s="292">
        <v>19525</v>
      </c>
      <c r="D111" s="136" t="s">
        <v>370</v>
      </c>
      <c r="E111" s="281">
        <v>0</v>
      </c>
      <c r="F111" s="187">
        <f t="shared" si="4"/>
        <v>0</v>
      </c>
      <c r="G111" s="187">
        <f t="shared" si="5"/>
        <v>0</v>
      </c>
      <c r="H111" s="213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5"/>
      <c r="AJ111" s="216"/>
      <c r="AK111" s="216"/>
      <c r="AL111" s="216"/>
      <c r="AM111" s="216"/>
    </row>
    <row r="112" spans="1:39" s="119" customFormat="1" ht="18" customHeight="1" thickBot="1" x14ac:dyDescent="0.35">
      <c r="A112" s="136" t="s">
        <v>106</v>
      </c>
      <c r="B112" s="135" t="s">
        <v>284</v>
      </c>
      <c r="C112" s="292">
        <v>2851</v>
      </c>
      <c r="D112" s="136" t="s">
        <v>370</v>
      </c>
      <c r="E112" s="281">
        <v>0</v>
      </c>
      <c r="F112" s="187">
        <f t="shared" si="4"/>
        <v>0</v>
      </c>
      <c r="G112" s="187">
        <f t="shared" si="5"/>
        <v>0</v>
      </c>
      <c r="H112" s="213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5"/>
      <c r="AJ112" s="216"/>
      <c r="AK112" s="216"/>
      <c r="AL112" s="216"/>
      <c r="AM112" s="216"/>
    </row>
    <row r="113" spans="1:39" s="119" customFormat="1" ht="18" customHeight="1" thickBot="1" x14ac:dyDescent="0.35">
      <c r="A113" s="136" t="s">
        <v>107</v>
      </c>
      <c r="B113" s="135" t="s">
        <v>285</v>
      </c>
      <c r="C113" s="292">
        <v>88456</v>
      </c>
      <c r="D113" s="136" t="s">
        <v>371</v>
      </c>
      <c r="E113" s="281">
        <v>0</v>
      </c>
      <c r="F113" s="187">
        <f t="shared" si="4"/>
        <v>0</v>
      </c>
      <c r="G113" s="187">
        <f t="shared" si="5"/>
        <v>0</v>
      </c>
      <c r="H113" s="213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5"/>
      <c r="AJ113" s="216"/>
      <c r="AK113" s="216"/>
      <c r="AL113" s="216"/>
      <c r="AM113" s="216"/>
    </row>
    <row r="114" spans="1:39" s="119" customFormat="1" ht="18" customHeight="1" thickBot="1" x14ac:dyDescent="0.35">
      <c r="A114" s="136" t="s">
        <v>108</v>
      </c>
      <c r="B114" s="135" t="s">
        <v>286</v>
      </c>
      <c r="C114" s="292">
        <v>5035</v>
      </c>
      <c r="D114" s="136" t="s">
        <v>372</v>
      </c>
      <c r="E114" s="281">
        <v>0</v>
      </c>
      <c r="F114" s="187">
        <f t="shared" si="4"/>
        <v>0</v>
      </c>
      <c r="G114" s="187">
        <f t="shared" si="5"/>
        <v>0</v>
      </c>
      <c r="H114" s="213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5"/>
      <c r="AJ114" s="216"/>
      <c r="AK114" s="216"/>
      <c r="AL114" s="216"/>
      <c r="AM114" s="216"/>
    </row>
    <row r="115" spans="1:39" s="119" customFormat="1" ht="18" customHeight="1" thickBot="1" x14ac:dyDescent="0.35">
      <c r="A115" s="136" t="s">
        <v>109</v>
      </c>
      <c r="B115" s="135" t="s">
        <v>287</v>
      </c>
      <c r="C115" s="292">
        <v>4429</v>
      </c>
      <c r="D115" s="136"/>
      <c r="E115" s="187">
        <f t="shared" si="3"/>
        <v>4429</v>
      </c>
      <c r="F115" s="187">
        <f t="shared" si="4"/>
        <v>4429</v>
      </c>
      <c r="G115" s="187">
        <f t="shared" si="5"/>
        <v>0</v>
      </c>
      <c r="H115" s="213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>
        <v>4429</v>
      </c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5"/>
      <c r="AJ115" s="216"/>
      <c r="AK115" s="216"/>
      <c r="AL115" s="216"/>
      <c r="AM115" s="216"/>
    </row>
    <row r="116" spans="1:39" s="119" customFormat="1" ht="18" customHeight="1" thickBot="1" x14ac:dyDescent="0.35">
      <c r="A116" s="136" t="s">
        <v>110</v>
      </c>
      <c r="B116" s="135" t="s">
        <v>288</v>
      </c>
      <c r="C116" s="292">
        <v>3350</v>
      </c>
      <c r="D116" s="136" t="s">
        <v>372</v>
      </c>
      <c r="E116" s="281">
        <v>0</v>
      </c>
      <c r="F116" s="187">
        <f t="shared" si="4"/>
        <v>0</v>
      </c>
      <c r="G116" s="187">
        <f t="shared" si="5"/>
        <v>0</v>
      </c>
      <c r="H116" s="213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5"/>
      <c r="AJ116" s="216"/>
      <c r="AK116" s="216"/>
      <c r="AL116" s="216"/>
      <c r="AM116" s="216"/>
    </row>
    <row r="117" spans="1:39" s="119" customFormat="1" ht="18" customHeight="1" thickBot="1" x14ac:dyDescent="0.35">
      <c r="A117" s="136" t="s">
        <v>111</v>
      </c>
      <c r="B117" s="135" t="s">
        <v>289</v>
      </c>
      <c r="C117" s="292">
        <v>3833</v>
      </c>
      <c r="D117" s="136"/>
      <c r="E117" s="187">
        <f t="shared" si="3"/>
        <v>3833</v>
      </c>
      <c r="F117" s="187">
        <f t="shared" si="4"/>
        <v>3833</v>
      </c>
      <c r="G117" s="187">
        <f t="shared" si="5"/>
        <v>0</v>
      </c>
      <c r="H117" s="213"/>
      <c r="I117" s="214"/>
      <c r="J117" s="214"/>
      <c r="K117" s="214"/>
      <c r="L117" s="214"/>
      <c r="M117" s="214"/>
      <c r="N117" s="214"/>
      <c r="O117" s="214"/>
      <c r="P117" s="214"/>
      <c r="Q117" s="214">
        <v>3833</v>
      </c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5"/>
      <c r="AJ117" s="216"/>
      <c r="AK117" s="216"/>
      <c r="AL117" s="216"/>
      <c r="AM117" s="216"/>
    </row>
    <row r="118" spans="1:39" s="119" customFormat="1" ht="18" customHeight="1" thickBot="1" x14ac:dyDescent="0.35">
      <c r="A118" s="136" t="s">
        <v>112</v>
      </c>
      <c r="B118" s="135" t="s">
        <v>290</v>
      </c>
      <c r="C118" s="292">
        <v>14691</v>
      </c>
      <c r="D118" s="136"/>
      <c r="E118" s="187">
        <f t="shared" si="3"/>
        <v>14691</v>
      </c>
      <c r="F118" s="187">
        <f t="shared" si="4"/>
        <v>14691</v>
      </c>
      <c r="G118" s="187">
        <f t="shared" si="5"/>
        <v>0</v>
      </c>
      <c r="H118" s="213"/>
      <c r="I118" s="214"/>
      <c r="J118" s="214"/>
      <c r="K118" s="214"/>
      <c r="L118" s="214"/>
      <c r="M118" s="214"/>
      <c r="N118" s="214"/>
      <c r="O118" s="214"/>
      <c r="P118" s="214">
        <v>5966.36</v>
      </c>
      <c r="Q118" s="214"/>
      <c r="R118" s="214"/>
      <c r="S118" s="214">
        <f>5072.71+1690.91</f>
        <v>6763.62</v>
      </c>
      <c r="T118" s="214">
        <v>1899.02</v>
      </c>
      <c r="U118" s="214"/>
      <c r="V118" s="214"/>
      <c r="W118" s="214"/>
      <c r="X118" s="214"/>
      <c r="Y118" s="214"/>
      <c r="Z118" s="214">
        <v>62</v>
      </c>
      <c r="AA118" s="214"/>
      <c r="AB118" s="214"/>
      <c r="AC118" s="214"/>
      <c r="AD118" s="214"/>
      <c r="AE118" s="214"/>
      <c r="AF118" s="214"/>
      <c r="AG118" s="214"/>
      <c r="AH118" s="214"/>
      <c r="AI118" s="215"/>
      <c r="AJ118" s="216"/>
      <c r="AK118" s="216"/>
      <c r="AL118" s="216"/>
      <c r="AM118" s="216"/>
    </row>
    <row r="119" spans="1:39" s="119" customFormat="1" ht="18" customHeight="1" thickBot="1" x14ac:dyDescent="0.35">
      <c r="A119" s="136" t="s">
        <v>113</v>
      </c>
      <c r="B119" s="135" t="s">
        <v>291</v>
      </c>
      <c r="C119" s="292">
        <v>928055</v>
      </c>
      <c r="D119" s="136"/>
      <c r="E119" s="187">
        <f t="shared" si="3"/>
        <v>928055</v>
      </c>
      <c r="F119" s="187">
        <f t="shared" si="4"/>
        <v>928055.00000000012</v>
      </c>
      <c r="G119" s="187">
        <f t="shared" si="5"/>
        <v>0</v>
      </c>
      <c r="H119" s="213"/>
      <c r="I119" s="214"/>
      <c r="J119" s="214"/>
      <c r="K119" s="214"/>
      <c r="L119" s="214"/>
      <c r="M119" s="214"/>
      <c r="N119" s="214"/>
      <c r="O119" s="214">
        <v>27628.240000000002</v>
      </c>
      <c r="P119" s="214">
        <v>33968.79</v>
      </c>
      <c r="Q119" s="214">
        <v>39795.89</v>
      </c>
      <c r="R119" s="214">
        <f>114032.83+8633.77</f>
        <v>122666.6</v>
      </c>
      <c r="S119" s="214">
        <v>60368.46</v>
      </c>
      <c r="T119" s="214"/>
      <c r="U119" s="214"/>
      <c r="V119" s="214">
        <v>81424.06</v>
      </c>
      <c r="W119" s="214"/>
      <c r="X119" s="214"/>
      <c r="Y119" s="214">
        <v>327736.33</v>
      </c>
      <c r="Z119" s="214"/>
      <c r="AA119" s="214">
        <v>142049.42000000001</v>
      </c>
      <c r="AB119" s="214">
        <v>80076.38</v>
      </c>
      <c r="AC119" s="214">
        <v>12340.83</v>
      </c>
      <c r="AD119" s="214"/>
      <c r="AE119" s="214"/>
      <c r="AF119" s="214"/>
      <c r="AG119" s="214"/>
      <c r="AH119" s="214"/>
      <c r="AI119" s="215"/>
      <c r="AJ119" s="216"/>
      <c r="AK119" s="216"/>
      <c r="AL119" s="216"/>
      <c r="AM119" s="216"/>
    </row>
    <row r="120" spans="1:39" s="119" customFormat="1" ht="18" customHeight="1" thickBot="1" x14ac:dyDescent="0.35">
      <c r="A120" s="136" t="s">
        <v>114</v>
      </c>
      <c r="B120" s="135" t="s">
        <v>292</v>
      </c>
      <c r="C120" s="292">
        <v>2643</v>
      </c>
      <c r="D120" s="136"/>
      <c r="E120" s="187">
        <f t="shared" si="3"/>
        <v>2643</v>
      </c>
      <c r="F120" s="187">
        <f t="shared" si="4"/>
        <v>2643</v>
      </c>
      <c r="G120" s="187">
        <f t="shared" si="5"/>
        <v>0</v>
      </c>
      <c r="H120" s="213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>
        <v>2596</v>
      </c>
      <c r="S120" s="214"/>
      <c r="T120" s="214">
        <v>47</v>
      </c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5"/>
      <c r="AJ120" s="216"/>
      <c r="AK120" s="216"/>
      <c r="AL120" s="216"/>
      <c r="AM120" s="216"/>
    </row>
    <row r="121" spans="1:39" s="119" customFormat="1" ht="18" customHeight="1" thickBot="1" x14ac:dyDescent="0.35">
      <c r="A121" s="136" t="s">
        <v>115</v>
      </c>
      <c r="B121" s="135" t="s">
        <v>293</v>
      </c>
      <c r="C121" s="292">
        <v>79900</v>
      </c>
      <c r="D121" s="136"/>
      <c r="E121" s="187">
        <f t="shared" si="3"/>
        <v>79900</v>
      </c>
      <c r="F121" s="187">
        <f t="shared" si="4"/>
        <v>79900</v>
      </c>
      <c r="G121" s="187">
        <f t="shared" si="5"/>
        <v>0</v>
      </c>
      <c r="H121" s="213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>
        <v>79900</v>
      </c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5"/>
      <c r="AJ121" s="216"/>
      <c r="AK121" s="216"/>
      <c r="AL121" s="216"/>
      <c r="AM121" s="216"/>
    </row>
    <row r="122" spans="1:39" s="119" customFormat="1" ht="18" customHeight="1" thickBot="1" x14ac:dyDescent="0.35">
      <c r="A122" s="136" t="s">
        <v>116</v>
      </c>
      <c r="B122" s="135" t="s">
        <v>294</v>
      </c>
      <c r="C122" s="292">
        <v>193420</v>
      </c>
      <c r="D122" s="136"/>
      <c r="E122" s="187">
        <f t="shared" si="3"/>
        <v>193420</v>
      </c>
      <c r="F122" s="187">
        <f t="shared" si="4"/>
        <v>193420</v>
      </c>
      <c r="G122" s="187">
        <f t="shared" si="5"/>
        <v>0</v>
      </c>
      <c r="H122" s="213"/>
      <c r="I122" s="214"/>
      <c r="J122" s="214"/>
      <c r="K122" s="214"/>
      <c r="L122" s="214"/>
      <c r="M122" s="214">
        <v>9307.93</v>
      </c>
      <c r="N122" s="214">
        <v>24358.97</v>
      </c>
      <c r="O122" s="214">
        <v>15210.33</v>
      </c>
      <c r="P122" s="214">
        <v>13993.46</v>
      </c>
      <c r="Q122" s="214">
        <v>19720.41</v>
      </c>
      <c r="R122" s="214">
        <v>14996.76</v>
      </c>
      <c r="S122" s="214">
        <v>44619.05</v>
      </c>
      <c r="T122" s="214">
        <v>14410.74</v>
      </c>
      <c r="U122" s="214"/>
      <c r="V122" s="214"/>
      <c r="W122" s="214">
        <v>20315.650000000001</v>
      </c>
      <c r="X122" s="214">
        <v>6603.29</v>
      </c>
      <c r="Y122" s="214">
        <v>9883.41</v>
      </c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5"/>
      <c r="AJ122" s="216"/>
      <c r="AK122" s="216"/>
      <c r="AL122" s="216"/>
      <c r="AM122" s="216"/>
    </row>
    <row r="123" spans="1:39" s="119" customFormat="1" ht="18" customHeight="1" thickBot="1" x14ac:dyDescent="0.35">
      <c r="A123" s="136" t="s">
        <v>117</v>
      </c>
      <c r="B123" s="135" t="s">
        <v>295</v>
      </c>
      <c r="C123" s="292">
        <v>15067</v>
      </c>
      <c r="D123" s="136"/>
      <c r="E123" s="187">
        <f t="shared" si="3"/>
        <v>15067</v>
      </c>
      <c r="F123" s="187">
        <f t="shared" si="4"/>
        <v>15067</v>
      </c>
      <c r="G123" s="187">
        <f t="shared" si="5"/>
        <v>0</v>
      </c>
      <c r="H123" s="213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>
        <v>3945</v>
      </c>
      <c r="V123" s="214"/>
      <c r="W123" s="214"/>
      <c r="X123" s="214"/>
      <c r="Y123" s="214"/>
      <c r="Z123" s="214"/>
      <c r="AA123" s="214"/>
      <c r="AB123" s="214"/>
      <c r="AC123" s="214"/>
      <c r="AD123" s="214">
        <v>11122</v>
      </c>
      <c r="AE123" s="214"/>
      <c r="AF123" s="214"/>
      <c r="AG123" s="214"/>
      <c r="AH123" s="214"/>
      <c r="AI123" s="215"/>
      <c r="AJ123" s="216"/>
      <c r="AK123" s="216"/>
      <c r="AL123" s="216"/>
      <c r="AM123" s="216"/>
    </row>
    <row r="124" spans="1:39" s="119" customFormat="1" ht="18" customHeight="1" thickBot="1" x14ac:dyDescent="0.35">
      <c r="A124" s="136" t="s">
        <v>118</v>
      </c>
      <c r="B124" s="135" t="s">
        <v>296</v>
      </c>
      <c r="C124" s="292">
        <v>21094</v>
      </c>
      <c r="D124" s="136"/>
      <c r="E124" s="187">
        <f t="shared" si="3"/>
        <v>21094</v>
      </c>
      <c r="F124" s="187">
        <f t="shared" si="4"/>
        <v>21094</v>
      </c>
      <c r="G124" s="187">
        <f t="shared" si="5"/>
        <v>0</v>
      </c>
      <c r="H124" s="213"/>
      <c r="I124" s="214"/>
      <c r="J124" s="214"/>
      <c r="K124" s="214"/>
      <c r="L124" s="214"/>
      <c r="M124" s="214">
        <v>5983.59</v>
      </c>
      <c r="N124" s="214">
        <v>3175.77</v>
      </c>
      <c r="O124" s="214">
        <v>1358.59</v>
      </c>
      <c r="P124" s="214">
        <v>1058.5899999999999</v>
      </c>
      <c r="Q124" s="214">
        <v>2835.91</v>
      </c>
      <c r="R124" s="214">
        <v>4310.8599999999997</v>
      </c>
      <c r="S124" s="214">
        <v>2295.69</v>
      </c>
      <c r="T124" s="214"/>
      <c r="U124" s="214"/>
      <c r="V124" s="214"/>
      <c r="W124" s="214"/>
      <c r="X124" s="214"/>
      <c r="Y124" s="214"/>
      <c r="Z124" s="214"/>
      <c r="AA124" s="214">
        <v>75</v>
      </c>
      <c r="AB124" s="214"/>
      <c r="AC124" s="214"/>
      <c r="AD124" s="214"/>
      <c r="AE124" s="214"/>
      <c r="AF124" s="214"/>
      <c r="AG124" s="214"/>
      <c r="AH124" s="214"/>
      <c r="AI124" s="215"/>
      <c r="AJ124" s="216"/>
      <c r="AK124" s="216"/>
      <c r="AL124" s="216"/>
      <c r="AM124" s="216"/>
    </row>
    <row r="125" spans="1:39" s="119" customFormat="1" ht="18" customHeight="1" thickBot="1" x14ac:dyDescent="0.35">
      <c r="A125" s="136" t="s">
        <v>119</v>
      </c>
      <c r="B125" s="135" t="s">
        <v>297</v>
      </c>
      <c r="C125" s="292">
        <v>217854</v>
      </c>
      <c r="D125" s="136"/>
      <c r="E125" s="187">
        <f t="shared" si="3"/>
        <v>217854</v>
      </c>
      <c r="F125" s="187">
        <f t="shared" si="4"/>
        <v>217853.99999999997</v>
      </c>
      <c r="G125" s="187">
        <f t="shared" si="5"/>
        <v>0</v>
      </c>
      <c r="H125" s="213"/>
      <c r="I125" s="214"/>
      <c r="J125" s="214"/>
      <c r="K125" s="214"/>
      <c r="L125" s="214"/>
      <c r="M125" s="214"/>
      <c r="N125" s="214">
        <v>38092.69</v>
      </c>
      <c r="O125" s="214"/>
      <c r="P125" s="214">
        <v>12126.01</v>
      </c>
      <c r="Q125" s="214">
        <v>7501.51</v>
      </c>
      <c r="R125" s="214">
        <v>14998.07</v>
      </c>
      <c r="S125" s="214">
        <v>33089.120000000003</v>
      </c>
      <c r="T125" s="214">
        <v>15009.55</v>
      </c>
      <c r="U125" s="214"/>
      <c r="V125" s="214"/>
      <c r="W125" s="214">
        <v>6674.53</v>
      </c>
      <c r="X125" s="214"/>
      <c r="Y125" s="214">
        <v>87565</v>
      </c>
      <c r="Z125" s="214">
        <v>2797.52</v>
      </c>
      <c r="AA125" s="214"/>
      <c r="AB125" s="214"/>
      <c r="AC125" s="214"/>
      <c r="AD125" s="214"/>
      <c r="AE125" s="214"/>
      <c r="AF125" s="214"/>
      <c r="AG125" s="214"/>
      <c r="AH125" s="214"/>
      <c r="AI125" s="215"/>
      <c r="AJ125" s="216"/>
      <c r="AK125" s="216"/>
      <c r="AL125" s="216"/>
      <c r="AM125" s="216"/>
    </row>
    <row r="126" spans="1:39" s="119" customFormat="1" ht="18" customHeight="1" thickBot="1" x14ac:dyDescent="0.35">
      <c r="A126" s="136" t="s">
        <v>120</v>
      </c>
      <c r="B126" s="135" t="s">
        <v>298</v>
      </c>
      <c r="C126" s="292">
        <v>8912</v>
      </c>
      <c r="D126" s="136"/>
      <c r="E126" s="187">
        <f t="shared" si="3"/>
        <v>8912</v>
      </c>
      <c r="F126" s="187">
        <f t="shared" si="4"/>
        <v>8912</v>
      </c>
      <c r="G126" s="187">
        <f t="shared" si="5"/>
        <v>0</v>
      </c>
      <c r="H126" s="213"/>
      <c r="I126" s="214"/>
      <c r="J126" s="214"/>
      <c r="K126" s="214"/>
      <c r="L126" s="214"/>
      <c r="M126" s="214"/>
      <c r="N126" s="214"/>
      <c r="O126" s="214"/>
      <c r="P126" s="214"/>
      <c r="Q126" s="214">
        <v>4096</v>
      </c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>
        <v>4816</v>
      </c>
      <c r="AG126" s="214"/>
      <c r="AH126" s="214"/>
      <c r="AI126" s="215"/>
      <c r="AJ126" s="216"/>
      <c r="AK126" s="216"/>
      <c r="AL126" s="216"/>
      <c r="AM126" s="216"/>
    </row>
    <row r="127" spans="1:39" s="119" customFormat="1" ht="18" customHeight="1" thickBot="1" x14ac:dyDescent="0.35">
      <c r="A127" s="136" t="s">
        <v>121</v>
      </c>
      <c r="B127" s="135" t="s">
        <v>299</v>
      </c>
      <c r="C127" s="292">
        <v>43861</v>
      </c>
      <c r="D127" s="136" t="s">
        <v>371</v>
      </c>
      <c r="E127" s="281">
        <v>0</v>
      </c>
      <c r="F127" s="187">
        <f t="shared" si="4"/>
        <v>0</v>
      </c>
      <c r="G127" s="187">
        <f t="shared" si="5"/>
        <v>0</v>
      </c>
      <c r="H127" s="213"/>
      <c r="I127" s="214"/>
      <c r="J127" s="214"/>
      <c r="K127" s="214"/>
      <c r="L127" s="214"/>
      <c r="M127" s="214"/>
      <c r="N127" s="216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5"/>
      <c r="AJ127" s="216"/>
      <c r="AK127" s="216"/>
      <c r="AL127" s="216"/>
      <c r="AM127" s="216"/>
    </row>
    <row r="128" spans="1:39" s="119" customFormat="1" ht="18" customHeight="1" thickBot="1" x14ac:dyDescent="0.35">
      <c r="A128" s="136" t="s">
        <v>122</v>
      </c>
      <c r="B128" s="135" t="s">
        <v>300</v>
      </c>
      <c r="C128" s="292">
        <v>101708</v>
      </c>
      <c r="D128" s="136"/>
      <c r="E128" s="187">
        <f t="shared" si="3"/>
        <v>101708</v>
      </c>
      <c r="F128" s="187">
        <f t="shared" si="4"/>
        <v>101708</v>
      </c>
      <c r="G128" s="187">
        <f t="shared" si="5"/>
        <v>0</v>
      </c>
      <c r="H128" s="213"/>
      <c r="I128" s="214"/>
      <c r="J128" s="214"/>
      <c r="K128" s="214"/>
      <c r="L128" s="214"/>
      <c r="M128" s="214">
        <v>7151.91</v>
      </c>
      <c r="N128" s="214">
        <v>7576.16</v>
      </c>
      <c r="O128" s="214">
        <v>7763.67</v>
      </c>
      <c r="P128" s="214">
        <v>7576.16</v>
      </c>
      <c r="Q128" s="214">
        <v>7580.34</v>
      </c>
      <c r="R128" s="214">
        <v>7577.22</v>
      </c>
      <c r="S128" s="214">
        <v>7577.21</v>
      </c>
      <c r="T128" s="214"/>
      <c r="U128" s="214">
        <v>15600.21</v>
      </c>
      <c r="V128" s="214">
        <v>6609.47</v>
      </c>
      <c r="W128" s="214">
        <v>9132.7900000000009</v>
      </c>
      <c r="X128" s="214">
        <f>8370+7985.96</f>
        <v>16355.96</v>
      </c>
      <c r="Y128" s="214">
        <v>1206.9000000000001</v>
      </c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5"/>
      <c r="AJ128" s="216"/>
      <c r="AK128" s="216"/>
      <c r="AL128" s="216"/>
      <c r="AM128" s="216"/>
    </row>
    <row r="129" spans="1:39" s="119" customFormat="1" ht="18" customHeight="1" thickBot="1" x14ac:dyDescent="0.35">
      <c r="A129" s="136" t="s">
        <v>123</v>
      </c>
      <c r="B129" s="135" t="s">
        <v>301</v>
      </c>
      <c r="C129" s="292">
        <v>6069</v>
      </c>
      <c r="D129" s="136" t="s">
        <v>371</v>
      </c>
      <c r="E129" s="281">
        <v>0</v>
      </c>
      <c r="F129" s="187">
        <f t="shared" si="4"/>
        <v>0</v>
      </c>
      <c r="G129" s="187">
        <f t="shared" si="5"/>
        <v>0</v>
      </c>
      <c r="H129" s="213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5"/>
      <c r="AJ129" s="216"/>
      <c r="AK129" s="216"/>
      <c r="AL129" s="216"/>
      <c r="AM129" s="216"/>
    </row>
    <row r="130" spans="1:39" s="119" customFormat="1" ht="18" customHeight="1" thickBot="1" x14ac:dyDescent="0.35">
      <c r="A130" s="136" t="s">
        <v>124</v>
      </c>
      <c r="B130" s="135" t="s">
        <v>302</v>
      </c>
      <c r="C130" s="292">
        <v>19009</v>
      </c>
      <c r="D130" s="136" t="s">
        <v>371</v>
      </c>
      <c r="E130" s="281">
        <v>0</v>
      </c>
      <c r="F130" s="187">
        <f t="shared" si="4"/>
        <v>0</v>
      </c>
      <c r="G130" s="187">
        <f t="shared" si="5"/>
        <v>0</v>
      </c>
      <c r="H130" s="213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5"/>
      <c r="AJ130" s="216"/>
      <c r="AK130" s="216"/>
      <c r="AL130" s="216"/>
      <c r="AM130" s="216"/>
    </row>
    <row r="131" spans="1:39" s="119" customFormat="1" ht="18" customHeight="1" thickBot="1" x14ac:dyDescent="0.35">
      <c r="A131" s="136" t="s">
        <v>125</v>
      </c>
      <c r="B131" s="135" t="s">
        <v>303</v>
      </c>
      <c r="C131" s="292">
        <v>90253</v>
      </c>
      <c r="D131" s="136"/>
      <c r="E131" s="187">
        <f t="shared" si="3"/>
        <v>90253</v>
      </c>
      <c r="F131" s="187">
        <f t="shared" si="4"/>
        <v>90253</v>
      </c>
      <c r="G131" s="187">
        <f t="shared" si="5"/>
        <v>0</v>
      </c>
      <c r="H131" s="213"/>
      <c r="I131" s="214"/>
      <c r="J131" s="214"/>
      <c r="K131" s="214"/>
      <c r="L131" s="214"/>
      <c r="M131" s="214"/>
      <c r="N131" s="214">
        <v>48941</v>
      </c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>
        <v>41312</v>
      </c>
      <c r="AC131" s="214"/>
      <c r="AD131" s="214"/>
      <c r="AE131" s="214"/>
      <c r="AF131" s="214"/>
      <c r="AG131" s="214"/>
      <c r="AH131" s="214"/>
      <c r="AI131" s="215"/>
      <c r="AJ131" s="216"/>
      <c r="AK131" s="216"/>
      <c r="AL131" s="216"/>
      <c r="AM131" s="216"/>
    </row>
    <row r="132" spans="1:39" s="119" customFormat="1" ht="18" customHeight="1" thickBot="1" x14ac:dyDescent="0.35">
      <c r="A132" s="136" t="s">
        <v>126</v>
      </c>
      <c r="B132" s="135" t="s">
        <v>304</v>
      </c>
      <c r="C132" s="292">
        <v>48781</v>
      </c>
      <c r="D132" s="136"/>
      <c r="E132" s="187">
        <f t="shared" si="3"/>
        <v>48781</v>
      </c>
      <c r="F132" s="187">
        <f t="shared" si="4"/>
        <v>48781</v>
      </c>
      <c r="G132" s="187">
        <f t="shared" si="5"/>
        <v>0</v>
      </c>
      <c r="H132" s="213"/>
      <c r="I132" s="214"/>
      <c r="J132" s="214"/>
      <c r="K132" s="214"/>
      <c r="L132" s="214"/>
      <c r="M132" s="214"/>
      <c r="N132" s="214"/>
      <c r="O132" s="214"/>
      <c r="P132" s="214"/>
      <c r="Q132" s="214">
        <v>48781</v>
      </c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5"/>
      <c r="AJ132" s="216"/>
      <c r="AK132" s="216"/>
      <c r="AL132" s="216"/>
      <c r="AM132" s="216"/>
    </row>
    <row r="133" spans="1:39" s="119" customFormat="1" ht="18" customHeight="1" thickBot="1" x14ac:dyDescent="0.35">
      <c r="A133" s="136" t="s">
        <v>127</v>
      </c>
      <c r="B133" s="135" t="s">
        <v>305</v>
      </c>
      <c r="C133" s="292">
        <v>7976</v>
      </c>
      <c r="D133" s="136"/>
      <c r="E133" s="187">
        <f t="shared" si="3"/>
        <v>7976</v>
      </c>
      <c r="F133" s="187">
        <f t="shared" si="4"/>
        <v>7976</v>
      </c>
      <c r="G133" s="187">
        <f t="shared" si="5"/>
        <v>0</v>
      </c>
      <c r="H133" s="213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>
        <v>7976</v>
      </c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5"/>
      <c r="AJ133" s="216"/>
      <c r="AK133" s="216"/>
      <c r="AL133" s="216"/>
      <c r="AM133" s="216"/>
    </row>
    <row r="134" spans="1:39" s="119" customFormat="1" ht="18" customHeight="1" thickBot="1" x14ac:dyDescent="0.35">
      <c r="A134" s="259" t="s">
        <v>128</v>
      </c>
      <c r="B134" s="135" t="s">
        <v>306</v>
      </c>
      <c r="C134" s="292">
        <v>16639</v>
      </c>
      <c r="D134" s="136"/>
      <c r="E134" s="187">
        <f t="shared" si="3"/>
        <v>16639</v>
      </c>
      <c r="F134" s="187">
        <f t="shared" si="4"/>
        <v>16639</v>
      </c>
      <c r="G134" s="187">
        <f t="shared" si="5"/>
        <v>0</v>
      </c>
      <c r="H134" s="213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>
        <v>16564</v>
      </c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>
        <v>75</v>
      </c>
      <c r="AF134" s="214"/>
      <c r="AG134" s="214"/>
      <c r="AH134" s="214"/>
      <c r="AI134" s="215"/>
      <c r="AJ134" s="216"/>
      <c r="AK134" s="216"/>
      <c r="AL134" s="216"/>
      <c r="AM134" s="216"/>
    </row>
    <row r="135" spans="1:39" s="119" customFormat="1" ht="18" customHeight="1" thickBot="1" x14ac:dyDescent="0.35">
      <c r="A135" s="136" t="s">
        <v>129</v>
      </c>
      <c r="B135" s="135" t="s">
        <v>307</v>
      </c>
      <c r="C135" s="292">
        <v>4949</v>
      </c>
      <c r="D135" s="136"/>
      <c r="E135" s="187">
        <f t="shared" si="3"/>
        <v>4949</v>
      </c>
      <c r="F135" s="187">
        <f t="shared" si="4"/>
        <v>4949</v>
      </c>
      <c r="G135" s="187">
        <f t="shared" si="5"/>
        <v>0</v>
      </c>
      <c r="H135" s="213"/>
      <c r="I135" s="214"/>
      <c r="J135" s="214"/>
      <c r="K135" s="214"/>
      <c r="L135" s="214"/>
      <c r="M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>
        <v>4949</v>
      </c>
      <c r="AF135" s="214"/>
      <c r="AG135" s="214"/>
      <c r="AH135" s="214"/>
      <c r="AI135" s="215"/>
      <c r="AJ135" s="216"/>
      <c r="AK135" s="216"/>
      <c r="AL135" s="216"/>
      <c r="AM135" s="216"/>
    </row>
    <row r="136" spans="1:39" s="119" customFormat="1" ht="18" customHeight="1" thickBot="1" x14ac:dyDescent="0.35">
      <c r="A136" s="136" t="s">
        <v>130</v>
      </c>
      <c r="B136" s="135" t="s">
        <v>308</v>
      </c>
      <c r="C136" s="292">
        <v>10984</v>
      </c>
      <c r="D136" s="136"/>
      <c r="E136" s="187">
        <f t="shared" si="3"/>
        <v>10984</v>
      </c>
      <c r="F136" s="187">
        <f t="shared" si="4"/>
        <v>10984</v>
      </c>
      <c r="G136" s="187">
        <f t="shared" si="5"/>
        <v>0</v>
      </c>
      <c r="H136" s="213"/>
      <c r="I136" s="214"/>
      <c r="J136" s="214"/>
      <c r="K136" s="214">
        <v>1115</v>
      </c>
      <c r="L136" s="214">
        <v>1115</v>
      </c>
      <c r="M136" s="214">
        <v>1115</v>
      </c>
      <c r="N136" s="214"/>
      <c r="O136" s="214">
        <v>1115</v>
      </c>
      <c r="P136" s="214">
        <v>1115</v>
      </c>
      <c r="Q136" s="214">
        <v>1115</v>
      </c>
      <c r="R136" s="214">
        <v>2230</v>
      </c>
      <c r="S136" s="214">
        <f>1115+949</f>
        <v>2064</v>
      </c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5"/>
      <c r="AJ136" s="216"/>
      <c r="AK136" s="216"/>
      <c r="AL136" s="216"/>
      <c r="AM136" s="216"/>
    </row>
    <row r="137" spans="1:39" s="119" customFormat="1" ht="18" customHeight="1" thickBot="1" x14ac:dyDescent="0.35">
      <c r="A137" s="136" t="s">
        <v>131</v>
      </c>
      <c r="B137" s="135" t="s">
        <v>309</v>
      </c>
      <c r="C137" s="292">
        <v>3877</v>
      </c>
      <c r="D137" s="136"/>
      <c r="E137" s="187">
        <f t="shared" si="3"/>
        <v>3877</v>
      </c>
      <c r="F137" s="187">
        <f t="shared" si="4"/>
        <v>3877</v>
      </c>
      <c r="G137" s="187">
        <f t="shared" si="5"/>
        <v>0</v>
      </c>
      <c r="H137" s="213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>
        <v>399.23</v>
      </c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>
        <v>2006.01</v>
      </c>
      <c r="AD137" s="214"/>
      <c r="AE137" s="214"/>
      <c r="AF137" s="214">
        <v>855.61</v>
      </c>
      <c r="AG137" s="214">
        <v>616.15</v>
      </c>
      <c r="AH137" s="214"/>
      <c r="AI137" s="215"/>
      <c r="AJ137" s="216"/>
      <c r="AK137" s="216"/>
      <c r="AL137" s="216"/>
      <c r="AM137" s="216"/>
    </row>
    <row r="138" spans="1:39" s="119" customFormat="1" ht="18" customHeight="1" thickBot="1" x14ac:dyDescent="0.35">
      <c r="A138" s="136" t="s">
        <v>132</v>
      </c>
      <c r="B138" s="135" t="s">
        <v>310</v>
      </c>
      <c r="C138" s="292">
        <v>8055</v>
      </c>
      <c r="D138" s="136"/>
      <c r="E138" s="187">
        <f t="shared" si="3"/>
        <v>8055</v>
      </c>
      <c r="F138" s="187">
        <f t="shared" si="4"/>
        <v>8055</v>
      </c>
      <c r="G138" s="187">
        <f t="shared" si="5"/>
        <v>0</v>
      </c>
      <c r="H138" s="213"/>
      <c r="I138" s="214"/>
      <c r="J138" s="214"/>
      <c r="K138" s="214"/>
      <c r="L138" s="214"/>
      <c r="M138" s="214"/>
      <c r="N138" s="214"/>
      <c r="O138" s="214"/>
      <c r="P138" s="214"/>
      <c r="Q138" s="214">
        <v>8020</v>
      </c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>
        <v>35</v>
      </c>
      <c r="AD138" s="214"/>
      <c r="AE138" s="214"/>
      <c r="AF138" s="214"/>
      <c r="AG138" s="214"/>
      <c r="AH138" s="214"/>
      <c r="AI138" s="215"/>
      <c r="AJ138" s="216"/>
      <c r="AK138" s="216"/>
      <c r="AL138" s="216"/>
      <c r="AM138" s="216"/>
    </row>
    <row r="139" spans="1:39" s="119" customFormat="1" ht="18" customHeight="1" thickBot="1" x14ac:dyDescent="0.35">
      <c r="A139" s="136" t="s">
        <v>133</v>
      </c>
      <c r="B139" s="135" t="s">
        <v>311</v>
      </c>
      <c r="C139" s="292">
        <v>27548</v>
      </c>
      <c r="D139" s="136"/>
      <c r="E139" s="187">
        <f t="shared" si="3"/>
        <v>27548</v>
      </c>
      <c r="F139" s="187">
        <f t="shared" si="4"/>
        <v>27548</v>
      </c>
      <c r="G139" s="187">
        <f t="shared" si="5"/>
        <v>0</v>
      </c>
      <c r="H139" s="213"/>
      <c r="I139" s="214"/>
      <c r="J139" s="214"/>
      <c r="K139" s="214"/>
      <c r="L139" s="214"/>
      <c r="M139" s="214"/>
      <c r="N139" s="214">
        <v>11688.64</v>
      </c>
      <c r="O139" s="214"/>
      <c r="P139" s="214"/>
      <c r="Q139" s="214"/>
      <c r="R139" s="214"/>
      <c r="S139" s="214">
        <v>15859.36</v>
      </c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5"/>
      <c r="AJ139" s="216"/>
      <c r="AK139" s="216"/>
      <c r="AL139" s="216"/>
      <c r="AM139" s="216"/>
    </row>
    <row r="140" spans="1:39" s="119" customFormat="1" ht="18" customHeight="1" thickBot="1" x14ac:dyDescent="0.35">
      <c r="A140" s="136" t="s">
        <v>134</v>
      </c>
      <c r="B140" s="135" t="s">
        <v>312</v>
      </c>
      <c r="C140" s="292">
        <v>22694</v>
      </c>
      <c r="D140" s="136"/>
      <c r="E140" s="187">
        <f t="shared" si="3"/>
        <v>22694</v>
      </c>
      <c r="F140" s="187">
        <f t="shared" si="4"/>
        <v>22694</v>
      </c>
      <c r="G140" s="187">
        <f t="shared" si="5"/>
        <v>0</v>
      </c>
      <c r="H140" s="213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>
        <v>8128</v>
      </c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>
        <v>14566</v>
      </c>
      <c r="AG140" s="214"/>
      <c r="AH140" s="214"/>
      <c r="AI140" s="215"/>
      <c r="AJ140" s="216"/>
      <c r="AK140" s="216"/>
      <c r="AL140" s="216"/>
      <c r="AM140" s="216"/>
    </row>
    <row r="141" spans="1:39" s="119" customFormat="1" ht="18" customHeight="1" thickBot="1" x14ac:dyDescent="0.35">
      <c r="A141" s="136" t="s">
        <v>135</v>
      </c>
      <c r="B141" s="135" t="s">
        <v>313</v>
      </c>
      <c r="C141" s="292">
        <v>17131</v>
      </c>
      <c r="D141" s="136"/>
      <c r="E141" s="187">
        <f t="shared" ref="E141:E191" si="6">C141</f>
        <v>17131</v>
      </c>
      <c r="F141" s="187">
        <f t="shared" ref="F141:F194" si="7">SUM(H141:AK141)</f>
        <v>17131</v>
      </c>
      <c r="G141" s="187">
        <f t="shared" ref="G141:G194" si="8">E141-(F141+AL141+AM141)</f>
        <v>0</v>
      </c>
      <c r="H141" s="213"/>
      <c r="I141" s="214"/>
      <c r="J141" s="214"/>
      <c r="K141" s="214"/>
      <c r="L141" s="214"/>
      <c r="M141" s="214"/>
      <c r="N141" s="214">
        <v>6676.92</v>
      </c>
      <c r="O141" s="214"/>
      <c r="P141" s="214"/>
      <c r="Q141" s="214"/>
      <c r="R141" s="214">
        <v>9839.08</v>
      </c>
      <c r="S141" s="214"/>
      <c r="T141" s="214"/>
      <c r="U141" s="214"/>
      <c r="V141" s="214"/>
      <c r="W141" s="214"/>
      <c r="X141" s="214"/>
      <c r="Y141" s="214"/>
      <c r="Z141" s="214"/>
      <c r="AA141" s="214">
        <v>615</v>
      </c>
      <c r="AB141" s="214"/>
      <c r="AC141" s="214"/>
      <c r="AD141" s="214"/>
      <c r="AE141" s="214"/>
      <c r="AF141" s="214"/>
      <c r="AG141" s="214"/>
      <c r="AH141" s="214"/>
      <c r="AI141" s="215"/>
      <c r="AJ141" s="216"/>
      <c r="AK141" s="216"/>
      <c r="AL141" s="216"/>
      <c r="AM141" s="216"/>
    </row>
    <row r="142" spans="1:39" s="119" customFormat="1" ht="18" customHeight="1" thickBot="1" x14ac:dyDescent="0.35">
      <c r="A142" s="136" t="s">
        <v>136</v>
      </c>
      <c r="B142" s="135" t="s">
        <v>314</v>
      </c>
      <c r="C142" s="292">
        <v>8863</v>
      </c>
      <c r="D142" s="136" t="s">
        <v>372</v>
      </c>
      <c r="E142" s="281">
        <v>0</v>
      </c>
      <c r="F142" s="187">
        <f t="shared" si="7"/>
        <v>0</v>
      </c>
      <c r="G142" s="187">
        <f t="shared" si="8"/>
        <v>0</v>
      </c>
      <c r="H142" s="213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5"/>
      <c r="AJ142" s="216"/>
      <c r="AK142" s="216"/>
      <c r="AL142" s="216"/>
      <c r="AM142" s="216"/>
    </row>
    <row r="143" spans="1:39" s="119" customFormat="1" ht="18" customHeight="1" thickBot="1" x14ac:dyDescent="0.35">
      <c r="A143" s="136" t="s">
        <v>137</v>
      </c>
      <c r="B143" s="135" t="s">
        <v>315</v>
      </c>
      <c r="C143" s="292">
        <v>16069</v>
      </c>
      <c r="D143" s="136"/>
      <c r="E143" s="187">
        <f t="shared" si="6"/>
        <v>16069</v>
      </c>
      <c r="F143" s="187">
        <f t="shared" si="7"/>
        <v>16069</v>
      </c>
      <c r="G143" s="187">
        <f t="shared" si="8"/>
        <v>0</v>
      </c>
      <c r="H143" s="213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>
        <v>16069</v>
      </c>
      <c r="AI143" s="215"/>
      <c r="AJ143" s="216"/>
      <c r="AK143" s="216"/>
      <c r="AL143" s="216"/>
      <c r="AM143" s="216"/>
    </row>
    <row r="144" spans="1:39" s="119" customFormat="1" ht="18" customHeight="1" thickBot="1" x14ac:dyDescent="0.35">
      <c r="A144" s="136" t="s">
        <v>138</v>
      </c>
      <c r="B144" s="135" t="s">
        <v>316</v>
      </c>
      <c r="C144" s="292">
        <v>10979</v>
      </c>
      <c r="D144" s="136"/>
      <c r="E144" s="187">
        <f t="shared" si="6"/>
        <v>10979</v>
      </c>
      <c r="F144" s="187">
        <f t="shared" si="7"/>
        <v>10979</v>
      </c>
      <c r="G144" s="187">
        <f t="shared" si="8"/>
        <v>0</v>
      </c>
      <c r="H144" s="213"/>
      <c r="I144" s="214"/>
      <c r="J144" s="214"/>
      <c r="K144" s="214"/>
      <c r="L144" s="214"/>
      <c r="M144" s="214"/>
      <c r="O144" s="214"/>
      <c r="P144" s="214"/>
      <c r="Q144" s="214"/>
      <c r="R144" s="214"/>
      <c r="S144" s="214"/>
      <c r="T144" s="214">
        <v>10979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5"/>
      <c r="AJ144" s="216"/>
      <c r="AK144" s="216"/>
      <c r="AL144" s="216"/>
      <c r="AM144" s="216"/>
    </row>
    <row r="145" spans="1:39" s="119" customFormat="1" ht="18" customHeight="1" thickBot="1" x14ac:dyDescent="0.35">
      <c r="A145" s="136" t="s">
        <v>139</v>
      </c>
      <c r="B145" s="135" t="s">
        <v>317</v>
      </c>
      <c r="C145" s="292">
        <v>87349</v>
      </c>
      <c r="D145" s="136"/>
      <c r="E145" s="187">
        <f t="shared" si="6"/>
        <v>87349</v>
      </c>
      <c r="F145" s="187">
        <f t="shared" si="7"/>
        <v>87349</v>
      </c>
      <c r="G145" s="187">
        <f t="shared" si="8"/>
        <v>0</v>
      </c>
      <c r="H145" s="213"/>
      <c r="I145" s="214"/>
      <c r="J145" s="214"/>
      <c r="K145" s="214"/>
      <c r="L145" s="214"/>
      <c r="M145" s="214">
        <f>8336+7211</f>
        <v>15547</v>
      </c>
      <c r="N145" s="214"/>
      <c r="O145" s="214">
        <v>8051</v>
      </c>
      <c r="P145" s="214">
        <f>8337*2</f>
        <v>16674</v>
      </c>
      <c r="Q145" s="214">
        <v>8336</v>
      </c>
      <c r="R145" s="214">
        <v>8337</v>
      </c>
      <c r="S145" s="214">
        <v>8337</v>
      </c>
      <c r="T145" s="214"/>
      <c r="U145" s="214">
        <v>20909</v>
      </c>
      <c r="V145" s="214"/>
      <c r="W145" s="214"/>
      <c r="X145" s="214">
        <v>1158</v>
      </c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5"/>
      <c r="AJ145" s="216"/>
      <c r="AK145" s="216"/>
      <c r="AL145" s="216"/>
      <c r="AM145" s="216"/>
    </row>
    <row r="146" spans="1:39" s="119" customFormat="1" ht="18" customHeight="1" thickBot="1" x14ac:dyDescent="0.35">
      <c r="A146" s="136" t="s">
        <v>140</v>
      </c>
      <c r="B146" s="135" t="s">
        <v>318</v>
      </c>
      <c r="C146" s="292">
        <v>13205</v>
      </c>
      <c r="D146" s="136"/>
      <c r="E146" s="187">
        <f t="shared" si="6"/>
        <v>13205</v>
      </c>
      <c r="F146" s="187">
        <f t="shared" si="7"/>
        <v>13205</v>
      </c>
      <c r="G146" s="187">
        <f t="shared" si="8"/>
        <v>0</v>
      </c>
      <c r="H146" s="213"/>
      <c r="I146" s="214"/>
      <c r="J146" s="214"/>
      <c r="K146" s="214"/>
      <c r="L146" s="214"/>
      <c r="M146" s="214"/>
      <c r="N146" s="214"/>
      <c r="O146" s="214"/>
      <c r="P146" s="214"/>
      <c r="Q146" s="214">
        <v>13104</v>
      </c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>
        <v>101</v>
      </c>
      <c r="AF146" s="214"/>
      <c r="AG146" s="214"/>
      <c r="AH146" s="214"/>
      <c r="AI146" s="215"/>
      <c r="AJ146" s="216"/>
      <c r="AK146" s="216"/>
      <c r="AL146" s="216"/>
      <c r="AM146" s="216"/>
    </row>
    <row r="147" spans="1:39" s="119" customFormat="1" ht="18" customHeight="1" thickBot="1" x14ac:dyDescent="0.35">
      <c r="A147" s="136" t="s">
        <v>141</v>
      </c>
      <c r="B147" s="135" t="s">
        <v>319</v>
      </c>
      <c r="C147" s="292">
        <v>6902</v>
      </c>
      <c r="D147" s="136"/>
      <c r="E147" s="187">
        <f t="shared" si="6"/>
        <v>6902</v>
      </c>
      <c r="F147" s="187">
        <f t="shared" si="7"/>
        <v>6902</v>
      </c>
      <c r="G147" s="187">
        <f t="shared" si="8"/>
        <v>0</v>
      </c>
      <c r="H147" s="213"/>
      <c r="I147" s="214"/>
      <c r="J147" s="214"/>
      <c r="K147" s="214"/>
      <c r="L147" s="214"/>
      <c r="M147" s="214"/>
      <c r="N147" s="214">
        <v>2261.0500000000002</v>
      </c>
      <c r="O147" s="214"/>
      <c r="P147" s="214"/>
      <c r="Q147" s="214">
        <v>1696.42</v>
      </c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>
        <v>2944.53</v>
      </c>
      <c r="AE147" s="214"/>
      <c r="AF147" s="214"/>
      <c r="AG147" s="214"/>
      <c r="AH147" s="214"/>
      <c r="AI147" s="215"/>
      <c r="AJ147" s="216"/>
      <c r="AK147" s="216"/>
      <c r="AL147" s="216"/>
      <c r="AM147" s="216"/>
    </row>
    <row r="148" spans="1:39" s="119" customFormat="1" ht="18" customHeight="1" thickBot="1" x14ac:dyDescent="0.35">
      <c r="A148" s="136" t="s">
        <v>142</v>
      </c>
      <c r="B148" s="135" t="s">
        <v>320</v>
      </c>
      <c r="C148" s="292">
        <v>892936</v>
      </c>
      <c r="D148" s="136"/>
      <c r="E148" s="187">
        <f t="shared" si="6"/>
        <v>892936</v>
      </c>
      <c r="F148" s="187">
        <f t="shared" si="7"/>
        <v>892935.99999999988</v>
      </c>
      <c r="G148" s="187">
        <f t="shared" si="8"/>
        <v>0</v>
      </c>
      <c r="H148" s="213"/>
      <c r="I148" s="214"/>
      <c r="J148" s="214"/>
      <c r="K148" s="214"/>
      <c r="L148" s="214"/>
      <c r="M148" s="214"/>
      <c r="N148" s="276">
        <v>34485.599999999999</v>
      </c>
      <c r="O148" s="276">
        <v>60917.04</v>
      </c>
      <c r="P148" s="214">
        <v>36938.32</v>
      </c>
      <c r="Q148" s="214">
        <v>61964.89</v>
      </c>
      <c r="R148" s="214">
        <v>46066.1</v>
      </c>
      <c r="S148" s="214">
        <v>191923.87</v>
      </c>
      <c r="T148" s="214"/>
      <c r="U148" s="214"/>
      <c r="V148" s="214">
        <v>237332.05</v>
      </c>
      <c r="W148" s="214">
        <v>25168.27</v>
      </c>
      <c r="X148" s="214">
        <v>198139.86</v>
      </c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5"/>
      <c r="AJ148" s="216"/>
      <c r="AK148" s="216"/>
      <c r="AL148" s="216"/>
      <c r="AM148" s="216"/>
    </row>
    <row r="149" spans="1:39" s="119" customFormat="1" ht="18" customHeight="1" thickBot="1" x14ac:dyDescent="0.35">
      <c r="A149" s="136" t="s">
        <v>143</v>
      </c>
      <c r="B149" s="135" t="s">
        <v>321</v>
      </c>
      <c r="C149" s="292">
        <v>216118</v>
      </c>
      <c r="D149" s="136"/>
      <c r="E149" s="187">
        <f t="shared" si="6"/>
        <v>216118</v>
      </c>
      <c r="F149" s="187">
        <f t="shared" si="7"/>
        <v>216118</v>
      </c>
      <c r="G149" s="187">
        <f t="shared" si="8"/>
        <v>0</v>
      </c>
      <c r="H149" s="213"/>
      <c r="I149" s="214"/>
      <c r="J149" s="214"/>
      <c r="K149" s="214"/>
      <c r="L149" s="214"/>
      <c r="M149" s="214"/>
      <c r="N149" s="214"/>
      <c r="O149" s="276">
        <v>23414.43</v>
      </c>
      <c r="P149" s="214">
        <v>4074.2</v>
      </c>
      <c r="Q149" s="214">
        <v>4898.49</v>
      </c>
      <c r="R149" s="214">
        <v>4077.83</v>
      </c>
      <c r="S149" s="214"/>
      <c r="T149" s="214">
        <v>32345.63</v>
      </c>
      <c r="U149" s="214">
        <v>29728.91</v>
      </c>
      <c r="V149" s="214">
        <v>34385.199999999997</v>
      </c>
      <c r="W149" s="214"/>
      <c r="X149" s="214"/>
      <c r="Y149" s="214"/>
      <c r="Z149" s="214">
        <f>73952.32+9240.99</f>
        <v>83193.310000000012</v>
      </c>
      <c r="AA149" s="214"/>
      <c r="AB149" s="214"/>
      <c r="AC149" s="214"/>
      <c r="AD149" s="214"/>
      <c r="AE149" s="214"/>
      <c r="AF149" s="214"/>
      <c r="AG149" s="214"/>
      <c r="AH149" s="214"/>
      <c r="AI149" s="215"/>
      <c r="AJ149" s="216"/>
      <c r="AK149" s="216"/>
      <c r="AL149" s="216"/>
      <c r="AM149" s="216"/>
    </row>
    <row r="150" spans="1:39" s="119" customFormat="1" ht="18" customHeight="1" thickBot="1" x14ac:dyDescent="0.35">
      <c r="A150" s="136" t="s">
        <v>144</v>
      </c>
      <c r="B150" s="135" t="s">
        <v>322</v>
      </c>
      <c r="C150" s="292">
        <v>19924</v>
      </c>
      <c r="D150" s="136"/>
      <c r="E150" s="187">
        <f t="shared" si="6"/>
        <v>19924</v>
      </c>
      <c r="F150" s="187">
        <f t="shared" si="7"/>
        <v>19924</v>
      </c>
      <c r="G150" s="187">
        <f t="shared" si="8"/>
        <v>0</v>
      </c>
      <c r="H150" s="213"/>
      <c r="I150" s="214"/>
      <c r="J150" s="214"/>
      <c r="K150" s="214"/>
      <c r="L150" s="214">
        <v>16212</v>
      </c>
      <c r="M150" s="214"/>
      <c r="N150" s="214"/>
      <c r="O150" s="276"/>
      <c r="P150" s="214"/>
      <c r="Q150" s="214">
        <v>3710</v>
      </c>
      <c r="R150" s="214"/>
      <c r="S150" s="214"/>
      <c r="T150" s="214"/>
      <c r="U150" s="214"/>
      <c r="V150" s="214"/>
      <c r="W150" s="214">
        <v>2</v>
      </c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5"/>
      <c r="AJ150" s="216"/>
      <c r="AK150" s="216"/>
      <c r="AL150" s="216"/>
      <c r="AM150" s="216"/>
    </row>
    <row r="151" spans="1:39" s="119" customFormat="1" ht="18" customHeight="1" thickBot="1" x14ac:dyDescent="0.35">
      <c r="A151" s="136" t="s">
        <v>145</v>
      </c>
      <c r="B151" s="135" t="s">
        <v>323</v>
      </c>
      <c r="C151" s="292">
        <v>9102</v>
      </c>
      <c r="D151" s="136"/>
      <c r="E151" s="187">
        <f t="shared" si="6"/>
        <v>9102</v>
      </c>
      <c r="F151" s="187">
        <f t="shared" si="7"/>
        <v>9102</v>
      </c>
      <c r="G151" s="187">
        <f t="shared" si="8"/>
        <v>0</v>
      </c>
      <c r="H151" s="213"/>
      <c r="I151" s="214"/>
      <c r="J151" s="214"/>
      <c r="K151" s="214"/>
      <c r="L151" s="214"/>
      <c r="M151" s="214"/>
      <c r="O151" s="276"/>
      <c r="P151" s="214"/>
      <c r="Q151" s="214"/>
      <c r="R151" s="214"/>
      <c r="S151" s="214"/>
      <c r="T151" s="214"/>
      <c r="U151" s="214"/>
      <c r="V151" s="214">
        <v>9102</v>
      </c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5"/>
      <c r="AJ151" s="216"/>
      <c r="AK151" s="216"/>
      <c r="AL151" s="216"/>
      <c r="AM151" s="216"/>
    </row>
    <row r="152" spans="1:39" s="119" customFormat="1" ht="18" customHeight="1" thickBot="1" x14ac:dyDescent="0.35">
      <c r="A152" s="136" t="s">
        <v>146</v>
      </c>
      <c r="B152" s="135" t="s">
        <v>324</v>
      </c>
      <c r="C152" s="292">
        <v>19391</v>
      </c>
      <c r="D152" s="136"/>
      <c r="E152" s="187">
        <f t="shared" si="6"/>
        <v>19391</v>
      </c>
      <c r="F152" s="187">
        <f t="shared" si="7"/>
        <v>19391</v>
      </c>
      <c r="G152" s="187">
        <f t="shared" si="8"/>
        <v>0</v>
      </c>
      <c r="H152" s="213"/>
      <c r="I152" s="214"/>
      <c r="J152" s="214"/>
      <c r="K152" s="214"/>
      <c r="L152" s="214"/>
      <c r="M152" s="214"/>
      <c r="N152" s="214"/>
      <c r="O152" s="276"/>
      <c r="P152" s="214"/>
      <c r="Q152" s="214"/>
      <c r="R152" s="214"/>
      <c r="S152" s="214"/>
      <c r="T152" s="214"/>
      <c r="U152" s="214"/>
      <c r="V152" s="214"/>
      <c r="W152" s="214">
        <v>5197.6899999999996</v>
      </c>
      <c r="X152" s="214"/>
      <c r="Y152" s="214"/>
      <c r="Z152" s="214"/>
      <c r="AA152" s="214"/>
      <c r="AB152" s="214">
        <v>14193.31</v>
      </c>
      <c r="AC152" s="214"/>
      <c r="AD152" s="214"/>
      <c r="AE152" s="214"/>
      <c r="AF152" s="214"/>
      <c r="AG152" s="214"/>
      <c r="AH152" s="214"/>
      <c r="AI152" s="215"/>
      <c r="AJ152" s="216"/>
      <c r="AK152" s="216"/>
      <c r="AL152" s="216"/>
      <c r="AM152" s="216"/>
    </row>
    <row r="153" spans="1:39" s="119" customFormat="1" ht="18" customHeight="1" thickBot="1" x14ac:dyDescent="0.35">
      <c r="A153" s="136" t="s">
        <v>147</v>
      </c>
      <c r="B153" s="135" t="s">
        <v>325</v>
      </c>
      <c r="C153" s="292">
        <v>55829</v>
      </c>
      <c r="D153" s="136"/>
      <c r="E153" s="187">
        <f t="shared" si="6"/>
        <v>55829</v>
      </c>
      <c r="F153" s="187">
        <f t="shared" si="7"/>
        <v>55829</v>
      </c>
      <c r="G153" s="187">
        <f t="shared" si="8"/>
        <v>0</v>
      </c>
      <c r="H153" s="213"/>
      <c r="I153" s="214"/>
      <c r="J153" s="214"/>
      <c r="K153" s="214">
        <v>2242</v>
      </c>
      <c r="L153" s="214">
        <v>4233</v>
      </c>
      <c r="M153" s="214">
        <v>4256</v>
      </c>
      <c r="N153" s="214">
        <v>7495</v>
      </c>
      <c r="O153" s="214">
        <v>4305</v>
      </c>
      <c r="P153" s="214">
        <v>4773</v>
      </c>
      <c r="Q153" s="214">
        <v>4256</v>
      </c>
      <c r="R153" s="214">
        <v>4256</v>
      </c>
      <c r="S153" s="214">
        <v>7544</v>
      </c>
      <c r="T153" s="214">
        <v>7751</v>
      </c>
      <c r="U153" s="214">
        <v>4289</v>
      </c>
      <c r="V153" s="214"/>
      <c r="W153" s="214">
        <v>429</v>
      </c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5"/>
      <c r="AJ153" s="216"/>
      <c r="AK153" s="216"/>
      <c r="AL153" s="216"/>
      <c r="AM153" s="216"/>
    </row>
    <row r="154" spans="1:39" s="119" customFormat="1" ht="18" customHeight="1" thickBot="1" x14ac:dyDescent="0.35">
      <c r="A154" s="136" t="s">
        <v>148</v>
      </c>
      <c r="B154" s="135" t="s">
        <v>326</v>
      </c>
      <c r="C154" s="292">
        <v>6790</v>
      </c>
      <c r="D154" s="136"/>
      <c r="E154" s="187">
        <f t="shared" si="6"/>
        <v>6790</v>
      </c>
      <c r="F154" s="187">
        <f t="shared" si="7"/>
        <v>6790</v>
      </c>
      <c r="G154" s="187">
        <f t="shared" si="8"/>
        <v>0</v>
      </c>
      <c r="H154" s="213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>
        <v>567</v>
      </c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>
        <v>6223</v>
      </c>
      <c r="AF154" s="214"/>
      <c r="AG154" s="214"/>
      <c r="AH154" s="214"/>
      <c r="AI154" s="215"/>
      <c r="AJ154" s="216"/>
      <c r="AK154" s="216"/>
      <c r="AL154" s="216"/>
      <c r="AM154" s="216"/>
    </row>
    <row r="155" spans="1:39" s="119" customFormat="1" ht="18" customHeight="1" thickBot="1" x14ac:dyDescent="0.35">
      <c r="A155" s="136" t="s">
        <v>149</v>
      </c>
      <c r="B155" s="135" t="s">
        <v>327</v>
      </c>
      <c r="C155" s="292">
        <v>4024</v>
      </c>
      <c r="D155" s="136"/>
      <c r="E155" s="187">
        <f t="shared" si="6"/>
        <v>4024</v>
      </c>
      <c r="F155" s="187">
        <f t="shared" si="7"/>
        <v>3912</v>
      </c>
      <c r="G155" s="187">
        <f t="shared" si="8"/>
        <v>112</v>
      </c>
      <c r="H155" s="213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>
        <v>3912</v>
      </c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5"/>
      <c r="AJ155" s="216"/>
      <c r="AK155" s="216"/>
      <c r="AL155" s="216"/>
      <c r="AM155" s="216"/>
    </row>
    <row r="156" spans="1:39" s="119" customFormat="1" ht="18" customHeight="1" thickBot="1" x14ac:dyDescent="0.35">
      <c r="A156" s="136" t="s">
        <v>150</v>
      </c>
      <c r="B156" s="135" t="s">
        <v>328</v>
      </c>
      <c r="C156" s="292">
        <v>47588</v>
      </c>
      <c r="D156" s="136"/>
      <c r="E156" s="187">
        <f t="shared" si="6"/>
        <v>47588</v>
      </c>
      <c r="F156" s="187">
        <f t="shared" si="7"/>
        <v>47588</v>
      </c>
      <c r="G156" s="187">
        <f t="shared" si="8"/>
        <v>0</v>
      </c>
      <c r="H156" s="213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>
        <v>47588</v>
      </c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5"/>
      <c r="AJ156" s="216"/>
      <c r="AK156" s="216"/>
      <c r="AL156" s="216"/>
      <c r="AM156" s="216"/>
    </row>
    <row r="157" spans="1:39" s="119" customFormat="1" ht="18" customHeight="1" thickBot="1" x14ac:dyDescent="0.35">
      <c r="A157" s="136" t="s">
        <v>151</v>
      </c>
      <c r="B157" s="135" t="s">
        <v>329</v>
      </c>
      <c r="C157" s="292">
        <v>7271</v>
      </c>
      <c r="D157" s="136"/>
      <c r="E157" s="187">
        <f t="shared" si="6"/>
        <v>7271</v>
      </c>
      <c r="F157" s="187">
        <f t="shared" si="7"/>
        <v>7271</v>
      </c>
      <c r="G157" s="187">
        <f t="shared" si="8"/>
        <v>0</v>
      </c>
      <c r="H157" s="213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>
        <v>7271</v>
      </c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5"/>
      <c r="AJ157" s="216"/>
      <c r="AK157" s="216"/>
      <c r="AL157" s="216"/>
      <c r="AM157" s="216"/>
    </row>
    <row r="158" spans="1:39" s="119" customFormat="1" ht="18" customHeight="1" thickBot="1" x14ac:dyDescent="0.35">
      <c r="A158" s="136" t="s">
        <v>152</v>
      </c>
      <c r="B158" s="135" t="s">
        <v>330</v>
      </c>
      <c r="C158" s="292">
        <v>10132</v>
      </c>
      <c r="D158" s="136"/>
      <c r="E158" s="187">
        <f t="shared" si="6"/>
        <v>10132</v>
      </c>
      <c r="F158" s="187">
        <f t="shared" si="7"/>
        <v>10132</v>
      </c>
      <c r="G158" s="187">
        <f>C158-F158</f>
        <v>0</v>
      </c>
      <c r="H158" s="213"/>
      <c r="I158" s="214"/>
      <c r="J158" s="214"/>
      <c r="K158" s="214"/>
      <c r="L158" s="214"/>
      <c r="M158" s="214"/>
      <c r="N158" s="214"/>
      <c r="O158" s="214"/>
      <c r="P158" s="214"/>
      <c r="Q158" s="214">
        <v>10132</v>
      </c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5"/>
      <c r="AJ158" s="216"/>
      <c r="AK158" s="216"/>
      <c r="AL158" s="216"/>
      <c r="AM158" s="216"/>
    </row>
    <row r="159" spans="1:39" s="119" customFormat="1" ht="18" customHeight="1" thickBot="1" x14ac:dyDescent="0.35">
      <c r="A159" s="136" t="s">
        <v>153</v>
      </c>
      <c r="B159" s="135" t="s">
        <v>331</v>
      </c>
      <c r="C159" s="292">
        <v>16249</v>
      </c>
      <c r="D159" s="136"/>
      <c r="E159" s="187">
        <f t="shared" si="6"/>
        <v>16249</v>
      </c>
      <c r="F159" s="187">
        <f t="shared" si="7"/>
        <v>10192.43</v>
      </c>
      <c r="G159" s="187">
        <f t="shared" si="8"/>
        <v>6056.57</v>
      </c>
      <c r="H159" s="213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>
        <v>4188.59</v>
      </c>
      <c r="X159" s="214"/>
      <c r="Y159" s="214">
        <v>2200</v>
      </c>
      <c r="Z159" s="214">
        <v>1964.05</v>
      </c>
      <c r="AA159" s="214"/>
      <c r="AB159" s="214"/>
      <c r="AC159" s="214"/>
      <c r="AD159" s="214">
        <v>1839.79</v>
      </c>
      <c r="AE159" s="214"/>
      <c r="AF159" s="214"/>
      <c r="AG159" s="214"/>
      <c r="AH159" s="214"/>
      <c r="AI159" s="215"/>
      <c r="AJ159" s="216"/>
      <c r="AK159" s="216"/>
      <c r="AL159" s="216"/>
      <c r="AM159" s="216"/>
    </row>
    <row r="160" spans="1:39" s="119" customFormat="1" ht="18" customHeight="1" thickBot="1" x14ac:dyDescent="0.35">
      <c r="A160" s="136" t="s">
        <v>154</v>
      </c>
      <c r="B160" s="135" t="s">
        <v>332</v>
      </c>
      <c r="C160" s="292">
        <v>41512</v>
      </c>
      <c r="D160" s="136"/>
      <c r="E160" s="187">
        <f t="shared" si="6"/>
        <v>41512</v>
      </c>
      <c r="F160" s="187">
        <f t="shared" si="7"/>
        <v>41512</v>
      </c>
      <c r="G160" s="187">
        <f t="shared" si="8"/>
        <v>0</v>
      </c>
      <c r="H160" s="213"/>
      <c r="I160" s="214"/>
      <c r="J160" s="214"/>
      <c r="K160" s="214"/>
      <c r="L160" s="214"/>
      <c r="M160" s="214"/>
      <c r="N160" s="214">
        <v>13172.06</v>
      </c>
      <c r="O160" s="214"/>
      <c r="P160" s="214">
        <v>4733.13</v>
      </c>
      <c r="Q160" s="214"/>
      <c r="R160" s="214"/>
      <c r="S160" s="214"/>
      <c r="T160" s="214">
        <f>15604.03+1922.17</f>
        <v>17526.2</v>
      </c>
      <c r="U160" s="214"/>
      <c r="V160" s="214"/>
      <c r="W160" s="214"/>
      <c r="X160" s="214">
        <v>6080.61</v>
      </c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5"/>
      <c r="AJ160" s="216"/>
      <c r="AK160" s="216"/>
      <c r="AL160" s="216"/>
      <c r="AM160" s="216"/>
    </row>
    <row r="161" spans="1:39" s="119" customFormat="1" ht="18" customHeight="1" thickBot="1" x14ac:dyDescent="0.35">
      <c r="A161" s="136" t="s">
        <v>155</v>
      </c>
      <c r="B161" s="135" t="s">
        <v>333</v>
      </c>
      <c r="C161" s="292">
        <v>3259</v>
      </c>
      <c r="D161" s="136"/>
      <c r="E161" s="187">
        <f t="shared" si="6"/>
        <v>3259</v>
      </c>
      <c r="F161" s="187">
        <f t="shared" si="7"/>
        <v>3259</v>
      </c>
      <c r="G161" s="187">
        <f t="shared" si="8"/>
        <v>0</v>
      </c>
      <c r="H161" s="213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>
        <v>3259</v>
      </c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5"/>
      <c r="AJ161" s="216"/>
      <c r="AK161" s="216"/>
      <c r="AL161" s="216"/>
      <c r="AM161" s="216"/>
    </row>
    <row r="162" spans="1:39" s="119" customFormat="1" ht="18" customHeight="1" thickBot="1" x14ac:dyDescent="0.35">
      <c r="A162" s="136" t="s">
        <v>156</v>
      </c>
      <c r="B162" s="135" t="s">
        <v>334</v>
      </c>
      <c r="C162" s="292">
        <v>20027</v>
      </c>
      <c r="D162" s="136"/>
      <c r="E162" s="187">
        <f t="shared" si="6"/>
        <v>20027</v>
      </c>
      <c r="F162" s="187">
        <f t="shared" si="7"/>
        <v>20027</v>
      </c>
      <c r="G162" s="187">
        <f t="shared" si="8"/>
        <v>0</v>
      </c>
      <c r="H162" s="213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>
        <v>10274</v>
      </c>
      <c r="T162" s="214"/>
      <c r="U162" s="214">
        <v>7447.61</v>
      </c>
      <c r="V162" s="214"/>
      <c r="W162" s="214"/>
      <c r="X162" s="214"/>
      <c r="Y162" s="214"/>
      <c r="Z162" s="214">
        <v>2305.39</v>
      </c>
      <c r="AA162" s="214"/>
      <c r="AB162" s="214"/>
      <c r="AC162" s="214"/>
      <c r="AD162" s="214"/>
      <c r="AE162" s="214"/>
      <c r="AF162" s="214"/>
      <c r="AG162" s="214"/>
      <c r="AH162" s="214"/>
      <c r="AI162" s="215"/>
      <c r="AJ162" s="216"/>
      <c r="AK162" s="216"/>
      <c r="AL162" s="216"/>
      <c r="AM162" s="216"/>
    </row>
    <row r="163" spans="1:39" s="119" customFormat="1" ht="18" customHeight="1" thickBot="1" x14ac:dyDescent="0.35">
      <c r="A163" s="136" t="s">
        <v>157</v>
      </c>
      <c r="B163" s="135" t="s">
        <v>335</v>
      </c>
      <c r="C163" s="292">
        <v>6889</v>
      </c>
      <c r="D163" s="136"/>
      <c r="E163" s="187">
        <f t="shared" si="6"/>
        <v>6889</v>
      </c>
      <c r="F163" s="187">
        <f t="shared" si="7"/>
        <v>2930</v>
      </c>
      <c r="G163" s="187">
        <f t="shared" si="8"/>
        <v>3959</v>
      </c>
      <c r="H163" s="213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>
        <v>1930</v>
      </c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>
        <v>1000</v>
      </c>
      <c r="AE163" s="214"/>
      <c r="AF163" s="214"/>
      <c r="AG163" s="214"/>
      <c r="AH163" s="214"/>
      <c r="AI163" s="215"/>
      <c r="AJ163" s="216"/>
      <c r="AK163" s="216"/>
      <c r="AL163" s="216"/>
      <c r="AM163" s="216"/>
    </row>
    <row r="164" spans="1:39" s="119" customFormat="1" ht="18" customHeight="1" thickBot="1" x14ac:dyDescent="0.35">
      <c r="A164" s="136" t="s">
        <v>158</v>
      </c>
      <c r="B164" s="135" t="s">
        <v>336</v>
      </c>
      <c r="C164" s="292">
        <v>10383</v>
      </c>
      <c r="D164" s="136" t="s">
        <v>372</v>
      </c>
      <c r="E164" s="281">
        <v>0</v>
      </c>
      <c r="F164" s="187">
        <f t="shared" si="7"/>
        <v>0</v>
      </c>
      <c r="G164" s="187">
        <f t="shared" si="8"/>
        <v>0</v>
      </c>
      <c r="H164" s="213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5"/>
      <c r="AJ164" s="216"/>
      <c r="AK164" s="216"/>
      <c r="AL164" s="216"/>
      <c r="AM164" s="216"/>
    </row>
    <row r="165" spans="1:39" s="119" customFormat="1" ht="18" customHeight="1" thickBot="1" x14ac:dyDescent="0.35">
      <c r="A165" s="136" t="s">
        <v>159</v>
      </c>
      <c r="B165" s="135" t="s">
        <v>601</v>
      </c>
      <c r="C165" s="292">
        <v>6287</v>
      </c>
      <c r="D165" s="136" t="s">
        <v>372</v>
      </c>
      <c r="E165" s="281">
        <v>0</v>
      </c>
      <c r="F165" s="187">
        <f t="shared" si="7"/>
        <v>0</v>
      </c>
      <c r="G165" s="187">
        <f t="shared" si="8"/>
        <v>0</v>
      </c>
      <c r="H165" s="213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5"/>
      <c r="AJ165" s="216"/>
      <c r="AK165" s="216"/>
      <c r="AL165" s="216"/>
      <c r="AM165" s="216"/>
    </row>
    <row r="166" spans="1:39" s="119" customFormat="1" ht="18" customHeight="1" thickBot="1" x14ac:dyDescent="0.35">
      <c r="A166" s="136" t="s">
        <v>160</v>
      </c>
      <c r="B166" s="135" t="s">
        <v>337</v>
      </c>
      <c r="C166" s="292">
        <v>56837</v>
      </c>
      <c r="D166" s="136"/>
      <c r="E166" s="187">
        <f t="shared" si="6"/>
        <v>56837</v>
      </c>
      <c r="F166" s="187">
        <f t="shared" si="7"/>
        <v>56837</v>
      </c>
      <c r="G166" s="187">
        <f t="shared" si="8"/>
        <v>0</v>
      </c>
      <c r="H166" s="213"/>
      <c r="I166" s="214"/>
      <c r="J166" s="214"/>
      <c r="K166" s="214">
        <v>5030.1499999999996</v>
      </c>
      <c r="L166" s="214"/>
      <c r="M166" s="214">
        <f>5030.15+4642.31</f>
        <v>9672.4599999999991</v>
      </c>
      <c r="N166" s="214">
        <v>4396.87</v>
      </c>
      <c r="O166" s="214">
        <v>4640.87</v>
      </c>
      <c r="P166" s="214">
        <v>4640.87</v>
      </c>
      <c r="Q166" s="214"/>
      <c r="R166" s="214">
        <v>9712.74</v>
      </c>
      <c r="S166" s="214">
        <v>4640.87</v>
      </c>
      <c r="T166" s="214">
        <v>14102.17</v>
      </c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5"/>
      <c r="AJ166" s="216"/>
      <c r="AK166" s="216"/>
      <c r="AL166" s="216"/>
      <c r="AM166" s="216"/>
    </row>
    <row r="167" spans="1:39" s="119" customFormat="1" ht="18" customHeight="1" thickBot="1" x14ac:dyDescent="0.35">
      <c r="A167" s="136" t="s">
        <v>161</v>
      </c>
      <c r="B167" s="135" t="s">
        <v>338</v>
      </c>
      <c r="C167" s="292">
        <v>17584</v>
      </c>
      <c r="D167" s="136"/>
      <c r="E167" s="187">
        <f t="shared" si="6"/>
        <v>17584</v>
      </c>
      <c r="F167" s="187">
        <f t="shared" si="7"/>
        <v>17584</v>
      </c>
      <c r="G167" s="187">
        <f t="shared" si="8"/>
        <v>0</v>
      </c>
      <c r="H167" s="213"/>
      <c r="I167" s="214"/>
      <c r="J167" s="214"/>
      <c r="K167" s="214"/>
      <c r="L167" s="214"/>
      <c r="M167" s="214"/>
      <c r="N167" s="214"/>
      <c r="O167" s="214"/>
      <c r="P167" s="214">
        <v>326.2</v>
      </c>
      <c r="Q167" s="214"/>
      <c r="R167" s="214"/>
      <c r="S167" s="214">
        <v>10883.5</v>
      </c>
      <c r="T167" s="214"/>
      <c r="U167" s="214"/>
      <c r="V167" s="214"/>
      <c r="W167" s="214"/>
      <c r="X167" s="214">
        <v>6367.3</v>
      </c>
      <c r="Y167" s="214"/>
      <c r="Z167" s="214"/>
      <c r="AA167" s="214"/>
      <c r="AB167" s="214">
        <v>7</v>
      </c>
      <c r="AC167" s="214"/>
      <c r="AD167" s="214"/>
      <c r="AE167" s="214"/>
      <c r="AF167" s="214"/>
      <c r="AG167" s="214"/>
      <c r="AH167" s="214"/>
      <c r="AI167" s="215"/>
      <c r="AJ167" s="216"/>
      <c r="AK167" s="216"/>
      <c r="AL167" s="216"/>
      <c r="AM167" s="216"/>
    </row>
    <row r="168" spans="1:39" s="119" customFormat="1" ht="18" customHeight="1" thickBot="1" x14ac:dyDescent="0.35">
      <c r="A168" s="136" t="s">
        <v>162</v>
      </c>
      <c r="B168" s="135" t="s">
        <v>339</v>
      </c>
      <c r="C168" s="292">
        <v>62888</v>
      </c>
      <c r="D168" s="136"/>
      <c r="E168" s="187">
        <f t="shared" si="6"/>
        <v>62888</v>
      </c>
      <c r="F168" s="187">
        <f t="shared" si="7"/>
        <v>62888</v>
      </c>
      <c r="G168" s="187">
        <f t="shared" si="8"/>
        <v>0</v>
      </c>
      <c r="H168" s="213"/>
      <c r="I168" s="214"/>
      <c r="J168" s="214"/>
      <c r="K168" s="214"/>
      <c r="L168" s="214"/>
      <c r="M168" s="214"/>
      <c r="N168" s="276">
        <v>7596</v>
      </c>
      <c r="O168" s="214"/>
      <c r="P168" s="214"/>
      <c r="Q168" s="214"/>
      <c r="R168" s="214"/>
      <c r="S168" s="214">
        <v>43538.74</v>
      </c>
      <c r="T168" s="214"/>
      <c r="U168" s="214"/>
      <c r="V168" s="214"/>
      <c r="W168" s="214"/>
      <c r="X168" s="214"/>
      <c r="Y168" s="214">
        <f>9349.7+2403.56</f>
        <v>11753.26</v>
      </c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5"/>
      <c r="AJ168" s="216"/>
      <c r="AK168" s="216"/>
      <c r="AL168" s="216"/>
      <c r="AM168" s="216"/>
    </row>
    <row r="169" spans="1:39" s="119" customFormat="1" ht="18" customHeight="1" thickBot="1" x14ac:dyDescent="0.35">
      <c r="A169" s="136" t="s">
        <v>163</v>
      </c>
      <c r="B169" s="135" t="s">
        <v>340</v>
      </c>
      <c r="C169" s="292">
        <v>15508</v>
      </c>
      <c r="D169" s="136"/>
      <c r="E169" s="187">
        <f t="shared" si="6"/>
        <v>15508</v>
      </c>
      <c r="F169" s="187">
        <f t="shared" si="7"/>
        <v>15508</v>
      </c>
      <c r="G169" s="187">
        <f t="shared" si="8"/>
        <v>0</v>
      </c>
      <c r="H169" s="213"/>
      <c r="I169" s="214"/>
      <c r="J169" s="214"/>
      <c r="K169" s="214"/>
      <c r="L169" s="214"/>
      <c r="M169" s="214"/>
      <c r="N169" s="214">
        <v>5455.3</v>
      </c>
      <c r="O169" s="214"/>
      <c r="P169" s="214"/>
      <c r="Q169" s="214"/>
      <c r="R169" s="214"/>
      <c r="S169" s="214">
        <v>9222.84</v>
      </c>
      <c r="T169" s="214"/>
      <c r="U169" s="214"/>
      <c r="V169" s="214"/>
      <c r="W169" s="214"/>
      <c r="X169" s="214"/>
      <c r="Y169" s="214"/>
      <c r="Z169" s="214">
        <v>829.86</v>
      </c>
      <c r="AA169" s="214"/>
      <c r="AB169" s="214"/>
      <c r="AC169" s="214"/>
      <c r="AD169" s="214"/>
      <c r="AE169" s="214"/>
      <c r="AF169" s="214"/>
      <c r="AG169" s="214"/>
      <c r="AH169" s="214"/>
      <c r="AI169" s="215"/>
      <c r="AJ169" s="216"/>
      <c r="AK169" s="216"/>
      <c r="AL169" s="216"/>
      <c r="AM169" s="216"/>
    </row>
    <row r="170" spans="1:39" s="119" customFormat="1" ht="18" customHeight="1" thickBot="1" x14ac:dyDescent="0.35">
      <c r="A170" s="136" t="s">
        <v>164</v>
      </c>
      <c r="B170" s="135" t="s">
        <v>341</v>
      </c>
      <c r="C170" s="292">
        <v>3152</v>
      </c>
      <c r="D170" s="136" t="s">
        <v>370</v>
      </c>
      <c r="E170" s="281">
        <v>0</v>
      </c>
      <c r="F170" s="187">
        <f t="shared" si="7"/>
        <v>0</v>
      </c>
      <c r="G170" s="187">
        <f t="shared" si="8"/>
        <v>0</v>
      </c>
      <c r="H170" s="213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5"/>
      <c r="AJ170" s="216"/>
      <c r="AK170" s="216"/>
      <c r="AL170" s="216"/>
      <c r="AM170" s="216"/>
    </row>
    <row r="171" spans="1:39" s="119" customFormat="1" ht="18" customHeight="1" thickBot="1" x14ac:dyDescent="0.35">
      <c r="A171" s="136" t="s">
        <v>165</v>
      </c>
      <c r="B171" s="135" t="s">
        <v>342</v>
      </c>
      <c r="C171" s="292">
        <v>5171</v>
      </c>
      <c r="D171" s="136" t="s">
        <v>372</v>
      </c>
      <c r="E171" s="281">
        <v>0</v>
      </c>
      <c r="F171" s="187">
        <f t="shared" si="7"/>
        <v>0</v>
      </c>
      <c r="G171" s="187">
        <f t="shared" si="8"/>
        <v>0</v>
      </c>
      <c r="H171" s="213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5"/>
      <c r="AJ171" s="216"/>
      <c r="AK171" s="216"/>
      <c r="AL171" s="216"/>
      <c r="AM171" s="216"/>
    </row>
    <row r="172" spans="1:39" s="119" customFormat="1" ht="18" customHeight="1" thickBot="1" x14ac:dyDescent="0.35">
      <c r="A172" s="136" t="s">
        <v>166</v>
      </c>
      <c r="B172" s="135" t="s">
        <v>343</v>
      </c>
      <c r="C172" s="292">
        <v>2654</v>
      </c>
      <c r="D172" s="136" t="s">
        <v>372</v>
      </c>
      <c r="E172" s="281">
        <v>0</v>
      </c>
      <c r="F172" s="187">
        <f t="shared" si="7"/>
        <v>0</v>
      </c>
      <c r="G172" s="187">
        <f t="shared" si="8"/>
        <v>0</v>
      </c>
      <c r="H172" s="213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5"/>
      <c r="AJ172" s="216"/>
      <c r="AK172" s="216"/>
      <c r="AL172" s="216"/>
      <c r="AM172" s="216"/>
    </row>
    <row r="173" spans="1:39" s="119" customFormat="1" ht="18" customHeight="1" thickBot="1" x14ac:dyDescent="0.35">
      <c r="A173" s="136" t="s">
        <v>167</v>
      </c>
      <c r="B173" s="135" t="s">
        <v>344</v>
      </c>
      <c r="C173" s="292">
        <v>3527</v>
      </c>
      <c r="D173" s="136" t="s">
        <v>370</v>
      </c>
      <c r="E173" s="281">
        <v>0</v>
      </c>
      <c r="F173" s="187">
        <f t="shared" si="7"/>
        <v>0</v>
      </c>
      <c r="G173" s="187">
        <f t="shared" si="8"/>
        <v>0</v>
      </c>
      <c r="H173" s="213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5"/>
      <c r="AJ173" s="216"/>
      <c r="AK173" s="216"/>
      <c r="AL173" s="216"/>
      <c r="AM173" s="216"/>
    </row>
    <row r="174" spans="1:39" s="119" customFormat="1" ht="18" customHeight="1" thickBot="1" x14ac:dyDescent="0.35">
      <c r="A174" s="136" t="s">
        <v>168</v>
      </c>
      <c r="B174" s="135" t="s">
        <v>345</v>
      </c>
      <c r="C174" s="292">
        <v>54985</v>
      </c>
      <c r="D174" s="136" t="s">
        <v>371</v>
      </c>
      <c r="E174" s="281">
        <v>0</v>
      </c>
      <c r="F174" s="187">
        <f t="shared" si="7"/>
        <v>0</v>
      </c>
      <c r="G174" s="187">
        <f t="shared" si="8"/>
        <v>0</v>
      </c>
      <c r="H174" s="213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5"/>
      <c r="AJ174" s="216"/>
      <c r="AK174" s="216"/>
      <c r="AL174" s="216"/>
      <c r="AM174" s="216"/>
    </row>
    <row r="175" spans="1:39" s="119" customFormat="1" ht="18" customHeight="1" thickBot="1" x14ac:dyDescent="0.35">
      <c r="A175" s="136" t="s">
        <v>169</v>
      </c>
      <c r="B175" s="135" t="s">
        <v>346</v>
      </c>
      <c r="C175" s="292">
        <v>42585</v>
      </c>
      <c r="D175" s="136"/>
      <c r="E175" s="187">
        <f t="shared" si="6"/>
        <v>42585</v>
      </c>
      <c r="F175" s="187">
        <f t="shared" si="7"/>
        <v>42585</v>
      </c>
      <c r="G175" s="187">
        <f t="shared" si="8"/>
        <v>0</v>
      </c>
      <c r="H175" s="213"/>
      <c r="I175" s="214"/>
      <c r="J175" s="214"/>
      <c r="K175" s="214"/>
      <c r="L175" s="214"/>
      <c r="M175" s="214"/>
      <c r="N175" s="214"/>
      <c r="O175" s="214">
        <v>24819</v>
      </c>
      <c r="P175" s="214"/>
      <c r="Q175" s="214"/>
      <c r="R175" s="214"/>
      <c r="S175" s="214"/>
      <c r="T175" s="214">
        <v>17766</v>
      </c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5"/>
      <c r="AJ175" s="216"/>
      <c r="AK175" s="216"/>
      <c r="AL175" s="216"/>
      <c r="AM175" s="216"/>
    </row>
    <row r="176" spans="1:39" s="119" customFormat="1" ht="18" customHeight="1" thickBot="1" x14ac:dyDescent="0.35">
      <c r="A176" s="136" t="s">
        <v>170</v>
      </c>
      <c r="B176" s="135" t="s">
        <v>602</v>
      </c>
      <c r="C176" s="292">
        <v>104343</v>
      </c>
      <c r="D176" s="136"/>
      <c r="E176" s="187">
        <f t="shared" si="6"/>
        <v>104343</v>
      </c>
      <c r="F176" s="187">
        <f t="shared" si="7"/>
        <v>104343</v>
      </c>
      <c r="G176" s="187">
        <f t="shared" si="8"/>
        <v>0</v>
      </c>
      <c r="H176" s="213"/>
      <c r="I176" s="214"/>
      <c r="J176" s="214"/>
      <c r="K176" s="214"/>
      <c r="L176" s="214"/>
      <c r="M176" s="214"/>
      <c r="N176" s="214"/>
      <c r="O176" s="214"/>
      <c r="P176" s="214">
        <v>10828</v>
      </c>
      <c r="Q176" s="214"/>
      <c r="R176" s="214"/>
      <c r="S176" s="214">
        <v>93515</v>
      </c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5"/>
      <c r="AJ176" s="216"/>
      <c r="AK176" s="216"/>
      <c r="AL176" s="216"/>
      <c r="AM176" s="216"/>
    </row>
    <row r="177" spans="1:39" s="119" customFormat="1" ht="18" customHeight="1" thickBot="1" x14ac:dyDescent="0.35">
      <c r="A177" s="136" t="s">
        <v>171</v>
      </c>
      <c r="B177" s="135" t="s">
        <v>347</v>
      </c>
      <c r="C177" s="292">
        <v>80822</v>
      </c>
      <c r="D177" s="136"/>
      <c r="E177" s="187">
        <f t="shared" si="6"/>
        <v>80822</v>
      </c>
      <c r="F177" s="187">
        <f t="shared" si="7"/>
        <v>80822</v>
      </c>
      <c r="G177" s="187">
        <f t="shared" si="8"/>
        <v>0</v>
      </c>
      <c r="H177" s="213"/>
      <c r="I177" s="214"/>
      <c r="J177" s="214"/>
      <c r="K177" s="214">
        <v>1400</v>
      </c>
      <c r="L177" s="214"/>
      <c r="M177" s="214">
        <v>12750</v>
      </c>
      <c r="N177" s="214"/>
      <c r="O177" s="214">
        <v>9300</v>
      </c>
      <c r="P177" s="214">
        <v>4900</v>
      </c>
      <c r="Q177" s="214">
        <v>10000</v>
      </c>
      <c r="R177" s="214">
        <v>9100</v>
      </c>
      <c r="S177" s="214">
        <v>9400</v>
      </c>
      <c r="T177" s="214"/>
      <c r="U177" s="214">
        <v>23972</v>
      </c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5"/>
      <c r="AJ177" s="216"/>
      <c r="AK177" s="216"/>
      <c r="AL177" s="216"/>
      <c r="AM177" s="216"/>
    </row>
    <row r="178" spans="1:39" s="119" customFormat="1" ht="18" customHeight="1" thickBot="1" x14ac:dyDescent="0.35">
      <c r="A178" s="136" t="s">
        <v>172</v>
      </c>
      <c r="B178" s="135" t="s">
        <v>348</v>
      </c>
      <c r="C178" s="292">
        <v>72322</v>
      </c>
      <c r="D178" s="136"/>
      <c r="E178" s="187">
        <f t="shared" si="6"/>
        <v>72322</v>
      </c>
      <c r="F178" s="187">
        <f t="shared" si="7"/>
        <v>72322</v>
      </c>
      <c r="G178" s="187">
        <f t="shared" si="8"/>
        <v>0</v>
      </c>
      <c r="H178" s="213"/>
      <c r="I178" s="214"/>
      <c r="J178" s="214"/>
      <c r="K178" s="214"/>
      <c r="L178" s="214"/>
      <c r="M178" s="214"/>
      <c r="N178" s="214"/>
      <c r="O178" s="214"/>
      <c r="P178" s="214">
        <v>60619.46</v>
      </c>
      <c r="Q178" s="214"/>
      <c r="R178" s="214"/>
      <c r="S178" s="214"/>
      <c r="T178" s="214"/>
      <c r="U178" s="214"/>
      <c r="V178" s="214"/>
      <c r="W178" s="214">
        <v>11702.54</v>
      </c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5"/>
      <c r="AJ178" s="216"/>
      <c r="AK178" s="216"/>
      <c r="AL178" s="216"/>
      <c r="AM178" s="216"/>
    </row>
    <row r="179" spans="1:39" s="119" customFormat="1" ht="18" customHeight="1" thickBot="1" x14ac:dyDescent="0.35">
      <c r="A179" s="136" t="s">
        <v>173</v>
      </c>
      <c r="B179" s="135" t="s">
        <v>349</v>
      </c>
      <c r="C179" s="292">
        <v>891129</v>
      </c>
      <c r="D179" s="136"/>
      <c r="E179" s="187">
        <f t="shared" si="6"/>
        <v>891129</v>
      </c>
      <c r="F179" s="187">
        <f t="shared" si="7"/>
        <v>891129</v>
      </c>
      <c r="G179" s="187">
        <f t="shared" si="8"/>
        <v>0</v>
      </c>
      <c r="H179" s="213"/>
      <c r="I179" s="214"/>
      <c r="J179" s="214"/>
      <c r="K179" s="214"/>
      <c r="L179" s="214"/>
      <c r="M179" s="214"/>
      <c r="N179" s="214">
        <v>17055.32</v>
      </c>
      <c r="O179" s="214"/>
      <c r="P179" s="214">
        <v>192280.3</v>
      </c>
      <c r="Q179" s="214">
        <v>72153.3</v>
      </c>
      <c r="R179" s="214">
        <v>52318.02</v>
      </c>
      <c r="S179" s="214">
        <v>130954.32</v>
      </c>
      <c r="T179" s="214">
        <v>187551.38</v>
      </c>
      <c r="U179" s="214"/>
      <c r="V179" s="214"/>
      <c r="W179" s="214">
        <v>87979.23</v>
      </c>
      <c r="X179" s="214">
        <v>142230.64000000001</v>
      </c>
      <c r="Y179" s="214">
        <v>8606.49</v>
      </c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5"/>
      <c r="AJ179" s="216"/>
      <c r="AK179" s="216"/>
      <c r="AL179" s="216"/>
      <c r="AM179" s="216"/>
    </row>
    <row r="180" spans="1:39" s="119" customFormat="1" ht="18" customHeight="1" thickBot="1" x14ac:dyDescent="0.35">
      <c r="A180" s="136" t="s">
        <v>174</v>
      </c>
      <c r="B180" s="135" t="s">
        <v>350</v>
      </c>
      <c r="C180" s="292">
        <v>41359</v>
      </c>
      <c r="D180" s="136" t="s">
        <v>371</v>
      </c>
      <c r="E180" s="281">
        <v>0</v>
      </c>
      <c r="F180" s="187">
        <f t="shared" si="7"/>
        <v>0</v>
      </c>
      <c r="G180" s="187">
        <f t="shared" si="8"/>
        <v>0</v>
      </c>
      <c r="H180" s="213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5"/>
      <c r="AJ180" s="216"/>
      <c r="AK180" s="216"/>
      <c r="AL180" s="216"/>
      <c r="AM180" s="216"/>
    </row>
    <row r="181" spans="1:39" s="119" customFormat="1" ht="18" customHeight="1" thickBot="1" x14ac:dyDescent="0.35">
      <c r="A181" s="136" t="s">
        <v>175</v>
      </c>
      <c r="B181" s="135" t="s">
        <v>351</v>
      </c>
      <c r="C181" s="292">
        <v>95421</v>
      </c>
      <c r="D181" s="136"/>
      <c r="E181" s="187">
        <f t="shared" si="6"/>
        <v>95421</v>
      </c>
      <c r="F181" s="187">
        <f t="shared" si="7"/>
        <v>95421</v>
      </c>
      <c r="G181" s="187">
        <f t="shared" si="8"/>
        <v>0</v>
      </c>
      <c r="H181" s="213"/>
      <c r="I181" s="214"/>
      <c r="J181" s="214"/>
      <c r="K181" s="214"/>
      <c r="L181" s="214"/>
      <c r="M181" s="214"/>
      <c r="N181" s="214"/>
      <c r="O181" s="214"/>
      <c r="P181" s="214">
        <v>48534.16</v>
      </c>
      <c r="Q181" s="214">
        <v>7399.32</v>
      </c>
      <c r="R181" s="214"/>
      <c r="S181" s="214">
        <v>14797.98</v>
      </c>
      <c r="T181" s="214">
        <v>14798</v>
      </c>
      <c r="U181" s="214"/>
      <c r="V181" s="214">
        <v>9891.5400000000009</v>
      </c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5"/>
      <c r="AJ181" s="216"/>
      <c r="AK181" s="216"/>
      <c r="AL181" s="216"/>
      <c r="AM181" s="216"/>
    </row>
    <row r="182" spans="1:39" s="119" customFormat="1" ht="18" customHeight="1" thickBot="1" x14ac:dyDescent="0.35">
      <c r="A182" s="136" t="s">
        <v>176</v>
      </c>
      <c r="B182" s="135" t="s">
        <v>352</v>
      </c>
      <c r="C182" s="292">
        <v>29426</v>
      </c>
      <c r="D182" s="136"/>
      <c r="E182" s="187">
        <f t="shared" si="6"/>
        <v>29426</v>
      </c>
      <c r="F182" s="187">
        <f t="shared" si="7"/>
        <v>29426</v>
      </c>
      <c r="G182" s="187">
        <f t="shared" si="8"/>
        <v>0</v>
      </c>
      <c r="H182" s="213"/>
      <c r="I182" s="214"/>
      <c r="J182" s="214"/>
      <c r="K182" s="214"/>
      <c r="L182" s="214"/>
      <c r="M182" s="214"/>
      <c r="N182" s="214"/>
      <c r="O182" s="214"/>
      <c r="P182" s="214">
        <f>6847.65+4197.84</f>
        <v>11045.49</v>
      </c>
      <c r="Q182" s="214"/>
      <c r="R182" s="214">
        <v>2394</v>
      </c>
      <c r="S182" s="214">
        <v>5766.9</v>
      </c>
      <c r="T182" s="214"/>
      <c r="U182" s="214"/>
      <c r="V182" s="214">
        <v>3539.85</v>
      </c>
      <c r="W182" s="214"/>
      <c r="X182" s="214"/>
      <c r="Y182" s="214"/>
      <c r="Z182" s="214"/>
      <c r="AA182" s="214"/>
      <c r="AB182" s="214">
        <v>6679.76</v>
      </c>
      <c r="AC182" s="214"/>
      <c r="AD182" s="214"/>
      <c r="AE182" s="214"/>
      <c r="AF182" s="214"/>
      <c r="AG182" s="214"/>
      <c r="AH182" s="214"/>
      <c r="AI182" s="215"/>
      <c r="AJ182" s="216"/>
      <c r="AK182" s="216"/>
      <c r="AL182" s="216"/>
      <c r="AM182" s="216"/>
    </row>
    <row r="183" spans="1:39" s="119" customFormat="1" ht="18" customHeight="1" thickBot="1" x14ac:dyDescent="0.35">
      <c r="A183" s="136" t="s">
        <v>177</v>
      </c>
      <c r="B183" s="135" t="s">
        <v>353</v>
      </c>
      <c r="C183" s="292">
        <v>4994</v>
      </c>
      <c r="D183" s="136" t="s">
        <v>371</v>
      </c>
      <c r="E183" s="281">
        <v>0</v>
      </c>
      <c r="F183" s="187">
        <f t="shared" si="7"/>
        <v>0</v>
      </c>
      <c r="G183" s="187">
        <f t="shared" si="8"/>
        <v>0</v>
      </c>
      <c r="H183" s="213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5"/>
      <c r="AJ183" s="216"/>
      <c r="AK183" s="216"/>
      <c r="AL183" s="216"/>
      <c r="AM183" s="216"/>
    </row>
    <row r="184" spans="1:39" s="119" customFormat="1" ht="18" customHeight="1" thickBot="1" x14ac:dyDescent="0.35">
      <c r="A184" s="136" t="s">
        <v>178</v>
      </c>
      <c r="B184" s="135" t="s">
        <v>354</v>
      </c>
      <c r="C184" s="292">
        <v>1144</v>
      </c>
      <c r="D184" s="136" t="s">
        <v>371</v>
      </c>
      <c r="E184" s="281">
        <v>0</v>
      </c>
      <c r="F184" s="187">
        <f t="shared" si="7"/>
        <v>0</v>
      </c>
      <c r="G184" s="187">
        <f t="shared" si="8"/>
        <v>0</v>
      </c>
      <c r="H184" s="213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5"/>
      <c r="AJ184" s="216"/>
      <c r="AK184" s="216"/>
      <c r="AL184" s="216"/>
      <c r="AM184" s="216"/>
    </row>
    <row r="185" spans="1:39" s="119" customFormat="1" ht="18" customHeight="1" thickBot="1" x14ac:dyDescent="0.35">
      <c r="A185" s="136" t="s">
        <v>179</v>
      </c>
      <c r="B185" s="135" t="s">
        <v>355</v>
      </c>
      <c r="C185" s="292">
        <v>4591</v>
      </c>
      <c r="D185" s="136" t="s">
        <v>371</v>
      </c>
      <c r="E185" s="281">
        <v>0</v>
      </c>
      <c r="F185" s="187">
        <f t="shared" si="7"/>
        <v>0</v>
      </c>
      <c r="G185" s="187">
        <f t="shared" si="8"/>
        <v>0</v>
      </c>
      <c r="H185" s="213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5"/>
      <c r="AJ185" s="216"/>
      <c r="AK185" s="216"/>
      <c r="AL185" s="216"/>
      <c r="AM185" s="216"/>
    </row>
    <row r="186" spans="1:39" s="119" customFormat="1" ht="18" customHeight="1" thickBot="1" x14ac:dyDescent="0.35">
      <c r="A186" s="136" t="s">
        <v>180</v>
      </c>
      <c r="B186" s="135" t="s">
        <v>356</v>
      </c>
      <c r="C186" s="292">
        <v>33112</v>
      </c>
      <c r="D186" s="136"/>
      <c r="E186" s="187">
        <f t="shared" si="6"/>
        <v>33112</v>
      </c>
      <c r="F186" s="187">
        <f t="shared" si="7"/>
        <v>33112</v>
      </c>
      <c r="G186" s="187">
        <f t="shared" si="8"/>
        <v>0</v>
      </c>
      <c r="H186" s="213"/>
      <c r="I186" s="214"/>
      <c r="J186" s="214"/>
      <c r="K186" s="214"/>
      <c r="L186" s="214"/>
      <c r="M186" s="214"/>
      <c r="N186" s="214"/>
      <c r="O186" s="214"/>
      <c r="P186" s="214">
        <v>3357.02</v>
      </c>
      <c r="Q186" s="214"/>
      <c r="R186" s="214"/>
      <c r="S186" s="214">
        <v>22075.59</v>
      </c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>
        <v>7679.39</v>
      </c>
      <c r="AD186" s="214"/>
      <c r="AE186" s="214"/>
      <c r="AF186" s="214"/>
      <c r="AG186" s="214"/>
      <c r="AH186" s="214"/>
      <c r="AI186" s="215"/>
      <c r="AJ186" s="216"/>
      <c r="AK186" s="216"/>
      <c r="AL186" s="216"/>
      <c r="AM186" s="216"/>
    </row>
    <row r="187" spans="1:39" s="119" customFormat="1" ht="18" customHeight="1" thickBot="1" x14ac:dyDescent="0.35">
      <c r="A187" s="136" t="s">
        <v>181</v>
      </c>
      <c r="B187" s="135" t="s">
        <v>357</v>
      </c>
      <c r="C187" s="292">
        <v>23214</v>
      </c>
      <c r="D187" s="136"/>
      <c r="E187" s="187">
        <f t="shared" si="6"/>
        <v>23214</v>
      </c>
      <c r="F187" s="187">
        <f t="shared" si="7"/>
        <v>23214</v>
      </c>
      <c r="G187" s="187">
        <f t="shared" si="8"/>
        <v>0</v>
      </c>
      <c r="H187" s="213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>
        <v>23214</v>
      </c>
      <c r="AA187" s="214"/>
      <c r="AB187" s="214"/>
      <c r="AC187" s="214"/>
      <c r="AD187" s="214"/>
      <c r="AE187" s="214"/>
      <c r="AF187" s="214"/>
      <c r="AG187" s="214"/>
      <c r="AH187" s="214"/>
      <c r="AI187" s="215"/>
      <c r="AJ187" s="216"/>
      <c r="AK187" s="216"/>
      <c r="AL187" s="216"/>
      <c r="AM187" s="216"/>
    </row>
    <row r="188" spans="1:39" s="119" customFormat="1" ht="18" customHeight="1" thickBot="1" x14ac:dyDescent="0.35">
      <c r="A188" s="136" t="s">
        <v>182</v>
      </c>
      <c r="B188" s="135" t="s">
        <v>358</v>
      </c>
      <c r="C188" s="292">
        <v>4258</v>
      </c>
      <c r="D188" s="136" t="s">
        <v>370</v>
      </c>
      <c r="E188" s="281">
        <v>0</v>
      </c>
      <c r="F188" s="187">
        <f t="shared" si="7"/>
        <v>0</v>
      </c>
      <c r="G188" s="187">
        <f t="shared" si="8"/>
        <v>0</v>
      </c>
      <c r="H188" s="213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I188" s="215"/>
      <c r="AJ188" s="216"/>
      <c r="AK188" s="216"/>
      <c r="AL188" s="216"/>
      <c r="AM188" s="216"/>
    </row>
    <row r="189" spans="1:39" s="119" customFormat="1" ht="18" customHeight="1" thickBot="1" x14ac:dyDescent="0.35">
      <c r="A189" s="136" t="s">
        <v>183</v>
      </c>
      <c r="B189" s="135" t="s">
        <v>359</v>
      </c>
      <c r="C189" s="292">
        <v>1563</v>
      </c>
      <c r="D189" s="136" t="s">
        <v>370</v>
      </c>
      <c r="E189" s="281">
        <v>0</v>
      </c>
      <c r="F189" s="187">
        <f t="shared" si="7"/>
        <v>0</v>
      </c>
      <c r="G189" s="187">
        <f t="shared" si="8"/>
        <v>0</v>
      </c>
      <c r="H189" s="213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5"/>
      <c r="AJ189" s="216"/>
      <c r="AK189" s="216"/>
      <c r="AL189" s="216"/>
      <c r="AM189" s="216"/>
    </row>
    <row r="190" spans="1:39" s="119" customFormat="1" ht="18" customHeight="1" thickBot="1" x14ac:dyDescent="0.35">
      <c r="A190" s="136" t="s">
        <v>402</v>
      </c>
      <c r="B190" s="135" t="s">
        <v>571</v>
      </c>
      <c r="C190" s="274">
        <v>354420</v>
      </c>
      <c r="D190" s="136"/>
      <c r="E190" s="187">
        <f t="shared" si="6"/>
        <v>354420</v>
      </c>
      <c r="F190" s="187">
        <f t="shared" si="7"/>
        <v>354419.99999999994</v>
      </c>
      <c r="G190" s="187">
        <f t="shared" si="8"/>
        <v>0</v>
      </c>
      <c r="H190" s="213"/>
      <c r="I190" s="214"/>
      <c r="J190" s="214"/>
      <c r="K190" s="214"/>
      <c r="L190" s="214"/>
      <c r="M190" s="214"/>
      <c r="N190" s="214"/>
      <c r="O190" s="214"/>
      <c r="P190" s="190"/>
      <c r="Q190" s="190">
        <v>43356</v>
      </c>
      <c r="R190" s="190">
        <v>43485</v>
      </c>
      <c r="S190" s="190"/>
      <c r="T190" s="190">
        <v>57411</v>
      </c>
      <c r="U190" s="214">
        <v>42104</v>
      </c>
      <c r="V190" s="214">
        <v>28870</v>
      </c>
      <c r="W190" s="214">
        <v>12119</v>
      </c>
      <c r="X190" s="214"/>
      <c r="Y190" s="214">
        <v>25535</v>
      </c>
      <c r="Z190" s="214">
        <v>37605</v>
      </c>
      <c r="AA190" s="214">
        <f>12115.09+35215</f>
        <v>47330.09</v>
      </c>
      <c r="AB190" s="214">
        <v>16297</v>
      </c>
      <c r="AC190" s="214">
        <v>307.91000000000003</v>
      </c>
      <c r="AD190" s="214"/>
      <c r="AE190" s="214"/>
      <c r="AF190" s="214"/>
      <c r="AG190" s="214"/>
      <c r="AH190" s="214"/>
      <c r="AI190" s="215"/>
      <c r="AJ190" s="216"/>
      <c r="AK190" s="216"/>
      <c r="AL190" s="216"/>
      <c r="AM190" s="216"/>
    </row>
    <row r="191" spans="1:39" s="119" customFormat="1" ht="18" customHeight="1" thickBot="1" x14ac:dyDescent="0.35">
      <c r="A191" s="136" t="s">
        <v>362</v>
      </c>
      <c r="B191" s="135" t="s">
        <v>594</v>
      </c>
      <c r="C191" s="274">
        <v>5049</v>
      </c>
      <c r="D191" s="136"/>
      <c r="E191" s="187">
        <f t="shared" si="6"/>
        <v>5049</v>
      </c>
      <c r="F191" s="187">
        <f t="shared" si="7"/>
        <v>3169</v>
      </c>
      <c r="G191" s="187">
        <f t="shared" si="8"/>
        <v>1880</v>
      </c>
      <c r="H191" s="213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>
        <v>3169</v>
      </c>
      <c r="AH191" s="214"/>
      <c r="AI191" s="215"/>
      <c r="AJ191" s="216"/>
      <c r="AK191" s="216"/>
      <c r="AL191" s="216"/>
      <c r="AM191" s="216"/>
    </row>
    <row r="192" spans="1:39" s="119" customFormat="1" ht="18" customHeight="1" thickBot="1" x14ac:dyDescent="0.35">
      <c r="A192" s="136" t="s">
        <v>370</v>
      </c>
      <c r="B192" s="135" t="s">
        <v>374</v>
      </c>
      <c r="C192" s="301">
        <v>0</v>
      </c>
      <c r="D192" s="136"/>
      <c r="E192" s="187">
        <f>C16+C17+C25+C27+C40+C41+C56+C59+C92+C93+C94+C95+C96+C110+C111+C112+C170+C173+C188+C189</f>
        <v>173531</v>
      </c>
      <c r="F192" s="187">
        <f t="shared" si="7"/>
        <v>173531</v>
      </c>
      <c r="G192" s="187">
        <f t="shared" si="8"/>
        <v>0</v>
      </c>
      <c r="H192" s="213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>
        <v>6401.81</v>
      </c>
      <c r="X192" s="214"/>
      <c r="Y192" s="214">
        <v>5842.75</v>
      </c>
      <c r="Z192" s="214"/>
      <c r="AA192" s="214">
        <v>32199.040000000001</v>
      </c>
      <c r="AB192" s="214"/>
      <c r="AC192" s="214">
        <v>13109.99</v>
      </c>
      <c r="AD192" s="214"/>
      <c r="AE192" s="214">
        <v>60467.99</v>
      </c>
      <c r="AF192" s="214">
        <v>55509.42</v>
      </c>
      <c r="AG192" s="214"/>
      <c r="AH192" s="214"/>
      <c r="AI192" s="215"/>
      <c r="AJ192" s="216"/>
      <c r="AK192" s="216"/>
      <c r="AL192" s="216"/>
      <c r="AM192" s="216"/>
    </row>
    <row r="193" spans="1:39" s="119" customFormat="1" ht="18" customHeight="1" thickBot="1" x14ac:dyDescent="0.35">
      <c r="A193" s="136" t="s">
        <v>371</v>
      </c>
      <c r="B193" s="135" t="s">
        <v>595</v>
      </c>
      <c r="C193" s="301">
        <v>0</v>
      </c>
      <c r="D193" s="136"/>
      <c r="E193" s="187">
        <f>C113+C127+C129+C130+C174+C180+C183+C184+C185</f>
        <v>264468</v>
      </c>
      <c r="F193" s="187">
        <f t="shared" si="7"/>
        <v>264468</v>
      </c>
      <c r="G193" s="187">
        <f t="shared" si="8"/>
        <v>0</v>
      </c>
      <c r="H193" s="213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>
        <v>24825</v>
      </c>
      <c r="U193" s="214">
        <v>11407</v>
      </c>
      <c r="V193" s="214">
        <v>22811</v>
      </c>
      <c r="W193" s="214">
        <v>58708</v>
      </c>
      <c r="X193" s="214">
        <v>4419</v>
      </c>
      <c r="Y193" s="214">
        <v>4791</v>
      </c>
      <c r="Z193" s="214">
        <v>12694</v>
      </c>
      <c r="AA193" s="214">
        <v>8862</v>
      </c>
      <c r="AB193" s="214">
        <v>14831</v>
      </c>
      <c r="AC193" s="214">
        <v>4234</v>
      </c>
      <c r="AD193" s="214">
        <v>3461</v>
      </c>
      <c r="AE193" s="214">
        <v>11582</v>
      </c>
      <c r="AF193" s="214">
        <v>52562</v>
      </c>
      <c r="AG193" s="214">
        <v>13461</v>
      </c>
      <c r="AH193" s="214">
        <v>15820</v>
      </c>
      <c r="AI193" s="215"/>
      <c r="AJ193" s="216"/>
      <c r="AK193" s="216"/>
      <c r="AL193" s="216"/>
      <c r="AM193" s="216"/>
    </row>
    <row r="194" spans="1:39" s="119" customFormat="1" ht="18" customHeight="1" thickBot="1" x14ac:dyDescent="0.35">
      <c r="A194" s="136" t="s">
        <v>372</v>
      </c>
      <c r="B194" s="135" t="s">
        <v>376</v>
      </c>
      <c r="C194" s="301">
        <v>0</v>
      </c>
      <c r="D194" s="136"/>
      <c r="E194" s="187">
        <f>C114+C116+C142+C164+C165+C171+C172</f>
        <v>41743</v>
      </c>
      <c r="F194" s="187">
        <f t="shared" si="7"/>
        <v>41743</v>
      </c>
      <c r="G194" s="187">
        <f t="shared" si="8"/>
        <v>0</v>
      </c>
      <c r="H194" s="213"/>
      <c r="I194" s="214"/>
      <c r="J194" s="214"/>
      <c r="K194" s="214"/>
      <c r="L194" s="214"/>
      <c r="M194" s="214"/>
      <c r="N194" s="214"/>
      <c r="O194" s="214"/>
      <c r="P194" s="214">
        <v>13561.67</v>
      </c>
      <c r="Q194" s="214"/>
      <c r="R194" s="214"/>
      <c r="S194" s="214">
        <v>3927</v>
      </c>
      <c r="T194" s="214">
        <v>24084.6</v>
      </c>
      <c r="U194" s="214"/>
      <c r="V194" s="214"/>
      <c r="W194" s="214"/>
      <c r="X194" s="214"/>
      <c r="Y194" s="214"/>
      <c r="Z194" s="214"/>
      <c r="AA194" s="214"/>
      <c r="AB194" s="214"/>
      <c r="AC194" s="214">
        <v>169.73</v>
      </c>
      <c r="AD194" s="214"/>
      <c r="AE194" s="214"/>
      <c r="AF194" s="214"/>
      <c r="AG194" s="214"/>
      <c r="AH194" s="214"/>
      <c r="AI194" s="215"/>
      <c r="AJ194" s="216"/>
      <c r="AK194" s="216"/>
      <c r="AL194" s="216"/>
      <c r="AM194" s="216"/>
    </row>
    <row r="195" spans="1:39" s="3" customFormat="1" ht="18" customHeight="1" thickBot="1" x14ac:dyDescent="0.35">
      <c r="A195" s="157"/>
      <c r="B195" s="158"/>
      <c r="C195" s="211"/>
      <c r="D195" s="133"/>
      <c r="E195" s="188"/>
      <c r="F195" s="188"/>
      <c r="G195" s="188"/>
      <c r="H195" s="217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1"/>
      <c r="AJ195" s="192"/>
      <c r="AK195" s="192"/>
      <c r="AL195" s="192"/>
      <c r="AM195" s="192"/>
    </row>
    <row r="196" spans="1:39" s="48" customFormat="1" ht="18" customHeight="1" thickBot="1" x14ac:dyDescent="0.3">
      <c r="A196" s="113" t="s">
        <v>575</v>
      </c>
      <c r="B196" s="113"/>
      <c r="C196" s="212">
        <f>SUM(C12:C194)</f>
        <v>23333861</v>
      </c>
      <c r="D196" s="135"/>
      <c r="E196" s="189">
        <f t="shared" ref="E196" si="9">SUM(E12:E194)</f>
        <v>23333861</v>
      </c>
      <c r="F196" s="189">
        <f t="shared" ref="F196:AM196" si="10">SUM(F12:F194)</f>
        <v>22622762.299999997</v>
      </c>
      <c r="G196" s="189">
        <f t="shared" si="10"/>
        <v>711098.69999999984</v>
      </c>
      <c r="H196" s="218">
        <f t="shared" si="10"/>
        <v>0</v>
      </c>
      <c r="I196" s="218">
        <f t="shared" si="10"/>
        <v>0</v>
      </c>
      <c r="J196" s="218">
        <f t="shared" si="10"/>
        <v>0</v>
      </c>
      <c r="K196" s="218">
        <f t="shared" si="10"/>
        <v>103386.79999999999</v>
      </c>
      <c r="L196" s="218">
        <f t="shared" si="10"/>
        <v>192420.56</v>
      </c>
      <c r="M196" s="218">
        <f t="shared" si="10"/>
        <v>757124.9600000002</v>
      </c>
      <c r="N196" s="218">
        <f t="shared" si="10"/>
        <v>888646.58000000007</v>
      </c>
      <c r="O196" s="218">
        <f t="shared" si="10"/>
        <v>1265898.8300000005</v>
      </c>
      <c r="P196" s="218">
        <f t="shared" si="10"/>
        <v>1477184.2999999996</v>
      </c>
      <c r="Q196" s="218">
        <f>SUM(Q12:Q194)</f>
        <v>1735280.8499999996</v>
      </c>
      <c r="R196" s="218">
        <f t="shared" si="10"/>
        <v>1543369.5200000007</v>
      </c>
      <c r="S196" s="218">
        <f t="shared" si="10"/>
        <v>2214928.29</v>
      </c>
      <c r="T196" s="218">
        <f t="shared" si="10"/>
        <v>1529054.2799999998</v>
      </c>
      <c r="U196" s="218">
        <f>SUM(U12:U194)</f>
        <v>581225.05999999994</v>
      </c>
      <c r="V196" s="218">
        <f t="shared" si="10"/>
        <v>1053936.0899999999</v>
      </c>
      <c r="W196" s="218">
        <f t="shared" si="10"/>
        <v>2434578.8199999989</v>
      </c>
      <c r="X196" s="218">
        <f t="shared" si="10"/>
        <v>817030.3600000001</v>
      </c>
      <c r="Y196" s="218">
        <f t="shared" si="10"/>
        <v>985226.72</v>
      </c>
      <c r="Z196" s="218">
        <f t="shared" si="10"/>
        <v>518963.37</v>
      </c>
      <c r="AA196" s="218">
        <f t="shared" si="10"/>
        <v>1010452.6400000001</v>
      </c>
      <c r="AB196" s="218">
        <f t="shared" si="10"/>
        <v>1224664.1599999999</v>
      </c>
      <c r="AC196" s="218">
        <f t="shared" si="10"/>
        <v>615066.61</v>
      </c>
      <c r="AD196" s="218">
        <f t="shared" si="10"/>
        <v>260121.96000000002</v>
      </c>
      <c r="AE196" s="218">
        <f t="shared" si="10"/>
        <v>821228.34</v>
      </c>
      <c r="AF196" s="218">
        <f t="shared" si="10"/>
        <v>329117.26999999996</v>
      </c>
      <c r="AG196" s="218">
        <f t="shared" si="10"/>
        <v>58913.22</v>
      </c>
      <c r="AH196" s="218">
        <f t="shared" si="10"/>
        <v>204942.71000000002</v>
      </c>
      <c r="AI196" s="218">
        <f t="shared" si="10"/>
        <v>0</v>
      </c>
      <c r="AJ196" s="218">
        <f t="shared" si="10"/>
        <v>0</v>
      </c>
      <c r="AK196" s="218">
        <f t="shared" si="10"/>
        <v>0</v>
      </c>
      <c r="AL196" s="218">
        <f t="shared" si="10"/>
        <v>0</v>
      </c>
      <c r="AM196" s="218">
        <f t="shared" si="10"/>
        <v>0</v>
      </c>
    </row>
    <row r="197" spans="1:39" s="8" customFormat="1" x14ac:dyDescent="0.25">
      <c r="A197" s="112"/>
      <c r="B197" s="112"/>
      <c r="C197" s="126"/>
      <c r="D197" s="133"/>
      <c r="M197" s="74"/>
      <c r="S197" s="303"/>
    </row>
    <row r="198" spans="1:39" s="8" customFormat="1" x14ac:dyDescent="0.25">
      <c r="A198" s="112"/>
      <c r="B198" s="112"/>
      <c r="D198" s="133"/>
      <c r="K198" s="74"/>
      <c r="L198" s="74"/>
      <c r="M198" s="126"/>
      <c r="N198" s="74"/>
      <c r="O198" s="74"/>
      <c r="P198" s="74"/>
      <c r="Q198" s="74"/>
      <c r="R198" s="74"/>
      <c r="S198" s="308"/>
      <c r="T198" s="260"/>
      <c r="V198" s="74"/>
    </row>
    <row r="199" spans="1:39" s="8" customFormat="1" x14ac:dyDescent="0.25">
      <c r="A199" s="112"/>
      <c r="B199" s="112"/>
      <c r="D199" s="171"/>
      <c r="F199" s="238"/>
      <c r="J199" s="74"/>
      <c r="L199" s="74"/>
      <c r="N199" s="126"/>
      <c r="Q199" s="74"/>
      <c r="R199" s="74"/>
      <c r="S199" s="308"/>
      <c r="T199" s="74"/>
      <c r="U199" s="74"/>
    </row>
    <row r="200" spans="1:39" s="8" customFormat="1" x14ac:dyDescent="0.25">
      <c r="A200" s="112"/>
      <c r="B200" s="112"/>
      <c r="D200" s="4"/>
      <c r="F200" s="238"/>
      <c r="O200" s="238"/>
      <c r="P200" s="238"/>
      <c r="S200" s="303"/>
    </row>
    <row r="201" spans="1:39" s="8" customFormat="1" x14ac:dyDescent="0.25">
      <c r="A201" s="112"/>
      <c r="B201" s="112"/>
      <c r="D201" s="4"/>
      <c r="R201" s="238"/>
      <c r="S201" s="303"/>
      <c r="T201" s="238">
        <f>T196-T190</f>
        <v>1471643.2799999998</v>
      </c>
    </row>
    <row r="202" spans="1:39" s="8" customFormat="1" x14ac:dyDescent="0.25">
      <c r="A202" s="112"/>
      <c r="B202" s="112"/>
      <c r="D202" s="4"/>
      <c r="S202" s="303"/>
    </row>
    <row r="203" spans="1:39" s="8" customFormat="1" x14ac:dyDescent="0.25">
      <c r="A203" s="112"/>
      <c r="B203" s="112"/>
      <c r="D203" s="4"/>
      <c r="F203" s="238"/>
      <c r="S203" s="303"/>
    </row>
    <row r="204" spans="1:39" s="8" customFormat="1" x14ac:dyDescent="0.25">
      <c r="A204" s="112"/>
      <c r="B204" s="112"/>
      <c r="D204" s="4"/>
      <c r="S204" s="303"/>
    </row>
    <row r="205" spans="1:39" s="8" customFormat="1" x14ac:dyDescent="0.25">
      <c r="A205" s="112"/>
      <c r="B205" s="112"/>
      <c r="D205" s="4"/>
      <c r="S205" s="303"/>
    </row>
    <row r="206" spans="1:39" s="8" customFormat="1" x14ac:dyDescent="0.25">
      <c r="A206" s="112"/>
      <c r="B206" s="112"/>
      <c r="D206" s="4"/>
      <c r="S206" s="303"/>
    </row>
    <row r="207" spans="1:39" s="8" customFormat="1" x14ac:dyDescent="0.25">
      <c r="A207" s="112"/>
      <c r="B207" s="112"/>
      <c r="D207" s="4"/>
      <c r="S207" s="303"/>
    </row>
    <row r="208" spans="1:39" s="8" customFormat="1" x14ac:dyDescent="0.25">
      <c r="A208" s="112"/>
      <c r="B208" s="112"/>
      <c r="D208" s="4"/>
      <c r="S208" s="303"/>
    </row>
    <row r="209" spans="1:19" s="8" customFormat="1" x14ac:dyDescent="0.25">
      <c r="A209" s="112"/>
      <c r="B209" s="112"/>
      <c r="D209" s="4"/>
      <c r="S209" s="303"/>
    </row>
    <row r="210" spans="1:19" s="8" customFormat="1" x14ac:dyDescent="0.25">
      <c r="A210" s="112"/>
      <c r="B210" s="112"/>
      <c r="D210" s="4"/>
      <c r="S210" s="303"/>
    </row>
    <row r="211" spans="1:19" s="8" customFormat="1" x14ac:dyDescent="0.25">
      <c r="A211" s="112"/>
      <c r="B211" s="112"/>
      <c r="D211" s="4"/>
      <c r="S211" s="303"/>
    </row>
    <row r="212" spans="1:19" s="8" customFormat="1" x14ac:dyDescent="0.25">
      <c r="A212" s="112"/>
      <c r="B212" s="112"/>
      <c r="D212" s="4"/>
      <c r="S212" s="303"/>
    </row>
    <row r="213" spans="1:19" s="8" customFormat="1" x14ac:dyDescent="0.25">
      <c r="A213" s="112"/>
      <c r="B213" s="112"/>
      <c r="D213" s="4"/>
      <c r="S213" s="303"/>
    </row>
    <row r="214" spans="1:19" s="8" customFormat="1" x14ac:dyDescent="0.25">
      <c r="A214" s="112"/>
      <c r="B214" s="112"/>
      <c r="D214" s="4"/>
      <c r="S214" s="303"/>
    </row>
    <row r="215" spans="1:19" s="8" customFormat="1" x14ac:dyDescent="0.25">
      <c r="A215" s="112"/>
      <c r="B215" s="112"/>
      <c r="D215" s="4"/>
      <c r="S215" s="303"/>
    </row>
    <row r="216" spans="1:19" s="8" customFormat="1" x14ac:dyDescent="0.25">
      <c r="A216" s="112"/>
      <c r="B216" s="112"/>
      <c r="D216" s="4"/>
      <c r="S216" s="303"/>
    </row>
    <row r="217" spans="1:19" s="8" customFormat="1" x14ac:dyDescent="0.25">
      <c r="A217" s="112"/>
      <c r="B217" s="112"/>
      <c r="D217" s="4"/>
      <c r="S217" s="303"/>
    </row>
    <row r="218" spans="1:19" s="8" customFormat="1" x14ac:dyDescent="0.25">
      <c r="A218" s="112"/>
      <c r="B218" s="112"/>
      <c r="D218" s="4"/>
      <c r="S218" s="303"/>
    </row>
    <row r="219" spans="1:19" s="8" customFormat="1" x14ac:dyDescent="0.25">
      <c r="A219" s="112"/>
      <c r="B219" s="112"/>
      <c r="D219" s="4"/>
      <c r="S219" s="303"/>
    </row>
    <row r="220" spans="1:19" s="8" customFormat="1" x14ac:dyDescent="0.25">
      <c r="A220" s="112"/>
      <c r="B220" s="112"/>
      <c r="D220" s="4"/>
      <c r="S220" s="303"/>
    </row>
    <row r="221" spans="1:19" s="8" customFormat="1" x14ac:dyDescent="0.25">
      <c r="A221" s="112"/>
      <c r="B221" s="112"/>
      <c r="D221" s="4"/>
      <c r="S221" s="303"/>
    </row>
    <row r="222" spans="1:19" s="8" customFormat="1" x14ac:dyDescent="0.25">
      <c r="A222" s="112"/>
      <c r="B222" s="112"/>
      <c r="D222" s="4"/>
      <c r="S222" s="303"/>
    </row>
    <row r="223" spans="1:19" s="8" customFormat="1" x14ac:dyDescent="0.25">
      <c r="A223" s="112"/>
      <c r="B223" s="112"/>
      <c r="D223" s="4"/>
      <c r="S223" s="303"/>
    </row>
    <row r="224" spans="1:19" x14ac:dyDescent="0.25">
      <c r="D224" s="5"/>
    </row>
    <row r="225" spans="4:4" x14ac:dyDescent="0.25">
      <c r="D225" s="5"/>
    </row>
  </sheetData>
  <sheetProtection algorithmName="SHA-512" hashValue="B1Jyr+RBfcRsf6yjJGsQLDxNLgBIZDQ4leKgxLDDgUwO64GejsSBobyFPrylQFAElmLvF1TsoloeM4pgF1kUqQ==" saltValue="RxQkfD8vrYvXz1iDhN60ew==" spinCount="100000" sheet="1" objects="1" scenarios="1"/>
  <autoFilter ref="A11:AR194" xr:uid="{00000000-0009-0000-0000-000004000000}"/>
  <pageMargins left="0.7" right="0.7" top="0.75" bottom="0.75" header="0.3" footer="0.3"/>
  <pageSetup scale="1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66CCFF"/>
    <pageSetUpPr fitToPage="1"/>
  </sheetPr>
  <dimension ref="A1:BC211"/>
  <sheetViews>
    <sheetView zoomScaleNormal="100"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I16" sqref="AI16"/>
    </sheetView>
  </sheetViews>
  <sheetFormatPr defaultColWidth="9.140625" defaultRowHeight="15.75" x14ac:dyDescent="0.25"/>
  <cols>
    <col min="1" max="1" width="9.140625" style="1"/>
    <col min="2" max="2" width="33.85546875" style="127" bestFit="1" customWidth="1"/>
    <col min="3" max="3" width="16.42578125" style="9" customWidth="1"/>
    <col min="4" max="4" width="20" style="5" customWidth="1"/>
    <col min="5" max="5" width="19.140625" style="9" customWidth="1"/>
    <col min="6" max="6" width="15.7109375" style="9" customWidth="1"/>
    <col min="7" max="7" width="17" style="9" customWidth="1"/>
    <col min="8" max="23" width="15.7109375" style="1" customWidth="1"/>
    <col min="24" max="24" width="15.7109375" style="304" customWidth="1"/>
    <col min="25" max="34" width="15.7109375" style="1" customWidth="1"/>
    <col min="35" max="39" width="16.28515625" style="1" customWidth="1"/>
    <col min="40" max="16384" width="9.140625" style="1"/>
  </cols>
  <sheetData>
    <row r="1" spans="1:39" ht="21" x14ac:dyDescent="0.35">
      <c r="A1" s="76" t="s">
        <v>0</v>
      </c>
      <c r="B1" s="125"/>
      <c r="C1" s="120" t="s">
        <v>666</v>
      </c>
      <c r="D1" s="124"/>
      <c r="E1" s="120"/>
      <c r="F1" s="27"/>
      <c r="G1" s="28"/>
      <c r="H1" s="23"/>
      <c r="I1" s="23"/>
      <c r="J1" s="120" t="str">
        <f>C1</f>
        <v>Title III-A Formula (Revised Final)</v>
      </c>
      <c r="K1" s="120"/>
      <c r="L1" s="76"/>
      <c r="M1" s="76"/>
      <c r="N1" s="79"/>
      <c r="O1" s="79"/>
      <c r="P1" s="120" t="str">
        <f>C1</f>
        <v>Title III-A Formula (Revised Final)</v>
      </c>
      <c r="Q1" s="23"/>
      <c r="R1" s="120"/>
      <c r="S1" s="120"/>
      <c r="T1" s="76"/>
      <c r="U1" s="76"/>
      <c r="V1" s="120" t="str">
        <f>C1</f>
        <v>Title III-A Formula (Revised Final)</v>
      </c>
      <c r="W1" s="79"/>
      <c r="X1" s="305"/>
      <c r="Y1" s="23"/>
      <c r="Z1" s="120"/>
      <c r="AA1" s="120"/>
      <c r="AB1" s="120" t="str">
        <f>C1</f>
        <v>Title III-A Formula (Revised Final)</v>
      </c>
      <c r="AC1" s="76"/>
      <c r="AD1" s="79"/>
      <c r="AE1" s="79"/>
      <c r="AF1" s="23"/>
      <c r="AG1" s="120" t="str">
        <f>C1</f>
        <v>Title III-A Formula (Revised Final)</v>
      </c>
      <c r="AH1" s="120"/>
      <c r="AI1" s="120"/>
      <c r="AJ1" s="120"/>
      <c r="AK1" s="120"/>
      <c r="AL1" s="120"/>
      <c r="AM1" s="120"/>
    </row>
    <row r="2" spans="1:39" x14ac:dyDescent="0.25">
      <c r="A2" s="81" t="s">
        <v>1</v>
      </c>
      <c r="B2" s="125"/>
      <c r="C2" s="82" t="s">
        <v>383</v>
      </c>
      <c r="D2" s="162"/>
      <c r="E2" s="82"/>
      <c r="F2" s="21"/>
      <c r="G2" s="22"/>
      <c r="H2" s="23"/>
      <c r="I2" s="23"/>
      <c r="J2" s="81" t="str">
        <f>"FY"&amp;C4</f>
        <v>FY2020-2021</v>
      </c>
      <c r="K2" s="81"/>
      <c r="L2" s="121"/>
      <c r="M2" s="121"/>
      <c r="N2" s="83"/>
      <c r="O2" s="83"/>
      <c r="P2" s="81" t="str">
        <f>"FY"&amp;C4</f>
        <v>FY2020-2021</v>
      </c>
      <c r="Q2" s="83"/>
      <c r="R2" s="81"/>
      <c r="S2" s="81"/>
      <c r="T2" s="121"/>
      <c r="U2" s="121"/>
      <c r="V2" s="81" t="str">
        <f>"FY"&amp;C4</f>
        <v>FY2020-2021</v>
      </c>
      <c r="W2" s="83"/>
      <c r="X2" s="83"/>
      <c r="Y2" s="83"/>
      <c r="Z2" s="81"/>
      <c r="AA2" s="81"/>
      <c r="AB2" s="81" t="str">
        <f>"FY"&amp;C4</f>
        <v>FY2020-2021</v>
      </c>
      <c r="AC2" s="121"/>
      <c r="AD2" s="83"/>
      <c r="AE2" s="83"/>
      <c r="AF2" s="83"/>
      <c r="AG2" s="81" t="str">
        <f>"FY"&amp;C4</f>
        <v>FY2020-2021</v>
      </c>
      <c r="AH2" s="81"/>
      <c r="AI2" s="81"/>
      <c r="AJ2" s="81"/>
      <c r="AK2" s="81"/>
      <c r="AL2" s="81"/>
      <c r="AM2" s="81"/>
    </row>
    <row r="3" spans="1:39" x14ac:dyDescent="0.25">
      <c r="A3" s="81" t="s">
        <v>3</v>
      </c>
      <c r="B3" s="125"/>
      <c r="C3" s="121">
        <v>4365</v>
      </c>
      <c r="D3" s="124"/>
      <c r="E3" s="121"/>
      <c r="F3" s="21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05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80"/>
      <c r="AJ3" s="80"/>
      <c r="AK3" s="80"/>
      <c r="AL3" s="80"/>
      <c r="AM3" s="80"/>
    </row>
    <row r="4" spans="1:39" ht="21" x14ac:dyDescent="0.35">
      <c r="A4" s="81" t="s">
        <v>2</v>
      </c>
      <c r="B4" s="125"/>
      <c r="C4" s="120" t="str">
        <f>'[1]ESSA Title I-A Formula'!$C$4</f>
        <v>2020-2021</v>
      </c>
      <c r="D4" s="124"/>
      <c r="E4" s="120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05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80"/>
      <c r="AJ4" s="80"/>
      <c r="AK4" s="80"/>
      <c r="AL4" s="80"/>
      <c r="AM4" s="80"/>
    </row>
    <row r="5" spans="1:39" x14ac:dyDescent="0.25">
      <c r="A5" s="81" t="s">
        <v>392</v>
      </c>
      <c r="B5" s="125"/>
      <c r="C5" s="67" t="s">
        <v>619</v>
      </c>
      <c r="D5" s="124"/>
      <c r="E5" s="67"/>
      <c r="F5" s="21"/>
      <c r="G5" s="24"/>
      <c r="H5" s="85"/>
      <c r="I5" s="85"/>
      <c r="J5" s="85"/>
      <c r="K5" s="8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06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6"/>
      <c r="AJ5" s="86"/>
      <c r="AK5" s="86"/>
      <c r="AL5" s="86"/>
      <c r="AM5" s="86"/>
    </row>
    <row r="6" spans="1:39" x14ac:dyDescent="0.25">
      <c r="A6" s="81" t="s">
        <v>4</v>
      </c>
      <c r="B6" s="125"/>
      <c r="C6" s="67" t="s">
        <v>364</v>
      </c>
      <c r="D6" s="124"/>
      <c r="E6" s="67"/>
      <c r="F6" s="21"/>
      <c r="G6" s="24"/>
      <c r="H6" s="85"/>
      <c r="I6" s="85"/>
      <c r="J6" s="85"/>
      <c r="K6" s="8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06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86"/>
      <c r="AJ6" s="86"/>
      <c r="AK6" s="86"/>
      <c r="AL6" s="86"/>
      <c r="AM6" s="86"/>
    </row>
    <row r="7" spans="1:39" x14ac:dyDescent="0.25">
      <c r="A7" s="81"/>
      <c r="B7" s="125"/>
      <c r="C7" s="121" t="s">
        <v>630</v>
      </c>
      <c r="D7" s="124"/>
      <c r="E7" s="121"/>
      <c r="F7" s="21"/>
      <c r="G7" s="24"/>
      <c r="H7" s="85"/>
      <c r="I7" s="85"/>
      <c r="J7" s="85"/>
      <c r="K7" s="8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06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86"/>
      <c r="AJ7" s="86"/>
      <c r="AK7" s="86"/>
      <c r="AL7" s="86"/>
      <c r="AM7" s="86"/>
    </row>
    <row r="8" spans="1:39" x14ac:dyDescent="0.25">
      <c r="A8" s="81" t="s">
        <v>378</v>
      </c>
      <c r="B8" s="125"/>
      <c r="C8" s="121" t="s">
        <v>583</v>
      </c>
      <c r="D8" s="124"/>
      <c r="E8" s="121"/>
      <c r="F8" s="22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06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86"/>
      <c r="AJ8" s="86"/>
      <c r="AK8" s="86"/>
      <c r="AL8" s="86"/>
      <c r="AM8" s="86"/>
    </row>
    <row r="9" spans="1:39" x14ac:dyDescent="0.25">
      <c r="A9" s="81" t="s">
        <v>379</v>
      </c>
      <c r="B9" s="125"/>
      <c r="C9" s="121" t="s">
        <v>380</v>
      </c>
      <c r="D9" s="124"/>
      <c r="E9" s="121"/>
      <c r="F9" s="22"/>
      <c r="G9" s="2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06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86"/>
      <c r="AJ9" s="86"/>
      <c r="AK9" s="86"/>
      <c r="AL9" s="86"/>
      <c r="AM9" s="86"/>
    </row>
    <row r="10" spans="1:39" ht="16.5" thickBot="1" x14ac:dyDescent="0.3">
      <c r="A10" s="81" t="s">
        <v>393</v>
      </c>
      <c r="B10" s="117"/>
      <c r="C10" s="81" t="s">
        <v>656</v>
      </c>
      <c r="D10" s="124"/>
      <c r="E10" s="81"/>
      <c r="F10" s="22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06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s="119" customFormat="1" ht="18" customHeight="1" thickBot="1" x14ac:dyDescent="0.35">
      <c r="A12" s="136" t="s">
        <v>6</v>
      </c>
      <c r="B12" s="130" t="s">
        <v>184</v>
      </c>
      <c r="C12" s="292">
        <v>209244</v>
      </c>
      <c r="D12" s="136"/>
      <c r="E12" s="272">
        <f>C12</f>
        <v>209244</v>
      </c>
      <c r="F12" s="221">
        <f>SUM(H12:AK12)</f>
        <v>209243.99999999997</v>
      </c>
      <c r="G12" s="221">
        <f>E12-(F12+AL12+AM12)</f>
        <v>0</v>
      </c>
      <c r="H12" s="213"/>
      <c r="I12" s="214"/>
      <c r="J12" s="214"/>
      <c r="K12" s="214"/>
      <c r="L12" s="214"/>
      <c r="M12" s="223">
        <v>5838.87</v>
      </c>
      <c r="N12" s="214">
        <v>944.28</v>
      </c>
      <c r="O12" s="214">
        <v>944.64</v>
      </c>
      <c r="P12" s="303">
        <v>80479.34</v>
      </c>
      <c r="Q12" s="214">
        <v>48051.040000000001</v>
      </c>
      <c r="R12" s="214">
        <v>20427.07</v>
      </c>
      <c r="S12" s="214">
        <f>20431.67+20426.06</f>
        <v>40857.729999999996</v>
      </c>
      <c r="T12" s="214">
        <v>10227.17</v>
      </c>
      <c r="U12" s="214"/>
      <c r="V12" s="214">
        <v>1473.86</v>
      </c>
      <c r="W12" s="214"/>
      <c r="X12" s="309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6"/>
      <c r="AJ12" s="216"/>
      <c r="AK12" s="216"/>
      <c r="AL12" s="216"/>
      <c r="AM12" s="216"/>
    </row>
    <row r="13" spans="1:39" s="119" customFormat="1" ht="18" customHeight="1" thickBot="1" x14ac:dyDescent="0.35">
      <c r="A13" s="136" t="s">
        <v>7</v>
      </c>
      <c r="B13" s="130" t="s">
        <v>185</v>
      </c>
      <c r="C13" s="292">
        <v>523185</v>
      </c>
      <c r="D13" s="136"/>
      <c r="E13" s="272">
        <f t="shared" ref="E13:E15" si="0">C13</f>
        <v>523185</v>
      </c>
      <c r="F13" s="221">
        <f t="shared" ref="F13:F76" si="1">SUM(H13:AK13)</f>
        <v>523185</v>
      </c>
      <c r="G13" s="221">
        <f t="shared" ref="G13:G76" si="2">E13-(F13+AL13+AM13)</f>
        <v>0</v>
      </c>
      <c r="H13" s="213"/>
      <c r="I13" s="214"/>
      <c r="J13" s="214"/>
      <c r="K13" s="214"/>
      <c r="L13" s="214"/>
      <c r="M13" s="214">
        <v>19523.900000000001</v>
      </c>
      <c r="N13" s="214">
        <v>43597.38</v>
      </c>
      <c r="O13" s="214">
        <v>39749.5</v>
      </c>
      <c r="P13" s="214">
        <v>42414.84</v>
      </c>
      <c r="Q13" s="214"/>
      <c r="R13" s="214">
        <f>36886.82+43211.76</f>
        <v>80098.58</v>
      </c>
      <c r="S13" s="214">
        <v>47276.74</v>
      </c>
      <c r="T13" s="214">
        <v>52014.53</v>
      </c>
      <c r="U13" s="214">
        <v>49619.35</v>
      </c>
      <c r="V13" s="214"/>
      <c r="W13" s="214"/>
      <c r="X13" s="309">
        <v>132765.67000000001</v>
      </c>
      <c r="Y13" s="214">
        <v>16124.51</v>
      </c>
      <c r="Z13" s="214"/>
      <c r="AA13" s="214"/>
      <c r="AB13" s="214"/>
      <c r="AC13" s="214"/>
      <c r="AD13" s="214"/>
      <c r="AE13" s="214"/>
      <c r="AF13" s="214"/>
      <c r="AG13" s="214"/>
      <c r="AH13" s="214"/>
      <c r="AI13" s="216"/>
      <c r="AJ13" s="216"/>
      <c r="AK13" s="216"/>
      <c r="AL13" s="216"/>
      <c r="AM13" s="216"/>
    </row>
    <row r="14" spans="1:39" s="119" customFormat="1" ht="18" customHeight="1" thickBot="1" x14ac:dyDescent="0.35">
      <c r="A14" s="136" t="s">
        <v>8</v>
      </c>
      <c r="B14" s="130" t="s">
        <v>186</v>
      </c>
      <c r="C14" s="292">
        <v>229398</v>
      </c>
      <c r="D14" s="136"/>
      <c r="E14" s="272">
        <f t="shared" si="0"/>
        <v>229398</v>
      </c>
      <c r="F14" s="221">
        <f t="shared" si="1"/>
        <v>229398.00000000003</v>
      </c>
      <c r="G14" s="221">
        <f t="shared" si="2"/>
        <v>0</v>
      </c>
      <c r="H14" s="213"/>
      <c r="I14" s="214"/>
      <c r="J14" s="214"/>
      <c r="K14" s="214"/>
      <c r="L14" s="214">
        <v>60059.56</v>
      </c>
      <c r="M14" s="214">
        <v>18062.77</v>
      </c>
      <c r="N14" s="214"/>
      <c r="O14" s="214">
        <f>21139.62+15557.61</f>
        <v>36697.229999999996</v>
      </c>
      <c r="P14" s="214">
        <v>15557.6</v>
      </c>
      <c r="Q14" s="214">
        <v>15557.61</v>
      </c>
      <c r="R14" s="214">
        <v>32709.18</v>
      </c>
      <c r="S14" s="214">
        <v>17810.32</v>
      </c>
      <c r="T14" s="214"/>
      <c r="U14" s="214">
        <v>15285.78</v>
      </c>
      <c r="V14" s="214"/>
      <c r="W14" s="214"/>
      <c r="X14" s="309"/>
      <c r="Y14" s="214">
        <v>17657.95</v>
      </c>
      <c r="Z14" s="214"/>
      <c r="AA14" s="214"/>
      <c r="AB14" s="214"/>
      <c r="AC14" s="214"/>
      <c r="AD14" s="214"/>
      <c r="AE14" s="214"/>
      <c r="AF14" s="214"/>
      <c r="AG14" s="214"/>
      <c r="AH14" s="214"/>
      <c r="AI14" s="216"/>
      <c r="AJ14" s="216"/>
      <c r="AK14" s="216"/>
      <c r="AL14" s="216"/>
      <c r="AM14" s="216"/>
    </row>
    <row r="15" spans="1:39" s="119" customFormat="1" ht="18" customHeight="1" thickBot="1" x14ac:dyDescent="0.35">
      <c r="A15" s="136" t="s">
        <v>9</v>
      </c>
      <c r="B15" s="130" t="s">
        <v>187</v>
      </c>
      <c r="C15" s="292">
        <v>204186</v>
      </c>
      <c r="D15" s="136"/>
      <c r="E15" s="272">
        <f t="shared" si="0"/>
        <v>204186</v>
      </c>
      <c r="F15" s="221">
        <f t="shared" si="1"/>
        <v>203031.43</v>
      </c>
      <c r="G15" s="221">
        <f t="shared" si="2"/>
        <v>1154.570000000007</v>
      </c>
      <c r="H15" s="213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>
        <v>15930.4</v>
      </c>
      <c r="W15" s="214">
        <v>26445</v>
      </c>
      <c r="X15" s="309"/>
      <c r="Y15" s="214">
        <v>18026</v>
      </c>
      <c r="Z15" s="214"/>
      <c r="AA15" s="214"/>
      <c r="AB15" s="214">
        <v>31497</v>
      </c>
      <c r="AC15" s="214"/>
      <c r="AD15" s="214">
        <v>18426.43</v>
      </c>
      <c r="AE15" s="214"/>
      <c r="AF15" s="214">
        <v>65233.23</v>
      </c>
      <c r="AG15" s="214"/>
      <c r="AH15" s="214">
        <f>7139.59+20333.78</f>
        <v>27473.37</v>
      </c>
      <c r="AI15" s="216"/>
      <c r="AJ15" s="216"/>
      <c r="AK15" s="216"/>
      <c r="AL15" s="216"/>
      <c r="AM15" s="216"/>
    </row>
    <row r="16" spans="1:39" s="119" customFormat="1" ht="18" customHeight="1" thickBot="1" x14ac:dyDescent="0.35">
      <c r="A16" s="136" t="s">
        <v>10</v>
      </c>
      <c r="B16" s="130" t="s">
        <v>188</v>
      </c>
      <c r="C16" s="292">
        <v>12153</v>
      </c>
      <c r="D16" s="283">
        <v>9025</v>
      </c>
      <c r="E16" s="272">
        <v>0</v>
      </c>
      <c r="F16" s="221">
        <f t="shared" si="1"/>
        <v>0</v>
      </c>
      <c r="G16" s="221">
        <f t="shared" si="2"/>
        <v>0</v>
      </c>
      <c r="H16" s="213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309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6"/>
      <c r="AJ16" s="216"/>
      <c r="AK16" s="216"/>
      <c r="AL16" s="216"/>
      <c r="AM16" s="216"/>
    </row>
    <row r="17" spans="1:39" s="119" customFormat="1" ht="18" customHeight="1" thickBot="1" x14ac:dyDescent="0.35">
      <c r="A17" s="136" t="s">
        <v>11</v>
      </c>
      <c r="B17" s="130" t="s">
        <v>189</v>
      </c>
      <c r="C17" s="292">
        <v>7473</v>
      </c>
      <c r="D17" s="283">
        <v>9025</v>
      </c>
      <c r="E17" s="272">
        <v>0</v>
      </c>
      <c r="F17" s="221">
        <f t="shared" si="1"/>
        <v>0</v>
      </c>
      <c r="G17" s="221">
        <f t="shared" si="2"/>
        <v>0</v>
      </c>
      <c r="H17" s="213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309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6"/>
      <c r="AJ17" s="216"/>
      <c r="AK17" s="216"/>
      <c r="AL17" s="216"/>
      <c r="AM17" s="216"/>
    </row>
    <row r="18" spans="1:39" s="119" customFormat="1" ht="18" customHeight="1" thickBot="1" x14ac:dyDescent="0.35">
      <c r="A18" s="136" t="s">
        <v>12</v>
      </c>
      <c r="B18" s="130" t="s">
        <v>190</v>
      </c>
      <c r="C18" s="292">
        <v>229625</v>
      </c>
      <c r="D18" s="136"/>
      <c r="E18" s="272">
        <f>C18</f>
        <v>229625</v>
      </c>
      <c r="F18" s="221">
        <f t="shared" si="1"/>
        <v>229625</v>
      </c>
      <c r="G18" s="221">
        <f t="shared" si="2"/>
        <v>0</v>
      </c>
      <c r="H18" s="213"/>
      <c r="I18" s="214"/>
      <c r="J18" s="214"/>
      <c r="K18" s="214"/>
      <c r="L18" s="214"/>
      <c r="M18" s="214"/>
      <c r="N18" s="214"/>
      <c r="O18" s="214"/>
      <c r="P18" s="214"/>
      <c r="Q18" s="214">
        <v>5778.58</v>
      </c>
      <c r="R18" s="214">
        <f>13591.41+58319.64</f>
        <v>71911.05</v>
      </c>
      <c r="S18" s="214">
        <v>32040.62</v>
      </c>
      <c r="T18" s="214">
        <v>9594.56</v>
      </c>
      <c r="U18" s="214"/>
      <c r="V18" s="214">
        <v>21779.439999999999</v>
      </c>
      <c r="W18" s="214">
        <v>29930.39</v>
      </c>
      <c r="X18" s="309">
        <v>15424.94</v>
      </c>
      <c r="Y18" s="214">
        <v>21107.93</v>
      </c>
      <c r="Z18" s="214">
        <v>14704.91</v>
      </c>
      <c r="AA18" s="214">
        <v>7352.58</v>
      </c>
      <c r="AB18" s="214"/>
      <c r="AC18" s="214"/>
      <c r="AD18" s="214"/>
      <c r="AE18" s="214"/>
      <c r="AF18" s="214"/>
      <c r="AG18" s="214"/>
      <c r="AH18" s="214"/>
      <c r="AI18" s="216"/>
      <c r="AJ18" s="216"/>
      <c r="AK18" s="216"/>
      <c r="AL18" s="216"/>
      <c r="AM18" s="216"/>
    </row>
    <row r="19" spans="1:39" s="119" customFormat="1" ht="18" customHeight="1" thickBot="1" x14ac:dyDescent="0.35">
      <c r="A19" s="136" t="s">
        <v>13</v>
      </c>
      <c r="B19" s="130" t="s">
        <v>191</v>
      </c>
      <c r="C19" s="292">
        <v>25665</v>
      </c>
      <c r="D19" s="136"/>
      <c r="E19" s="272">
        <f>C19</f>
        <v>25665</v>
      </c>
      <c r="F19" s="221">
        <f t="shared" si="1"/>
        <v>20826.949999999997</v>
      </c>
      <c r="G19" s="221">
        <f t="shared" si="2"/>
        <v>4838.0500000000029</v>
      </c>
      <c r="H19" s="213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>
        <v>7403.66</v>
      </c>
      <c r="T19" s="214">
        <v>1527.21</v>
      </c>
      <c r="U19" s="214">
        <v>543.91999999999996</v>
      </c>
      <c r="V19" s="214">
        <v>543.98</v>
      </c>
      <c r="W19" s="214"/>
      <c r="X19" s="309"/>
      <c r="Y19" s="214">
        <v>962.16</v>
      </c>
      <c r="Z19" s="214">
        <f>4817.01+192.83</f>
        <v>5009.84</v>
      </c>
      <c r="AA19" s="214"/>
      <c r="AB19" s="214">
        <v>323.74</v>
      </c>
      <c r="AC19" s="214">
        <v>451.96</v>
      </c>
      <c r="AD19" s="214">
        <v>2775.52</v>
      </c>
      <c r="AE19" s="214">
        <v>1284.96</v>
      </c>
      <c r="AF19" s="214"/>
      <c r="AG19" s="214"/>
      <c r="AH19" s="214"/>
      <c r="AI19" s="216"/>
      <c r="AJ19" s="216"/>
      <c r="AK19" s="216"/>
      <c r="AL19" s="216"/>
      <c r="AM19" s="216"/>
    </row>
    <row r="20" spans="1:39" s="119" customFormat="1" ht="18" customHeight="1" thickBot="1" x14ac:dyDescent="0.35">
      <c r="A20" s="136" t="s">
        <v>14</v>
      </c>
      <c r="B20" s="130" t="s">
        <v>192</v>
      </c>
      <c r="C20" s="292">
        <v>1359</v>
      </c>
      <c r="D20" s="283">
        <v>9055</v>
      </c>
      <c r="E20" s="272">
        <v>0</v>
      </c>
      <c r="F20" s="221">
        <f t="shared" si="1"/>
        <v>0</v>
      </c>
      <c r="G20" s="221">
        <f t="shared" si="2"/>
        <v>0</v>
      </c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309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6"/>
      <c r="AJ20" s="216"/>
      <c r="AK20" s="216"/>
      <c r="AL20" s="216"/>
      <c r="AM20" s="216"/>
    </row>
    <row r="21" spans="1:39" s="119" customFormat="1" ht="18" customHeight="1" thickBot="1" x14ac:dyDescent="0.35">
      <c r="A21" s="136" t="s">
        <v>15</v>
      </c>
      <c r="B21" s="130" t="s">
        <v>193</v>
      </c>
      <c r="C21" s="292">
        <v>18267</v>
      </c>
      <c r="D21" s="136"/>
      <c r="E21" s="272">
        <f>C21</f>
        <v>18267</v>
      </c>
      <c r="F21" s="221">
        <f t="shared" si="1"/>
        <v>18267</v>
      </c>
      <c r="G21" s="221">
        <f t="shared" si="2"/>
        <v>0</v>
      </c>
      <c r="H21" s="213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>
        <v>1567</v>
      </c>
      <c r="T21" s="214">
        <v>8652</v>
      </c>
      <c r="U21" s="214"/>
      <c r="V21" s="214">
        <v>589</v>
      </c>
      <c r="W21" s="214"/>
      <c r="X21" s="309"/>
      <c r="Y21" s="214">
        <v>4781</v>
      </c>
      <c r="Z21" s="214">
        <v>1597.22</v>
      </c>
      <c r="AA21" s="214">
        <v>1080.78</v>
      </c>
      <c r="AB21" s="214"/>
      <c r="AC21" s="214"/>
      <c r="AD21" s="214"/>
      <c r="AE21" s="214"/>
      <c r="AF21" s="214"/>
      <c r="AG21" s="214"/>
      <c r="AH21" s="214"/>
      <c r="AI21" s="216"/>
      <c r="AJ21" s="216"/>
      <c r="AK21" s="216"/>
      <c r="AL21" s="216"/>
      <c r="AM21" s="216"/>
    </row>
    <row r="22" spans="1:39" s="119" customFormat="1" ht="18" customHeight="1" thickBot="1" x14ac:dyDescent="0.35">
      <c r="A22" s="136" t="s">
        <v>16</v>
      </c>
      <c r="B22" s="130" t="s">
        <v>194</v>
      </c>
      <c r="C22" s="292">
        <v>29590</v>
      </c>
      <c r="D22" s="136"/>
      <c r="E22" s="272">
        <f t="shared" ref="E22:E24" si="3">C22</f>
        <v>29590</v>
      </c>
      <c r="F22" s="221">
        <f t="shared" si="1"/>
        <v>29589.999999999996</v>
      </c>
      <c r="G22" s="221">
        <f t="shared" si="2"/>
        <v>0</v>
      </c>
      <c r="H22" s="213"/>
      <c r="I22" s="214"/>
      <c r="J22" s="214"/>
      <c r="K22" s="214"/>
      <c r="L22" s="214"/>
      <c r="M22" s="214"/>
      <c r="N22" s="214">
        <v>17312.91</v>
      </c>
      <c r="O22" s="214"/>
      <c r="P22" s="214"/>
      <c r="Q22" s="214">
        <v>9793.9699999999993</v>
      </c>
      <c r="R22" s="214"/>
      <c r="S22" s="214">
        <v>2483.12</v>
      </c>
      <c r="T22" s="214"/>
      <c r="U22" s="214"/>
      <c r="V22" s="214"/>
      <c r="W22" s="214"/>
      <c r="X22" s="309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6"/>
      <c r="AJ22" s="216"/>
      <c r="AK22" s="216"/>
      <c r="AL22" s="216"/>
      <c r="AM22" s="216"/>
    </row>
    <row r="23" spans="1:39" s="119" customFormat="1" ht="18" customHeight="1" thickBot="1" x14ac:dyDescent="0.35">
      <c r="A23" s="136" t="s">
        <v>17</v>
      </c>
      <c r="B23" s="130" t="s">
        <v>195</v>
      </c>
      <c r="C23" s="292">
        <v>492010</v>
      </c>
      <c r="D23" s="136"/>
      <c r="E23" s="272">
        <f t="shared" si="3"/>
        <v>492010</v>
      </c>
      <c r="F23" s="221">
        <f t="shared" si="1"/>
        <v>492010</v>
      </c>
      <c r="G23" s="221">
        <f t="shared" si="2"/>
        <v>0</v>
      </c>
      <c r="H23" s="213"/>
      <c r="I23" s="214"/>
      <c r="J23" s="214"/>
      <c r="K23" s="214"/>
      <c r="L23" s="214"/>
      <c r="M23" s="216"/>
      <c r="N23" s="214"/>
      <c r="O23" s="214"/>
      <c r="P23" s="214"/>
      <c r="Q23" s="214">
        <v>26213.64</v>
      </c>
      <c r="R23" s="214">
        <v>35398.46</v>
      </c>
      <c r="S23" s="214">
        <v>39270.269999999997</v>
      </c>
      <c r="T23" s="214">
        <v>45934.17</v>
      </c>
      <c r="U23" s="214"/>
      <c r="V23" s="214">
        <v>62649.37</v>
      </c>
      <c r="W23" s="214"/>
      <c r="X23" s="309"/>
      <c r="Y23" s="214"/>
      <c r="Z23" s="214"/>
      <c r="AA23" s="214"/>
      <c r="AB23" s="214"/>
      <c r="AC23" s="214"/>
      <c r="AD23" s="214"/>
      <c r="AE23" s="214"/>
      <c r="AF23" s="214">
        <v>282544.09000000003</v>
      </c>
      <c r="AG23" s="214"/>
      <c r="AH23" s="214"/>
      <c r="AI23" s="216"/>
      <c r="AJ23" s="216"/>
      <c r="AK23" s="216"/>
      <c r="AL23" s="216"/>
      <c r="AM23" s="216"/>
    </row>
    <row r="24" spans="1:39" s="119" customFormat="1" ht="18" customHeight="1" thickBot="1" x14ac:dyDescent="0.35">
      <c r="A24" s="136" t="s">
        <v>18</v>
      </c>
      <c r="B24" s="130" t="s">
        <v>196</v>
      </c>
      <c r="C24" s="292">
        <v>47706</v>
      </c>
      <c r="D24" s="136"/>
      <c r="E24" s="272">
        <f t="shared" si="3"/>
        <v>47706</v>
      </c>
      <c r="F24" s="221">
        <f t="shared" si="1"/>
        <v>47706</v>
      </c>
      <c r="G24" s="221">
        <f t="shared" si="2"/>
        <v>0</v>
      </c>
      <c r="H24" s="213"/>
      <c r="I24" s="214"/>
      <c r="J24" s="214"/>
      <c r="K24" s="214">
        <v>5728.3</v>
      </c>
      <c r="L24" s="214">
        <v>5374.85</v>
      </c>
      <c r="M24" s="214">
        <v>1874.76</v>
      </c>
      <c r="N24" s="214">
        <v>2815.51</v>
      </c>
      <c r="O24" s="214">
        <v>6690.51</v>
      </c>
      <c r="P24" s="214">
        <v>2815.51</v>
      </c>
      <c r="Q24" s="214">
        <v>2815.52</v>
      </c>
      <c r="R24" s="214">
        <v>3112.67</v>
      </c>
      <c r="S24" s="214">
        <v>3864.87</v>
      </c>
      <c r="T24" s="214"/>
      <c r="U24" s="214"/>
      <c r="V24" s="214">
        <v>8843.7999999999993</v>
      </c>
      <c r="W24" s="214">
        <v>3769.7</v>
      </c>
      <c r="X24" s="309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6"/>
      <c r="AJ24" s="216"/>
      <c r="AK24" s="216"/>
      <c r="AL24" s="216"/>
      <c r="AM24" s="216"/>
    </row>
    <row r="25" spans="1:39" s="119" customFormat="1" ht="18" customHeight="1" thickBot="1" x14ac:dyDescent="0.35">
      <c r="A25" s="136" t="s">
        <v>19</v>
      </c>
      <c r="B25" s="130" t="s">
        <v>197</v>
      </c>
      <c r="C25" s="292">
        <v>3397</v>
      </c>
      <c r="D25" s="283">
        <v>9025</v>
      </c>
      <c r="E25" s="272">
        <v>0</v>
      </c>
      <c r="F25" s="221">
        <f t="shared" si="1"/>
        <v>0</v>
      </c>
      <c r="G25" s="221">
        <f t="shared" si="2"/>
        <v>0</v>
      </c>
      <c r="H25" s="213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309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6"/>
      <c r="AJ25" s="216"/>
      <c r="AK25" s="216"/>
      <c r="AL25" s="216"/>
      <c r="AM25" s="216"/>
    </row>
    <row r="26" spans="1:39" s="119" customFormat="1" ht="18" customHeight="1" thickBot="1" x14ac:dyDescent="0.35">
      <c r="A26" s="136" t="s">
        <v>20</v>
      </c>
      <c r="B26" s="130" t="s">
        <v>198</v>
      </c>
      <c r="C26" s="292">
        <v>1203001</v>
      </c>
      <c r="D26" s="136"/>
      <c r="E26" s="272">
        <f>C26</f>
        <v>1203001</v>
      </c>
      <c r="F26" s="221">
        <f t="shared" si="1"/>
        <v>1203001</v>
      </c>
      <c r="G26" s="221">
        <f t="shared" si="2"/>
        <v>0</v>
      </c>
      <c r="H26" s="213"/>
      <c r="I26" s="214"/>
      <c r="J26" s="214"/>
      <c r="K26" s="214"/>
      <c r="L26" s="214"/>
      <c r="M26" s="214">
        <v>201640.15</v>
      </c>
      <c r="N26" s="214"/>
      <c r="O26" s="214">
        <v>242035.31</v>
      </c>
      <c r="P26" s="214">
        <v>120316.19</v>
      </c>
      <c r="Q26" s="214">
        <v>109828.81</v>
      </c>
      <c r="R26" s="214">
        <v>109778.95</v>
      </c>
      <c r="S26" s="214">
        <v>125746.17</v>
      </c>
      <c r="T26" s="214"/>
      <c r="U26" s="214"/>
      <c r="V26" s="214"/>
      <c r="W26" s="214">
        <f>152536.39+141119.03</f>
        <v>293655.42000000004</v>
      </c>
      <c r="X26" s="309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6"/>
      <c r="AJ26" s="216"/>
      <c r="AK26" s="216"/>
      <c r="AL26" s="216"/>
      <c r="AM26" s="216"/>
    </row>
    <row r="27" spans="1:39" s="119" customFormat="1" ht="18" customHeight="1" thickBot="1" x14ac:dyDescent="0.35">
      <c r="A27" s="136" t="s">
        <v>21</v>
      </c>
      <c r="B27" s="130" t="s">
        <v>199</v>
      </c>
      <c r="C27" s="292">
        <v>7171</v>
      </c>
      <c r="D27" s="283" t="s">
        <v>370</v>
      </c>
      <c r="E27" s="272">
        <v>0</v>
      </c>
      <c r="F27" s="221">
        <f t="shared" si="1"/>
        <v>0</v>
      </c>
      <c r="G27" s="221">
        <f t="shared" si="2"/>
        <v>0</v>
      </c>
      <c r="H27" s="213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309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6"/>
      <c r="AJ27" s="216"/>
      <c r="AK27" s="216"/>
      <c r="AL27" s="216"/>
      <c r="AM27" s="216"/>
    </row>
    <row r="28" spans="1:39" s="119" customFormat="1" ht="18" customHeight="1" thickBot="1" x14ac:dyDescent="0.35">
      <c r="A28" s="136" t="s">
        <v>22</v>
      </c>
      <c r="B28" s="130" t="s">
        <v>200</v>
      </c>
      <c r="C28" s="292">
        <v>6039</v>
      </c>
      <c r="D28" s="136"/>
      <c r="E28" s="272">
        <f>C28+C162</f>
        <v>14946</v>
      </c>
      <c r="F28" s="221">
        <f t="shared" si="1"/>
        <v>12919.74</v>
      </c>
      <c r="G28" s="221">
        <f t="shared" si="2"/>
        <v>2026.2600000000002</v>
      </c>
      <c r="H28" s="213"/>
      <c r="I28" s="214"/>
      <c r="J28" s="214"/>
      <c r="K28" s="214"/>
      <c r="L28" s="214"/>
      <c r="M28" s="214">
        <v>583.05999999999995</v>
      </c>
      <c r="N28" s="214">
        <v>292.41000000000003</v>
      </c>
      <c r="O28" s="214">
        <v>291.72000000000003</v>
      </c>
      <c r="P28" s="214"/>
      <c r="Q28" s="214"/>
      <c r="R28" s="214">
        <v>398.55</v>
      </c>
      <c r="S28" s="214"/>
      <c r="T28" s="214">
        <v>6671.42</v>
      </c>
      <c r="U28" s="214">
        <v>4682.58</v>
      </c>
      <c r="V28" s="214"/>
      <c r="W28" s="214"/>
      <c r="X28" s="309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6"/>
      <c r="AJ28" s="216"/>
      <c r="AK28" s="216"/>
      <c r="AL28" s="216"/>
      <c r="AM28" s="216"/>
    </row>
    <row r="29" spans="1:39" s="119" customFormat="1" ht="18" customHeight="1" thickBot="1" x14ac:dyDescent="0.35">
      <c r="A29" s="136" t="s">
        <v>23</v>
      </c>
      <c r="B29" s="130" t="s">
        <v>201</v>
      </c>
      <c r="C29" s="292">
        <v>0</v>
      </c>
      <c r="D29" s="136"/>
      <c r="E29" s="272">
        <v>0</v>
      </c>
      <c r="F29" s="221">
        <f t="shared" si="1"/>
        <v>0</v>
      </c>
      <c r="G29" s="221">
        <f t="shared" si="2"/>
        <v>0</v>
      </c>
      <c r="H29" s="213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309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6"/>
      <c r="AJ29" s="216"/>
      <c r="AK29" s="216"/>
      <c r="AL29" s="216"/>
      <c r="AM29" s="216"/>
    </row>
    <row r="30" spans="1:39" s="119" customFormat="1" ht="18" customHeight="1" thickBot="1" x14ac:dyDescent="0.35">
      <c r="A30" s="136" t="s">
        <v>24</v>
      </c>
      <c r="B30" s="130" t="s">
        <v>202</v>
      </c>
      <c r="C30" s="292">
        <v>0</v>
      </c>
      <c r="D30" s="273"/>
      <c r="E30" s="272">
        <v>0</v>
      </c>
      <c r="F30" s="221">
        <f t="shared" si="1"/>
        <v>0</v>
      </c>
      <c r="G30" s="221">
        <f t="shared" si="2"/>
        <v>0</v>
      </c>
      <c r="H30" s="213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309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6"/>
      <c r="AJ30" s="216"/>
      <c r="AK30" s="216"/>
      <c r="AL30" s="216"/>
      <c r="AM30" s="216"/>
    </row>
    <row r="31" spans="1:39" s="119" customFormat="1" ht="18" customHeight="1" thickBot="1" x14ac:dyDescent="0.35">
      <c r="A31" s="136" t="s">
        <v>25</v>
      </c>
      <c r="B31" s="130" t="s">
        <v>203</v>
      </c>
      <c r="C31" s="292">
        <v>0</v>
      </c>
      <c r="D31" s="273"/>
      <c r="E31" s="272">
        <v>0</v>
      </c>
      <c r="F31" s="221">
        <f t="shared" si="1"/>
        <v>0</v>
      </c>
      <c r="G31" s="221">
        <f t="shared" si="2"/>
        <v>0</v>
      </c>
      <c r="H31" s="213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309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6"/>
      <c r="AJ31" s="216"/>
      <c r="AK31" s="216"/>
      <c r="AL31" s="216"/>
      <c r="AM31" s="216"/>
    </row>
    <row r="32" spans="1:39" s="119" customFormat="1" ht="18" customHeight="1" thickBot="1" x14ac:dyDescent="0.35">
      <c r="A32" s="136" t="s">
        <v>26</v>
      </c>
      <c r="B32" s="130" t="s">
        <v>204</v>
      </c>
      <c r="C32" s="292">
        <v>453</v>
      </c>
      <c r="D32" s="273" t="s">
        <v>608</v>
      </c>
      <c r="E32" s="272">
        <v>0</v>
      </c>
      <c r="F32" s="221">
        <f t="shared" si="1"/>
        <v>0</v>
      </c>
      <c r="G32" s="221">
        <f t="shared" si="2"/>
        <v>0</v>
      </c>
      <c r="H32" s="213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309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6"/>
      <c r="AJ32" s="216"/>
      <c r="AK32" s="216"/>
      <c r="AL32" s="216"/>
      <c r="AM32" s="216"/>
    </row>
    <row r="33" spans="1:39" s="119" customFormat="1" ht="18" customHeight="1" thickBot="1" x14ac:dyDescent="0.35">
      <c r="A33" s="136" t="s">
        <v>27</v>
      </c>
      <c r="B33" s="130" t="s">
        <v>205</v>
      </c>
      <c r="C33" s="292">
        <v>0</v>
      </c>
      <c r="D33" s="136"/>
      <c r="E33" s="272">
        <v>0</v>
      </c>
      <c r="F33" s="221">
        <f t="shared" si="1"/>
        <v>0</v>
      </c>
      <c r="G33" s="221">
        <f t="shared" si="2"/>
        <v>0</v>
      </c>
      <c r="H33" s="213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309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6"/>
      <c r="AJ33" s="216"/>
      <c r="AK33" s="216"/>
      <c r="AL33" s="216"/>
      <c r="AM33" s="216"/>
    </row>
    <row r="34" spans="1:39" s="119" customFormat="1" ht="18" customHeight="1" thickBot="1" x14ac:dyDescent="0.35">
      <c r="A34" s="136" t="s">
        <v>28</v>
      </c>
      <c r="B34" s="130" t="s">
        <v>206</v>
      </c>
      <c r="C34" s="292">
        <v>906</v>
      </c>
      <c r="D34" s="283" t="s">
        <v>401</v>
      </c>
      <c r="E34" s="272">
        <v>0</v>
      </c>
      <c r="F34" s="221">
        <f t="shared" si="1"/>
        <v>0</v>
      </c>
      <c r="G34" s="221">
        <f t="shared" si="2"/>
        <v>0</v>
      </c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309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6"/>
      <c r="AJ34" s="216"/>
      <c r="AK34" s="216"/>
      <c r="AL34" s="216"/>
      <c r="AM34" s="216"/>
    </row>
    <row r="35" spans="1:39" s="119" customFormat="1" ht="18" customHeight="1" thickBot="1" x14ac:dyDescent="0.35">
      <c r="A35" s="136" t="s">
        <v>29</v>
      </c>
      <c r="B35" s="130" t="s">
        <v>207</v>
      </c>
      <c r="C35" s="292">
        <v>1208</v>
      </c>
      <c r="D35" s="283" t="s">
        <v>401</v>
      </c>
      <c r="E35" s="272">
        <v>0</v>
      </c>
      <c r="F35" s="221">
        <f t="shared" si="1"/>
        <v>0</v>
      </c>
      <c r="G35" s="221">
        <f t="shared" si="2"/>
        <v>0</v>
      </c>
      <c r="H35" s="213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309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6"/>
      <c r="AJ35" s="216"/>
      <c r="AK35" s="216"/>
      <c r="AL35" s="216"/>
      <c r="AM35" s="216"/>
    </row>
    <row r="36" spans="1:39" s="119" customFormat="1" ht="18" customHeight="1" thickBot="1" x14ac:dyDescent="0.35">
      <c r="A36" s="136" t="s">
        <v>30</v>
      </c>
      <c r="B36" s="130" t="s">
        <v>208</v>
      </c>
      <c r="C36" s="292">
        <v>309261</v>
      </c>
      <c r="D36" s="136"/>
      <c r="E36" s="272">
        <f>C36</f>
        <v>309261</v>
      </c>
      <c r="F36" s="221">
        <f t="shared" si="1"/>
        <v>309261</v>
      </c>
      <c r="G36" s="221">
        <f t="shared" si="2"/>
        <v>0</v>
      </c>
      <c r="H36" s="213"/>
      <c r="I36" s="214"/>
      <c r="J36" s="214"/>
      <c r="K36" s="214"/>
      <c r="L36" s="214"/>
      <c r="M36" s="214"/>
      <c r="N36" s="214">
        <v>88727.61</v>
      </c>
      <c r="O36" s="214"/>
      <c r="P36" s="214"/>
      <c r="Q36" s="214"/>
      <c r="R36" s="214">
        <v>82830.600000000006</v>
      </c>
      <c r="S36" s="214">
        <v>20653.919999999998</v>
      </c>
      <c r="T36" s="214"/>
      <c r="U36" s="214">
        <v>44141.72</v>
      </c>
      <c r="V36" s="214"/>
      <c r="W36" s="214">
        <v>25057.86</v>
      </c>
      <c r="X36" s="309"/>
      <c r="Y36" s="214">
        <v>47849.29</v>
      </c>
      <c r="Z36" s="214"/>
      <c r="AA36" s="214"/>
      <c r="AB36" s="214"/>
      <c r="AC36" s="214"/>
      <c r="AD36" s="214"/>
      <c r="AE36" s="214"/>
      <c r="AF36" s="214"/>
      <c r="AG36" s="214"/>
      <c r="AH36" s="214"/>
      <c r="AI36" s="216"/>
      <c r="AJ36" s="216"/>
      <c r="AK36" s="216"/>
      <c r="AL36" s="216"/>
      <c r="AM36" s="216"/>
    </row>
    <row r="37" spans="1:39" s="119" customFormat="1" ht="18" customHeight="1" thickBot="1" x14ac:dyDescent="0.35">
      <c r="A37" s="136" t="s">
        <v>31</v>
      </c>
      <c r="B37" s="130" t="s">
        <v>209</v>
      </c>
      <c r="C37" s="292">
        <v>213169</v>
      </c>
      <c r="D37" s="136"/>
      <c r="E37" s="272">
        <f>C37</f>
        <v>213169</v>
      </c>
      <c r="F37" s="221">
        <f t="shared" si="1"/>
        <v>213169</v>
      </c>
      <c r="G37" s="221">
        <f t="shared" si="2"/>
        <v>0</v>
      </c>
      <c r="H37" s="213"/>
      <c r="I37" s="214"/>
      <c r="J37" s="214"/>
      <c r="K37" s="214"/>
      <c r="L37" s="214">
        <v>8921.61</v>
      </c>
      <c r="M37" s="214">
        <v>31157.98</v>
      </c>
      <c r="N37" s="214">
        <v>26018.81</v>
      </c>
      <c r="O37" s="214">
        <v>34181.03</v>
      </c>
      <c r="P37" s="214">
        <v>7384.63</v>
      </c>
      <c r="Q37" s="214">
        <v>25261.91</v>
      </c>
      <c r="R37" s="214">
        <v>32939.279999999999</v>
      </c>
      <c r="S37" s="214">
        <v>30071.5</v>
      </c>
      <c r="T37" s="214"/>
      <c r="U37" s="214"/>
      <c r="V37" s="214">
        <v>8168.98</v>
      </c>
      <c r="W37" s="214">
        <v>9063.27</v>
      </c>
      <c r="X37" s="309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6"/>
      <c r="AJ37" s="216"/>
      <c r="AK37" s="216"/>
      <c r="AL37" s="216"/>
      <c r="AM37" s="216"/>
    </row>
    <row r="38" spans="1:39" s="119" customFormat="1" ht="18" customHeight="1" thickBot="1" x14ac:dyDescent="0.35">
      <c r="A38" s="136" t="s">
        <v>32</v>
      </c>
      <c r="B38" s="130" t="s">
        <v>210</v>
      </c>
      <c r="C38" s="292">
        <v>1434</v>
      </c>
      <c r="D38" s="273" t="s">
        <v>608</v>
      </c>
      <c r="E38" s="272">
        <v>0</v>
      </c>
      <c r="F38" s="221">
        <f t="shared" si="1"/>
        <v>0</v>
      </c>
      <c r="G38" s="221">
        <f t="shared" si="2"/>
        <v>0</v>
      </c>
      <c r="H38" s="213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309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6"/>
      <c r="AJ38" s="216"/>
      <c r="AK38" s="216"/>
      <c r="AL38" s="216"/>
      <c r="AM38" s="216"/>
    </row>
    <row r="39" spans="1:39" s="119" customFormat="1" ht="18" customHeight="1" thickBot="1" x14ac:dyDescent="0.35">
      <c r="A39" s="136" t="s">
        <v>33</v>
      </c>
      <c r="B39" s="130" t="s">
        <v>211</v>
      </c>
      <c r="C39" s="292">
        <v>2189</v>
      </c>
      <c r="D39" s="283">
        <v>9055</v>
      </c>
      <c r="E39" s="272">
        <v>0</v>
      </c>
      <c r="F39" s="221">
        <f t="shared" si="1"/>
        <v>0</v>
      </c>
      <c r="G39" s="221">
        <f t="shared" si="2"/>
        <v>0</v>
      </c>
      <c r="H39" s="213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309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6"/>
      <c r="AJ39" s="216"/>
      <c r="AK39" s="216"/>
      <c r="AL39" s="216"/>
      <c r="AM39" s="216"/>
    </row>
    <row r="40" spans="1:39" s="119" customFormat="1" ht="18" customHeight="1" thickBot="1" x14ac:dyDescent="0.35">
      <c r="A40" s="136" t="s">
        <v>34</v>
      </c>
      <c r="B40" s="130" t="s">
        <v>212</v>
      </c>
      <c r="C40" s="292">
        <v>302</v>
      </c>
      <c r="D40" s="283" t="s">
        <v>370</v>
      </c>
      <c r="E40" s="272">
        <v>0</v>
      </c>
      <c r="F40" s="221">
        <f t="shared" si="1"/>
        <v>0</v>
      </c>
      <c r="G40" s="221">
        <f t="shared" si="2"/>
        <v>0</v>
      </c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309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6"/>
      <c r="AJ40" s="216"/>
      <c r="AK40" s="216"/>
      <c r="AL40" s="216"/>
      <c r="AM40" s="216"/>
    </row>
    <row r="41" spans="1:39" s="119" customFormat="1" ht="18" customHeight="1" thickBot="1" x14ac:dyDescent="0.35">
      <c r="A41" s="136" t="s">
        <v>35</v>
      </c>
      <c r="B41" s="130" t="s">
        <v>213</v>
      </c>
      <c r="C41" s="292">
        <v>151</v>
      </c>
      <c r="D41" s="283" t="s">
        <v>370</v>
      </c>
      <c r="E41" s="272">
        <v>0</v>
      </c>
      <c r="F41" s="221">
        <f t="shared" si="1"/>
        <v>0</v>
      </c>
      <c r="G41" s="221">
        <f t="shared" si="2"/>
        <v>0</v>
      </c>
      <c r="H41" s="213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309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6"/>
      <c r="AJ41" s="216"/>
      <c r="AK41" s="216"/>
      <c r="AL41" s="216"/>
      <c r="AM41" s="216"/>
    </row>
    <row r="42" spans="1:39" s="119" customFormat="1" ht="18" customHeight="1" thickBot="1" x14ac:dyDescent="0.35">
      <c r="A42" s="136" t="s">
        <v>36</v>
      </c>
      <c r="B42" s="130" t="s">
        <v>214</v>
      </c>
      <c r="C42" s="292">
        <v>377</v>
      </c>
      <c r="D42" s="273" t="s">
        <v>608</v>
      </c>
      <c r="E42" s="272">
        <v>0</v>
      </c>
      <c r="F42" s="221">
        <f t="shared" si="1"/>
        <v>0</v>
      </c>
      <c r="G42" s="221">
        <f t="shared" si="2"/>
        <v>0</v>
      </c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309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6"/>
      <c r="AJ42" s="216"/>
      <c r="AK42" s="216"/>
      <c r="AL42" s="216"/>
      <c r="AM42" s="216"/>
    </row>
    <row r="43" spans="1:39" s="119" customFormat="1" ht="18" customHeight="1" thickBot="1" x14ac:dyDescent="0.35">
      <c r="A43" s="136" t="s">
        <v>37</v>
      </c>
      <c r="B43" s="130" t="s">
        <v>215</v>
      </c>
      <c r="C43" s="292">
        <v>75</v>
      </c>
      <c r="D43" s="283" t="s">
        <v>400</v>
      </c>
      <c r="E43" s="272">
        <v>0</v>
      </c>
      <c r="F43" s="221">
        <f t="shared" si="1"/>
        <v>0</v>
      </c>
      <c r="G43" s="221">
        <f t="shared" si="2"/>
        <v>0</v>
      </c>
      <c r="H43" s="213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309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6"/>
      <c r="AJ43" s="216"/>
      <c r="AK43" s="216"/>
      <c r="AL43" s="216"/>
      <c r="AM43" s="216"/>
    </row>
    <row r="44" spans="1:39" s="119" customFormat="1" ht="18" customHeight="1" thickBot="1" x14ac:dyDescent="0.35">
      <c r="A44" s="136" t="s">
        <v>38</v>
      </c>
      <c r="B44" s="130" t="s">
        <v>216</v>
      </c>
      <c r="C44" s="292">
        <v>226</v>
      </c>
      <c r="D44" s="283" t="s">
        <v>400</v>
      </c>
      <c r="E44" s="272">
        <v>0</v>
      </c>
      <c r="F44" s="221">
        <f t="shared" si="1"/>
        <v>0</v>
      </c>
      <c r="G44" s="221">
        <f t="shared" si="2"/>
        <v>0</v>
      </c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309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6"/>
      <c r="AJ44" s="216"/>
      <c r="AK44" s="216"/>
      <c r="AL44" s="216"/>
      <c r="AM44" s="216"/>
    </row>
    <row r="45" spans="1:39" s="119" customFormat="1" ht="18" customHeight="1" thickBot="1" x14ac:dyDescent="0.35">
      <c r="A45" s="136" t="s">
        <v>39</v>
      </c>
      <c r="B45" s="130" t="s">
        <v>217</v>
      </c>
      <c r="C45" s="292">
        <v>1208</v>
      </c>
      <c r="D45" s="283" t="s">
        <v>400</v>
      </c>
      <c r="E45" s="272">
        <v>0</v>
      </c>
      <c r="F45" s="221">
        <f t="shared" si="1"/>
        <v>0</v>
      </c>
      <c r="G45" s="221">
        <f t="shared" si="2"/>
        <v>0</v>
      </c>
      <c r="H45" s="213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309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6"/>
      <c r="AJ45" s="216"/>
      <c r="AK45" s="216"/>
      <c r="AL45" s="216"/>
      <c r="AM45" s="216"/>
    </row>
    <row r="46" spans="1:39" s="119" customFormat="1" ht="18" customHeight="1" thickBot="1" x14ac:dyDescent="0.35">
      <c r="A46" s="136" t="s">
        <v>40</v>
      </c>
      <c r="B46" s="130" t="s">
        <v>218</v>
      </c>
      <c r="C46" s="292">
        <v>0</v>
      </c>
      <c r="D46" s="136"/>
      <c r="E46" s="272">
        <v>0</v>
      </c>
      <c r="F46" s="221">
        <f t="shared" si="1"/>
        <v>0</v>
      </c>
      <c r="G46" s="221">
        <f t="shared" si="2"/>
        <v>0</v>
      </c>
      <c r="H46" s="213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309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6"/>
      <c r="AJ46" s="216"/>
      <c r="AK46" s="216"/>
      <c r="AL46" s="216"/>
      <c r="AM46" s="216"/>
    </row>
    <row r="47" spans="1:39" s="119" customFormat="1" ht="18" customHeight="1" thickBot="1" x14ac:dyDescent="0.35">
      <c r="A47" s="136" t="s">
        <v>41</v>
      </c>
      <c r="B47" s="130" t="s">
        <v>219</v>
      </c>
      <c r="C47" s="292">
        <v>2114</v>
      </c>
      <c r="D47" s="283" t="s">
        <v>400</v>
      </c>
      <c r="E47" s="272">
        <v>0</v>
      </c>
      <c r="F47" s="221">
        <f t="shared" si="1"/>
        <v>0</v>
      </c>
      <c r="G47" s="221">
        <f t="shared" si="2"/>
        <v>0</v>
      </c>
      <c r="H47" s="213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309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6"/>
      <c r="AJ47" s="216"/>
      <c r="AK47" s="216"/>
      <c r="AL47" s="216"/>
      <c r="AM47" s="216"/>
    </row>
    <row r="48" spans="1:39" s="119" customFormat="1" ht="18" customHeight="1" thickBot="1" x14ac:dyDescent="0.35">
      <c r="A48" s="136" t="s">
        <v>42</v>
      </c>
      <c r="B48" s="130" t="s">
        <v>220</v>
      </c>
      <c r="C48" s="292">
        <v>75</v>
      </c>
      <c r="D48" s="273" t="s">
        <v>608</v>
      </c>
      <c r="E48" s="272">
        <v>0</v>
      </c>
      <c r="F48" s="221">
        <f t="shared" si="1"/>
        <v>0</v>
      </c>
      <c r="G48" s="221">
        <f t="shared" si="2"/>
        <v>0</v>
      </c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309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6"/>
      <c r="AJ48" s="216"/>
      <c r="AK48" s="216"/>
      <c r="AL48" s="216"/>
      <c r="AM48" s="216"/>
    </row>
    <row r="49" spans="1:39" s="119" customFormat="1" ht="18" customHeight="1" thickBot="1" x14ac:dyDescent="0.35">
      <c r="A49" s="136" t="s">
        <v>43</v>
      </c>
      <c r="B49" s="130" t="s">
        <v>443</v>
      </c>
      <c r="C49" s="292">
        <v>0</v>
      </c>
      <c r="D49" s="136"/>
      <c r="E49" s="272">
        <v>0</v>
      </c>
      <c r="F49" s="221">
        <f t="shared" si="1"/>
        <v>0</v>
      </c>
      <c r="G49" s="221">
        <f t="shared" si="2"/>
        <v>0</v>
      </c>
      <c r="H49" s="213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309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6"/>
      <c r="AJ49" s="216"/>
      <c r="AK49" s="216"/>
      <c r="AL49" s="216"/>
      <c r="AM49" s="216"/>
    </row>
    <row r="50" spans="1:39" s="119" customFormat="1" ht="18" customHeight="1" thickBot="1" x14ac:dyDescent="0.35">
      <c r="A50" s="136" t="s">
        <v>44</v>
      </c>
      <c r="B50" s="130" t="s">
        <v>222</v>
      </c>
      <c r="C50" s="292">
        <v>22796</v>
      </c>
      <c r="D50" s="136"/>
      <c r="E50" s="272">
        <f>C50</f>
        <v>22796</v>
      </c>
      <c r="F50" s="221">
        <f t="shared" si="1"/>
        <v>22796</v>
      </c>
      <c r="G50" s="221">
        <f t="shared" si="2"/>
        <v>0</v>
      </c>
      <c r="H50" s="213"/>
      <c r="I50" s="214"/>
      <c r="J50" s="214"/>
      <c r="K50" s="214"/>
      <c r="L50" s="214">
        <v>2496.5700000000002</v>
      </c>
      <c r="M50" s="214">
        <v>1544.8</v>
      </c>
      <c r="N50" s="214"/>
      <c r="O50" s="214">
        <v>5661.97</v>
      </c>
      <c r="P50" s="214">
        <v>1972</v>
      </c>
      <c r="Q50" s="214">
        <v>1972</v>
      </c>
      <c r="R50" s="214">
        <v>1974.77</v>
      </c>
      <c r="S50" s="214">
        <v>1974.77</v>
      </c>
      <c r="T50" s="214"/>
      <c r="U50" s="214"/>
      <c r="V50" s="214"/>
      <c r="W50" s="214">
        <f>19599.21-17596.88+2002.32</f>
        <v>4004.6499999999978</v>
      </c>
      <c r="X50" s="309"/>
      <c r="Y50" s="214">
        <v>1194.47</v>
      </c>
      <c r="Z50" s="214"/>
      <c r="AA50" s="214"/>
      <c r="AB50" s="214"/>
      <c r="AC50" s="214"/>
      <c r="AD50" s="214"/>
      <c r="AE50" s="214"/>
      <c r="AF50" s="214"/>
      <c r="AG50" s="214"/>
      <c r="AH50" s="214"/>
      <c r="AI50" s="216"/>
      <c r="AJ50" s="216"/>
      <c r="AK50" s="216"/>
      <c r="AL50" s="216"/>
      <c r="AM50" s="216"/>
    </row>
    <row r="51" spans="1:39" s="119" customFormat="1" ht="18" customHeight="1" thickBot="1" x14ac:dyDescent="0.35">
      <c r="A51" s="136" t="s">
        <v>45</v>
      </c>
      <c r="B51" s="130" t="s">
        <v>223</v>
      </c>
      <c r="C51" s="292">
        <v>2170413</v>
      </c>
      <c r="D51" s="136"/>
      <c r="E51" s="272">
        <f>C51</f>
        <v>2170413</v>
      </c>
      <c r="F51" s="221">
        <f t="shared" si="1"/>
        <v>2170413</v>
      </c>
      <c r="G51" s="221">
        <f t="shared" si="2"/>
        <v>0</v>
      </c>
      <c r="H51" s="213"/>
      <c r="I51" s="214"/>
      <c r="J51" s="214"/>
      <c r="K51" s="214"/>
      <c r="L51" s="214"/>
      <c r="M51" s="214"/>
      <c r="N51" s="214"/>
      <c r="O51" s="214"/>
      <c r="P51" s="214"/>
      <c r="Q51" s="214">
        <v>427343.4</v>
      </c>
      <c r="R51" s="214">
        <v>158480.54</v>
      </c>
      <c r="S51" s="214"/>
      <c r="T51" s="214">
        <f>124093.62+177504.48</f>
        <v>301598.09999999998</v>
      </c>
      <c r="U51" s="214"/>
      <c r="V51" s="214"/>
      <c r="W51" s="214">
        <v>754818.33</v>
      </c>
      <c r="X51" s="309"/>
      <c r="Y51" s="214"/>
      <c r="Z51" s="214"/>
      <c r="AA51" s="214"/>
      <c r="AB51" s="214">
        <v>528172.63</v>
      </c>
      <c r="AC51" s="214"/>
      <c r="AD51" s="214"/>
      <c r="AE51" s="214"/>
      <c r="AF51" s="214"/>
      <c r="AG51" s="214"/>
      <c r="AH51" s="214"/>
      <c r="AI51" s="216"/>
      <c r="AJ51" s="216"/>
      <c r="AK51" s="216"/>
      <c r="AL51" s="216"/>
      <c r="AM51" s="216"/>
    </row>
    <row r="52" spans="1:39" s="119" customFormat="1" ht="18" customHeight="1" thickBot="1" x14ac:dyDescent="0.35">
      <c r="A52" s="136" t="s">
        <v>46</v>
      </c>
      <c r="B52" s="130" t="s">
        <v>224</v>
      </c>
      <c r="C52" s="292">
        <v>0</v>
      </c>
      <c r="D52" s="136"/>
      <c r="E52" s="272">
        <v>0</v>
      </c>
      <c r="F52" s="221">
        <f t="shared" si="1"/>
        <v>0</v>
      </c>
      <c r="G52" s="221">
        <f t="shared" si="2"/>
        <v>0</v>
      </c>
      <c r="H52" s="213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309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6"/>
      <c r="AJ52" s="216"/>
      <c r="AK52" s="216"/>
      <c r="AL52" s="216"/>
      <c r="AM52" s="216"/>
    </row>
    <row r="53" spans="1:39" s="119" customFormat="1" ht="18" customHeight="1" thickBot="1" x14ac:dyDescent="0.35">
      <c r="A53" s="136" t="s">
        <v>47</v>
      </c>
      <c r="B53" s="130" t="s">
        <v>225</v>
      </c>
      <c r="C53" s="292">
        <v>278765</v>
      </c>
      <c r="D53" s="136"/>
      <c r="E53" s="272">
        <f>C53+C55</f>
        <v>281256</v>
      </c>
      <c r="F53" s="221">
        <f t="shared" si="1"/>
        <v>281256</v>
      </c>
      <c r="G53" s="221">
        <f t="shared" si="2"/>
        <v>0</v>
      </c>
      <c r="H53" s="213"/>
      <c r="I53" s="214"/>
      <c r="J53" s="214"/>
      <c r="K53" s="214"/>
      <c r="L53" s="214"/>
      <c r="M53" s="214">
        <v>469.7</v>
      </c>
      <c r="N53" s="214"/>
      <c r="O53" s="214">
        <v>35045.89</v>
      </c>
      <c r="P53" s="214">
        <v>21384.73</v>
      </c>
      <c r="Q53" s="214">
        <v>26083.7</v>
      </c>
      <c r="R53" s="214">
        <v>25350.560000000001</v>
      </c>
      <c r="S53" s="214">
        <v>25376.07</v>
      </c>
      <c r="T53" s="214">
        <v>47996.78</v>
      </c>
      <c r="U53" s="214"/>
      <c r="V53" s="214">
        <v>41233.99</v>
      </c>
      <c r="W53" s="214"/>
      <c r="X53" s="309"/>
      <c r="Y53" s="214"/>
      <c r="Z53" s="214">
        <v>58314.58</v>
      </c>
      <c r="AA53" s="214"/>
      <c r="AB53" s="214"/>
      <c r="AC53" s="214"/>
      <c r="AD53" s="214"/>
      <c r="AE53" s="214"/>
      <c r="AF53" s="214"/>
      <c r="AG53" s="214"/>
      <c r="AH53" s="214"/>
      <c r="AI53" s="216"/>
      <c r="AJ53" s="216"/>
      <c r="AK53" s="216"/>
      <c r="AL53" s="216"/>
      <c r="AM53" s="216"/>
    </row>
    <row r="54" spans="1:39" s="119" customFormat="1" ht="18" customHeight="1" thickBot="1" x14ac:dyDescent="0.35">
      <c r="A54" s="136" t="s">
        <v>48</v>
      </c>
      <c r="B54" s="130" t="s">
        <v>226</v>
      </c>
      <c r="C54" s="292">
        <v>158669</v>
      </c>
      <c r="D54" s="136"/>
      <c r="E54" s="272">
        <f>C54</f>
        <v>158669</v>
      </c>
      <c r="F54" s="221">
        <f t="shared" si="1"/>
        <v>158669</v>
      </c>
      <c r="G54" s="221">
        <f t="shared" si="2"/>
        <v>0</v>
      </c>
      <c r="H54" s="213"/>
      <c r="I54" s="214"/>
      <c r="J54" s="214"/>
      <c r="K54" s="214"/>
      <c r="L54" s="214"/>
      <c r="M54" s="214"/>
      <c r="N54" s="214"/>
      <c r="O54" s="214">
        <f>20859.36+20836.28</f>
        <v>41695.64</v>
      </c>
      <c r="P54" s="214">
        <v>13924.1</v>
      </c>
      <c r="Q54" s="214"/>
      <c r="R54" s="214">
        <v>21829.200000000001</v>
      </c>
      <c r="S54" s="214">
        <v>81220.06</v>
      </c>
      <c r="T54" s="214"/>
      <c r="U54" s="214"/>
      <c r="V54" s="214"/>
      <c r="W54" s="214"/>
      <c r="X54" s="309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6"/>
      <c r="AJ54" s="216"/>
      <c r="AK54" s="216"/>
      <c r="AL54" s="216"/>
      <c r="AM54" s="216"/>
    </row>
    <row r="55" spans="1:39" s="119" customFormat="1" ht="18" customHeight="1" thickBot="1" x14ac:dyDescent="0.35">
      <c r="A55" s="136" t="s">
        <v>49</v>
      </c>
      <c r="B55" s="130" t="s">
        <v>227</v>
      </c>
      <c r="C55" s="292">
        <v>2491</v>
      </c>
      <c r="D55" s="283" t="s">
        <v>47</v>
      </c>
      <c r="E55" s="272">
        <v>0</v>
      </c>
      <c r="F55" s="221">
        <f t="shared" si="1"/>
        <v>0</v>
      </c>
      <c r="G55" s="221">
        <f t="shared" si="2"/>
        <v>0</v>
      </c>
      <c r="H55" s="213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309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6"/>
      <c r="AJ55" s="216"/>
      <c r="AK55" s="216"/>
      <c r="AL55" s="216"/>
      <c r="AM55" s="216"/>
    </row>
    <row r="56" spans="1:39" s="119" customFormat="1" ht="18" customHeight="1" thickBot="1" x14ac:dyDescent="0.35">
      <c r="A56" s="136" t="s">
        <v>50</v>
      </c>
      <c r="B56" s="130" t="s">
        <v>228</v>
      </c>
      <c r="C56" s="292">
        <v>302</v>
      </c>
      <c r="D56" s="283" t="s">
        <v>370</v>
      </c>
      <c r="E56" s="272">
        <v>0</v>
      </c>
      <c r="F56" s="221">
        <f t="shared" si="1"/>
        <v>0</v>
      </c>
      <c r="G56" s="221">
        <f t="shared" si="2"/>
        <v>0</v>
      </c>
      <c r="H56" s="213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309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6"/>
      <c r="AJ56" s="216"/>
      <c r="AK56" s="216"/>
      <c r="AL56" s="216"/>
      <c r="AM56" s="216"/>
    </row>
    <row r="57" spans="1:39" s="119" customFormat="1" ht="18" customHeight="1" thickBot="1" x14ac:dyDescent="0.35">
      <c r="A57" s="136" t="s">
        <v>51</v>
      </c>
      <c r="B57" s="130" t="s">
        <v>229</v>
      </c>
      <c r="C57" s="292">
        <v>0</v>
      </c>
      <c r="D57" s="136"/>
      <c r="E57" s="272">
        <v>0</v>
      </c>
      <c r="F57" s="221">
        <f t="shared" si="1"/>
        <v>0</v>
      </c>
      <c r="G57" s="221">
        <f t="shared" si="2"/>
        <v>0</v>
      </c>
      <c r="H57" s="213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309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6"/>
      <c r="AJ57" s="216"/>
      <c r="AK57" s="216"/>
      <c r="AL57" s="216"/>
      <c r="AM57" s="216"/>
    </row>
    <row r="58" spans="1:39" s="119" customFormat="1" ht="18" customHeight="1" thickBot="1" x14ac:dyDescent="0.35">
      <c r="A58" s="136" t="s">
        <v>52</v>
      </c>
      <c r="B58" s="130" t="s">
        <v>230</v>
      </c>
      <c r="C58" s="292">
        <v>75</v>
      </c>
      <c r="D58" s="273" t="s">
        <v>608</v>
      </c>
      <c r="E58" s="272">
        <v>0</v>
      </c>
      <c r="F58" s="221">
        <f t="shared" si="1"/>
        <v>0</v>
      </c>
      <c r="G58" s="221">
        <f t="shared" si="2"/>
        <v>0</v>
      </c>
      <c r="H58" s="213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309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6"/>
      <c r="AJ58" s="216"/>
      <c r="AK58" s="216"/>
      <c r="AL58" s="216"/>
      <c r="AM58" s="216"/>
    </row>
    <row r="59" spans="1:39" s="119" customFormat="1" ht="18" customHeight="1" thickBot="1" x14ac:dyDescent="0.35">
      <c r="A59" s="136" t="s">
        <v>53</v>
      </c>
      <c r="B59" s="130" t="s">
        <v>231</v>
      </c>
      <c r="C59" s="292">
        <v>302</v>
      </c>
      <c r="D59" s="283" t="s">
        <v>370</v>
      </c>
      <c r="E59" s="272">
        <v>0</v>
      </c>
      <c r="F59" s="221">
        <f t="shared" si="1"/>
        <v>0</v>
      </c>
      <c r="G59" s="221">
        <f t="shared" si="2"/>
        <v>0</v>
      </c>
      <c r="H59" s="213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309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6"/>
      <c r="AJ59" s="216"/>
      <c r="AK59" s="216"/>
      <c r="AL59" s="216"/>
      <c r="AM59" s="216"/>
    </row>
    <row r="60" spans="1:39" s="119" customFormat="1" ht="18" customHeight="1" thickBot="1" x14ac:dyDescent="0.35">
      <c r="A60" s="136" t="s">
        <v>54</v>
      </c>
      <c r="B60" s="130" t="s">
        <v>232</v>
      </c>
      <c r="C60" s="292">
        <v>528</v>
      </c>
      <c r="D60" s="273" t="s">
        <v>608</v>
      </c>
      <c r="E60" s="272">
        <v>0</v>
      </c>
      <c r="F60" s="221">
        <f t="shared" si="1"/>
        <v>0</v>
      </c>
      <c r="G60" s="221">
        <f t="shared" si="2"/>
        <v>0</v>
      </c>
      <c r="H60" s="213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309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6"/>
      <c r="AJ60" s="216"/>
      <c r="AK60" s="216"/>
      <c r="AL60" s="216"/>
      <c r="AM60" s="216"/>
    </row>
    <row r="61" spans="1:39" s="119" customFormat="1" ht="18" customHeight="1" thickBot="1" x14ac:dyDescent="0.35">
      <c r="A61" s="136" t="s">
        <v>55</v>
      </c>
      <c r="B61" s="130" t="s">
        <v>233</v>
      </c>
      <c r="C61" s="292">
        <v>144780</v>
      </c>
      <c r="D61" s="136"/>
      <c r="E61" s="272">
        <f>C61</f>
        <v>144780</v>
      </c>
      <c r="F61" s="221">
        <f t="shared" si="1"/>
        <v>144780</v>
      </c>
      <c r="G61" s="221">
        <f t="shared" si="2"/>
        <v>0</v>
      </c>
      <c r="H61" s="213"/>
      <c r="I61" s="214"/>
      <c r="J61" s="214"/>
      <c r="K61" s="214"/>
      <c r="L61" s="214"/>
      <c r="M61" s="214"/>
      <c r="N61" s="214"/>
      <c r="O61" s="214"/>
      <c r="P61" s="214">
        <v>38077.800000000003</v>
      </c>
      <c r="Q61" s="214"/>
      <c r="R61" s="214"/>
      <c r="S61" s="214">
        <v>40816.199999999997</v>
      </c>
      <c r="T61" s="214"/>
      <c r="U61" s="214"/>
      <c r="V61" s="214"/>
      <c r="W61" s="214"/>
      <c r="X61" s="309"/>
      <c r="Y61" s="214"/>
      <c r="Z61" s="214"/>
      <c r="AA61" s="214"/>
      <c r="AB61" s="214"/>
      <c r="AC61" s="214">
        <f>31918.58+33967.42</f>
        <v>65886</v>
      </c>
      <c r="AD61" s="214"/>
      <c r="AE61" s="214"/>
      <c r="AF61" s="214"/>
      <c r="AG61" s="214"/>
      <c r="AH61" s="214"/>
      <c r="AI61" s="216"/>
      <c r="AJ61" s="216"/>
      <c r="AK61" s="216"/>
      <c r="AL61" s="216"/>
      <c r="AM61" s="216"/>
    </row>
    <row r="62" spans="1:39" s="119" customFormat="1" ht="18" customHeight="1" thickBot="1" x14ac:dyDescent="0.35">
      <c r="A62" s="136" t="s">
        <v>56</v>
      </c>
      <c r="B62" s="130" t="s">
        <v>234</v>
      </c>
      <c r="C62" s="292">
        <v>16456</v>
      </c>
      <c r="D62" s="136"/>
      <c r="E62" s="272">
        <f t="shared" ref="E62:E64" si="4">C62</f>
        <v>16456</v>
      </c>
      <c r="F62" s="221">
        <f t="shared" si="1"/>
        <v>0</v>
      </c>
      <c r="G62" s="221">
        <f t="shared" si="2"/>
        <v>16456</v>
      </c>
      <c r="H62" s="213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309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6"/>
      <c r="AJ62" s="216"/>
      <c r="AK62" s="216"/>
      <c r="AL62" s="216"/>
      <c r="AM62" s="216"/>
    </row>
    <row r="63" spans="1:39" s="119" customFormat="1" ht="18" customHeight="1" thickBot="1" x14ac:dyDescent="0.35">
      <c r="A63" s="136" t="s">
        <v>57</v>
      </c>
      <c r="B63" s="130" t="s">
        <v>235</v>
      </c>
      <c r="C63" s="292">
        <v>29213</v>
      </c>
      <c r="D63" s="136"/>
      <c r="E63" s="272">
        <f t="shared" si="4"/>
        <v>29213</v>
      </c>
      <c r="F63" s="221">
        <f t="shared" si="1"/>
        <v>29213</v>
      </c>
      <c r="G63" s="221">
        <f t="shared" si="2"/>
        <v>0</v>
      </c>
      <c r="H63" s="213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>
        <v>17109.04</v>
      </c>
      <c r="U63" s="214"/>
      <c r="V63" s="214"/>
      <c r="W63" s="214"/>
      <c r="X63" s="309">
        <f>25+2321</f>
        <v>2346</v>
      </c>
      <c r="Y63" s="214">
        <v>2572</v>
      </c>
      <c r="Z63" s="214">
        <v>1551</v>
      </c>
      <c r="AA63" s="214">
        <v>4180</v>
      </c>
      <c r="AB63" s="214">
        <v>1454.96</v>
      </c>
      <c r="AC63" s="214"/>
      <c r="AD63" s="214"/>
      <c r="AE63" s="214"/>
      <c r="AF63" s="214"/>
      <c r="AG63" s="214"/>
      <c r="AH63" s="214"/>
      <c r="AI63" s="216"/>
      <c r="AJ63" s="216"/>
      <c r="AK63" s="216"/>
      <c r="AL63" s="216"/>
      <c r="AM63" s="216"/>
    </row>
    <row r="64" spans="1:39" s="119" customFormat="1" ht="18" customHeight="1" thickBot="1" x14ac:dyDescent="0.35">
      <c r="A64" s="136" t="s">
        <v>58</v>
      </c>
      <c r="B64" s="130" t="s">
        <v>236</v>
      </c>
      <c r="C64" s="292">
        <v>155499</v>
      </c>
      <c r="D64" s="136"/>
      <c r="E64" s="272">
        <f t="shared" si="4"/>
        <v>155499</v>
      </c>
      <c r="F64" s="221">
        <f t="shared" si="1"/>
        <v>155499.00000000003</v>
      </c>
      <c r="G64" s="221">
        <f t="shared" si="2"/>
        <v>0</v>
      </c>
      <c r="H64" s="213"/>
      <c r="I64" s="214"/>
      <c r="J64" s="214"/>
      <c r="K64" s="214"/>
      <c r="L64" s="214"/>
      <c r="M64" s="214"/>
      <c r="N64" s="214"/>
      <c r="O64" s="214"/>
      <c r="P64" s="214"/>
      <c r="Q64" s="214"/>
      <c r="R64" s="214">
        <v>33883.29</v>
      </c>
      <c r="S64" s="214">
        <v>4236.03</v>
      </c>
      <c r="T64" s="214">
        <v>7785.15</v>
      </c>
      <c r="U64" s="214"/>
      <c r="V64" s="214">
        <v>5043.33</v>
      </c>
      <c r="W64" s="214">
        <v>1297.1099999999999</v>
      </c>
      <c r="X64" s="309">
        <v>6968.58</v>
      </c>
      <c r="Y64" s="214">
        <v>13188.99</v>
      </c>
      <c r="Z64" s="214">
        <v>23673.07</v>
      </c>
      <c r="AA64" s="214">
        <v>11494.66</v>
      </c>
      <c r="AB64" s="214">
        <v>6102.45</v>
      </c>
      <c r="AC64" s="214">
        <v>5279.32</v>
      </c>
      <c r="AD64" s="214">
        <v>8544.83</v>
      </c>
      <c r="AE64" s="214">
        <v>15911.49</v>
      </c>
      <c r="AF64" s="214"/>
      <c r="AG64" s="214"/>
      <c r="AH64" s="214">
        <v>12090.7</v>
      </c>
      <c r="AI64" s="216"/>
      <c r="AJ64" s="216"/>
      <c r="AK64" s="216"/>
      <c r="AL64" s="216"/>
      <c r="AM64" s="216"/>
    </row>
    <row r="65" spans="1:39" s="119" customFormat="1" ht="18" customHeight="1" thickBot="1" x14ac:dyDescent="0.35">
      <c r="A65" s="136" t="s">
        <v>59</v>
      </c>
      <c r="B65" s="130" t="s">
        <v>237</v>
      </c>
      <c r="C65" s="292">
        <v>11851</v>
      </c>
      <c r="D65" s="136"/>
      <c r="E65" s="272">
        <f>C65+C168</f>
        <v>15927</v>
      </c>
      <c r="F65" s="221">
        <f t="shared" si="1"/>
        <v>15927</v>
      </c>
      <c r="G65" s="221">
        <f t="shared" si="2"/>
        <v>0</v>
      </c>
      <c r="H65" s="213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>
        <v>15927</v>
      </c>
      <c r="T65" s="214"/>
      <c r="U65" s="214"/>
      <c r="V65" s="214"/>
      <c r="W65" s="214"/>
      <c r="X65" s="309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6"/>
      <c r="AJ65" s="216"/>
      <c r="AK65" s="216"/>
      <c r="AL65" s="216"/>
      <c r="AM65" s="216"/>
    </row>
    <row r="66" spans="1:39" s="119" customFormat="1" ht="18" customHeight="1" thickBot="1" x14ac:dyDescent="0.35">
      <c r="A66" s="136" t="s">
        <v>60</v>
      </c>
      <c r="B66" s="130" t="s">
        <v>238</v>
      </c>
      <c r="C66" s="292">
        <v>1132</v>
      </c>
      <c r="D66" s="273" t="s">
        <v>608</v>
      </c>
      <c r="E66" s="272">
        <v>0</v>
      </c>
      <c r="F66" s="221">
        <f t="shared" si="1"/>
        <v>0</v>
      </c>
      <c r="G66" s="221">
        <f t="shared" si="2"/>
        <v>0</v>
      </c>
      <c r="H66" s="213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309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6"/>
      <c r="AJ66" s="216"/>
      <c r="AK66" s="216"/>
      <c r="AL66" s="216"/>
      <c r="AM66" s="216"/>
    </row>
    <row r="67" spans="1:39" s="119" customFormat="1" ht="18" customHeight="1" thickBot="1" x14ac:dyDescent="0.35">
      <c r="A67" s="136" t="s">
        <v>61</v>
      </c>
      <c r="B67" s="130" t="s">
        <v>239</v>
      </c>
      <c r="C67" s="292">
        <v>49518</v>
      </c>
      <c r="D67" s="136"/>
      <c r="E67" s="272">
        <f>C67</f>
        <v>49518</v>
      </c>
      <c r="F67" s="221">
        <f t="shared" si="1"/>
        <v>24382.980000000003</v>
      </c>
      <c r="G67" s="221">
        <f t="shared" si="2"/>
        <v>25135.019999999997</v>
      </c>
      <c r="H67" s="213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309"/>
      <c r="Y67" s="214"/>
      <c r="Z67" s="214"/>
      <c r="AA67" s="214">
        <v>11505.37</v>
      </c>
      <c r="AB67" s="214"/>
      <c r="AC67" s="214"/>
      <c r="AD67" s="214">
        <v>4324.8500000000004</v>
      </c>
      <c r="AE67" s="214"/>
      <c r="AF67" s="214">
        <v>8552.76</v>
      </c>
      <c r="AG67" s="214"/>
      <c r="AH67" s="214"/>
      <c r="AI67" s="216"/>
      <c r="AJ67" s="216"/>
      <c r="AK67" s="216"/>
      <c r="AL67" s="216"/>
      <c r="AM67" s="216"/>
    </row>
    <row r="68" spans="1:39" s="119" customFormat="1" ht="18" customHeight="1" thickBot="1" x14ac:dyDescent="0.35">
      <c r="A68" s="136" t="s">
        <v>62</v>
      </c>
      <c r="B68" s="130" t="s">
        <v>240</v>
      </c>
      <c r="C68" s="292">
        <v>10492</v>
      </c>
      <c r="D68" s="283" t="s">
        <v>370</v>
      </c>
      <c r="E68" s="272">
        <v>0</v>
      </c>
      <c r="F68" s="221">
        <f t="shared" si="1"/>
        <v>0</v>
      </c>
      <c r="G68" s="221">
        <f t="shared" si="2"/>
        <v>0</v>
      </c>
      <c r="H68" s="213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309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6"/>
      <c r="AJ68" s="216"/>
      <c r="AK68" s="216"/>
      <c r="AL68" s="216"/>
      <c r="AM68" s="216"/>
    </row>
    <row r="69" spans="1:39" s="119" customFormat="1" ht="18" customHeight="1" thickBot="1" x14ac:dyDescent="0.35">
      <c r="A69" s="136" t="s">
        <v>63</v>
      </c>
      <c r="B69" s="130" t="s">
        <v>241</v>
      </c>
      <c r="C69" s="292">
        <v>1510</v>
      </c>
      <c r="D69" s="273" t="s">
        <v>608</v>
      </c>
      <c r="E69" s="272">
        <v>0</v>
      </c>
      <c r="F69" s="221">
        <f t="shared" si="1"/>
        <v>0</v>
      </c>
      <c r="G69" s="221">
        <f t="shared" si="2"/>
        <v>0</v>
      </c>
      <c r="H69" s="213"/>
      <c r="I69" s="214"/>
      <c r="J69" s="214"/>
      <c r="K69" s="214"/>
      <c r="L69" s="214"/>
      <c r="M69" s="198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309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6"/>
      <c r="AJ69" s="216"/>
      <c r="AK69" s="216"/>
      <c r="AL69" s="216"/>
      <c r="AM69" s="216"/>
    </row>
    <row r="70" spans="1:39" s="119" customFormat="1" ht="18" customHeight="1" thickBot="1" x14ac:dyDescent="0.35">
      <c r="A70" s="136" t="s">
        <v>64</v>
      </c>
      <c r="B70" s="130" t="s">
        <v>242</v>
      </c>
      <c r="C70" s="292">
        <v>2416</v>
      </c>
      <c r="D70" s="273" t="s">
        <v>608</v>
      </c>
      <c r="E70" s="272">
        <v>0</v>
      </c>
      <c r="F70" s="221">
        <f t="shared" si="1"/>
        <v>0</v>
      </c>
      <c r="G70" s="221">
        <f t="shared" si="2"/>
        <v>0</v>
      </c>
      <c r="H70" s="213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309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6"/>
      <c r="AJ70" s="216"/>
      <c r="AK70" s="216"/>
      <c r="AL70" s="216"/>
      <c r="AM70" s="216"/>
    </row>
    <row r="71" spans="1:39" s="119" customFormat="1" ht="18" customHeight="1" thickBot="1" x14ac:dyDescent="0.35">
      <c r="A71" s="136" t="s">
        <v>65</v>
      </c>
      <c r="B71" s="130" t="s">
        <v>243</v>
      </c>
      <c r="C71" s="292">
        <v>14720</v>
      </c>
      <c r="D71" s="136"/>
      <c r="E71" s="272">
        <f>C71</f>
        <v>14720</v>
      </c>
      <c r="F71" s="221">
        <f t="shared" si="1"/>
        <v>14720</v>
      </c>
      <c r="G71" s="221">
        <f t="shared" si="2"/>
        <v>0</v>
      </c>
      <c r="H71" s="213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309"/>
      <c r="Y71" s="214"/>
      <c r="Z71" s="214"/>
      <c r="AA71" s="214"/>
      <c r="AB71" s="214"/>
      <c r="AC71" s="214">
        <f>318.73+14401.27</f>
        <v>14720</v>
      </c>
      <c r="AD71" s="214"/>
      <c r="AE71" s="214"/>
      <c r="AF71" s="214"/>
      <c r="AG71" s="214"/>
      <c r="AH71" s="214"/>
      <c r="AI71" s="216"/>
      <c r="AJ71" s="216"/>
      <c r="AK71" s="216"/>
      <c r="AL71" s="216"/>
      <c r="AM71" s="216"/>
    </row>
    <row r="72" spans="1:39" s="119" customFormat="1" ht="18" customHeight="1" thickBot="1" x14ac:dyDescent="0.35">
      <c r="A72" s="136" t="s">
        <v>66</v>
      </c>
      <c r="B72" s="130" t="s">
        <v>244</v>
      </c>
      <c r="C72" s="292">
        <v>91110</v>
      </c>
      <c r="D72" s="136"/>
      <c r="E72" s="272">
        <f>C72</f>
        <v>91110</v>
      </c>
      <c r="F72" s="221">
        <f t="shared" si="1"/>
        <v>90867</v>
      </c>
      <c r="G72" s="221">
        <f t="shared" si="2"/>
        <v>243</v>
      </c>
      <c r="H72" s="213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>
        <v>25654</v>
      </c>
      <c r="V72" s="214"/>
      <c r="W72" s="214"/>
      <c r="X72" s="309"/>
      <c r="Y72" s="214">
        <v>15811</v>
      </c>
      <c r="Z72" s="214"/>
      <c r="AA72" s="214">
        <v>2893</v>
      </c>
      <c r="AB72" s="214"/>
      <c r="AC72" s="214">
        <v>14198</v>
      </c>
      <c r="AD72" s="214"/>
      <c r="AE72" s="214">
        <v>15990</v>
      </c>
      <c r="AF72" s="214">
        <v>16321</v>
      </c>
      <c r="AG72" s="214"/>
      <c r="AH72" s="214"/>
      <c r="AI72" s="216"/>
      <c r="AJ72" s="216"/>
      <c r="AK72" s="216"/>
      <c r="AL72" s="216"/>
      <c r="AM72" s="216"/>
    </row>
    <row r="73" spans="1:39" s="119" customFormat="1" ht="18" customHeight="1" thickBot="1" x14ac:dyDescent="0.35">
      <c r="A73" s="136" t="s">
        <v>67</v>
      </c>
      <c r="B73" s="130" t="s">
        <v>245</v>
      </c>
      <c r="C73" s="292">
        <v>830</v>
      </c>
      <c r="D73" s="273" t="s">
        <v>608</v>
      </c>
      <c r="E73" s="272">
        <v>0</v>
      </c>
      <c r="F73" s="221">
        <f t="shared" si="1"/>
        <v>0</v>
      </c>
      <c r="G73" s="221">
        <f t="shared" si="2"/>
        <v>0</v>
      </c>
      <c r="H73" s="213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309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6"/>
      <c r="AJ73" s="216"/>
      <c r="AK73" s="216"/>
      <c r="AL73" s="216"/>
      <c r="AM73" s="216"/>
    </row>
    <row r="74" spans="1:39" s="119" customFormat="1" ht="18" customHeight="1" thickBot="1" x14ac:dyDescent="0.35">
      <c r="A74" s="136" t="s">
        <v>68</v>
      </c>
      <c r="B74" s="130" t="s">
        <v>246</v>
      </c>
      <c r="C74" s="292">
        <v>604</v>
      </c>
      <c r="D74" s="273" t="s">
        <v>608</v>
      </c>
      <c r="E74" s="272">
        <v>0</v>
      </c>
      <c r="F74" s="221">
        <f t="shared" si="1"/>
        <v>0</v>
      </c>
      <c r="G74" s="221">
        <f t="shared" si="2"/>
        <v>0</v>
      </c>
      <c r="H74" s="213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309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6"/>
      <c r="AJ74" s="216"/>
      <c r="AK74" s="216"/>
      <c r="AL74" s="216"/>
      <c r="AM74" s="216"/>
    </row>
    <row r="75" spans="1:39" s="119" customFormat="1" ht="18" customHeight="1" thickBot="1" x14ac:dyDescent="0.35">
      <c r="A75" s="136" t="s">
        <v>69</v>
      </c>
      <c r="B75" s="130" t="s">
        <v>247</v>
      </c>
      <c r="C75" s="292">
        <v>3397</v>
      </c>
      <c r="D75" s="273" t="s">
        <v>608</v>
      </c>
      <c r="E75" s="272">
        <v>0</v>
      </c>
      <c r="F75" s="221">
        <f t="shared" si="1"/>
        <v>0</v>
      </c>
      <c r="G75" s="221">
        <f t="shared" si="2"/>
        <v>0</v>
      </c>
      <c r="H75" s="213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309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6"/>
      <c r="AJ75" s="216"/>
      <c r="AK75" s="216"/>
      <c r="AL75" s="216"/>
      <c r="AM75" s="216"/>
    </row>
    <row r="76" spans="1:39" s="119" customFormat="1" ht="18" customHeight="1" thickBot="1" x14ac:dyDescent="0.35">
      <c r="A76" s="136" t="s">
        <v>70</v>
      </c>
      <c r="B76" s="130" t="s">
        <v>248</v>
      </c>
      <c r="C76" s="292">
        <v>1359</v>
      </c>
      <c r="D76" s="273" t="s">
        <v>608</v>
      </c>
      <c r="E76" s="272">
        <v>0</v>
      </c>
      <c r="F76" s="221">
        <f t="shared" si="1"/>
        <v>0</v>
      </c>
      <c r="G76" s="221">
        <f t="shared" si="2"/>
        <v>0</v>
      </c>
      <c r="H76" s="213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309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6"/>
      <c r="AJ76" s="216"/>
      <c r="AK76" s="216"/>
      <c r="AL76" s="216"/>
      <c r="AM76" s="216"/>
    </row>
    <row r="77" spans="1:39" s="119" customFormat="1" ht="18" customHeight="1" thickBot="1" x14ac:dyDescent="0.35">
      <c r="A77" s="136" t="s">
        <v>71</v>
      </c>
      <c r="B77" s="130" t="s">
        <v>249</v>
      </c>
      <c r="C77" s="292">
        <v>151</v>
      </c>
      <c r="D77" s="273" t="s">
        <v>608</v>
      </c>
      <c r="E77" s="272">
        <v>0</v>
      </c>
      <c r="F77" s="221">
        <f t="shared" ref="F77:F140" si="5">SUM(H77:AK77)</f>
        <v>0</v>
      </c>
      <c r="G77" s="221">
        <f t="shared" ref="G77:G140" si="6">E77-(F77+AL77+AM77)</f>
        <v>0</v>
      </c>
      <c r="H77" s="213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309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6"/>
      <c r="AJ77" s="216"/>
      <c r="AK77" s="216"/>
      <c r="AL77" s="216"/>
      <c r="AM77" s="216"/>
    </row>
    <row r="78" spans="1:39" s="119" customFormat="1" ht="18" customHeight="1" thickBot="1" x14ac:dyDescent="0.35">
      <c r="A78" s="136" t="s">
        <v>72</v>
      </c>
      <c r="B78" s="130" t="s">
        <v>250</v>
      </c>
      <c r="C78" s="292">
        <v>133834</v>
      </c>
      <c r="D78" s="136"/>
      <c r="E78" s="272">
        <f>C78</f>
        <v>133834</v>
      </c>
      <c r="F78" s="221">
        <f t="shared" si="5"/>
        <v>133834</v>
      </c>
      <c r="G78" s="221">
        <f t="shared" si="6"/>
        <v>0</v>
      </c>
      <c r="H78" s="213"/>
      <c r="I78" s="214"/>
      <c r="J78" s="214"/>
      <c r="K78" s="214"/>
      <c r="L78" s="214"/>
      <c r="M78" s="214"/>
      <c r="N78" s="214"/>
      <c r="O78" s="214">
        <v>43123.39</v>
      </c>
      <c r="P78" s="214"/>
      <c r="Q78" s="214"/>
      <c r="R78" s="214">
        <v>32489.66</v>
      </c>
      <c r="S78" s="214"/>
      <c r="T78" s="214"/>
      <c r="U78" s="214">
        <v>32524.34</v>
      </c>
      <c r="V78" s="214"/>
      <c r="W78" s="214">
        <v>25696.61</v>
      </c>
      <c r="X78" s="309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6"/>
      <c r="AJ78" s="216"/>
      <c r="AK78" s="216"/>
      <c r="AL78" s="216"/>
      <c r="AM78" s="216"/>
    </row>
    <row r="79" spans="1:39" s="119" customFormat="1" ht="18" customHeight="1" thickBot="1" x14ac:dyDescent="0.35">
      <c r="A79" s="136" t="s">
        <v>73</v>
      </c>
      <c r="B79" s="130" t="s">
        <v>251</v>
      </c>
      <c r="C79" s="292">
        <v>95715</v>
      </c>
      <c r="D79" s="136"/>
      <c r="E79" s="272">
        <f t="shared" ref="E79:E80" si="7">C79</f>
        <v>95715</v>
      </c>
      <c r="F79" s="221">
        <f t="shared" si="5"/>
        <v>95715</v>
      </c>
      <c r="G79" s="221">
        <f t="shared" si="6"/>
        <v>0</v>
      </c>
      <c r="H79" s="213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>
        <v>14251.46</v>
      </c>
      <c r="T79" s="214"/>
      <c r="U79" s="214"/>
      <c r="V79" s="214"/>
      <c r="W79" s="214">
        <v>19345.900000000001</v>
      </c>
      <c r="X79" s="309"/>
      <c r="Y79" s="214"/>
      <c r="Z79" s="214">
        <v>37769.629999999997</v>
      </c>
      <c r="AA79" s="214">
        <v>10734.77</v>
      </c>
      <c r="AB79" s="214"/>
      <c r="AC79" s="214"/>
      <c r="AD79" s="214"/>
      <c r="AE79" s="214"/>
      <c r="AF79" s="214"/>
      <c r="AG79" s="214"/>
      <c r="AH79" s="214">
        <v>13613.24</v>
      </c>
      <c r="AI79" s="216"/>
      <c r="AJ79" s="216"/>
      <c r="AK79" s="216"/>
      <c r="AL79" s="216"/>
      <c r="AM79" s="216"/>
    </row>
    <row r="80" spans="1:39" s="119" customFormat="1" ht="18" customHeight="1" thickBot="1" x14ac:dyDescent="0.35">
      <c r="A80" s="136" t="s">
        <v>74</v>
      </c>
      <c r="B80" s="130" t="s">
        <v>252</v>
      </c>
      <c r="C80" s="292">
        <v>17286</v>
      </c>
      <c r="D80" s="136"/>
      <c r="E80" s="272">
        <f t="shared" si="7"/>
        <v>17286</v>
      </c>
      <c r="F80" s="221">
        <f t="shared" si="5"/>
        <v>17286</v>
      </c>
      <c r="G80" s="221">
        <f t="shared" si="6"/>
        <v>0</v>
      </c>
      <c r="H80" s="213"/>
      <c r="I80" s="214"/>
      <c r="J80" s="214"/>
      <c r="K80" s="214"/>
      <c r="L80" s="214"/>
      <c r="M80" s="214"/>
      <c r="N80" s="214"/>
      <c r="O80" s="214">
        <v>12165.43</v>
      </c>
      <c r="P80" s="214"/>
      <c r="Q80" s="214"/>
      <c r="R80" s="214"/>
      <c r="S80" s="214">
        <v>5120.57</v>
      </c>
      <c r="T80" s="214"/>
      <c r="U80" s="214"/>
      <c r="V80" s="214"/>
      <c r="W80" s="214"/>
      <c r="X80" s="309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6"/>
      <c r="AJ80" s="216"/>
      <c r="AK80" s="216"/>
      <c r="AL80" s="216"/>
      <c r="AM80" s="216"/>
    </row>
    <row r="81" spans="1:39" s="119" customFormat="1" ht="18" customHeight="1" thickBot="1" x14ac:dyDescent="0.35">
      <c r="A81" s="136" t="s">
        <v>75</v>
      </c>
      <c r="B81" s="130" t="s">
        <v>253</v>
      </c>
      <c r="C81" s="292">
        <v>151</v>
      </c>
      <c r="D81" s="273" t="s">
        <v>608</v>
      </c>
      <c r="E81" s="272">
        <v>0</v>
      </c>
      <c r="F81" s="221">
        <f t="shared" si="5"/>
        <v>0</v>
      </c>
      <c r="G81" s="221">
        <f t="shared" si="6"/>
        <v>0</v>
      </c>
      <c r="H81" s="213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309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6"/>
      <c r="AJ81" s="216"/>
      <c r="AK81" s="216"/>
      <c r="AL81" s="216"/>
      <c r="AM81" s="216"/>
    </row>
    <row r="82" spans="1:39" s="119" customFormat="1" ht="18" customHeight="1" thickBot="1" x14ac:dyDescent="0.35">
      <c r="A82" s="136" t="s">
        <v>76</v>
      </c>
      <c r="B82" s="130" t="s">
        <v>254</v>
      </c>
      <c r="C82" s="292">
        <v>6190</v>
      </c>
      <c r="D82" s="283" t="s">
        <v>373</v>
      </c>
      <c r="E82" s="272">
        <v>0</v>
      </c>
      <c r="F82" s="221">
        <f t="shared" si="5"/>
        <v>0</v>
      </c>
      <c r="G82" s="221">
        <f t="shared" si="6"/>
        <v>0</v>
      </c>
      <c r="H82" s="213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309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6"/>
      <c r="AJ82" s="216"/>
      <c r="AK82" s="216"/>
      <c r="AL82" s="216"/>
      <c r="AM82" s="216"/>
    </row>
    <row r="83" spans="1:39" s="119" customFormat="1" ht="18" customHeight="1" thickBot="1" x14ac:dyDescent="0.35">
      <c r="A83" s="136" t="s">
        <v>77</v>
      </c>
      <c r="B83" s="130" t="s">
        <v>255</v>
      </c>
      <c r="C83" s="292">
        <v>6794</v>
      </c>
      <c r="D83" s="283" t="s">
        <v>373</v>
      </c>
      <c r="E83" s="272">
        <v>0</v>
      </c>
      <c r="F83" s="221">
        <f t="shared" si="5"/>
        <v>0</v>
      </c>
      <c r="G83" s="221">
        <f t="shared" si="6"/>
        <v>0</v>
      </c>
      <c r="H83" s="213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309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6"/>
      <c r="AJ83" s="216"/>
      <c r="AK83" s="216"/>
      <c r="AL83" s="216"/>
      <c r="AM83" s="216"/>
    </row>
    <row r="84" spans="1:39" s="119" customFormat="1" ht="18" customHeight="1" thickBot="1" x14ac:dyDescent="0.35">
      <c r="A84" s="136" t="s">
        <v>78</v>
      </c>
      <c r="B84" s="130" t="s">
        <v>256</v>
      </c>
      <c r="C84" s="292">
        <v>11096</v>
      </c>
      <c r="D84" s="136"/>
      <c r="E84" s="272">
        <f>C84</f>
        <v>11096</v>
      </c>
      <c r="F84" s="221">
        <f t="shared" si="5"/>
        <v>11096</v>
      </c>
      <c r="G84" s="221">
        <f t="shared" si="6"/>
        <v>0</v>
      </c>
      <c r="H84" s="271"/>
      <c r="I84" s="214"/>
      <c r="J84" s="214"/>
      <c r="K84" s="214"/>
      <c r="L84" s="214"/>
      <c r="M84" s="214"/>
      <c r="N84" s="214"/>
      <c r="O84" s="214">
        <v>11096</v>
      </c>
      <c r="P84" s="214"/>
      <c r="Q84" s="214"/>
      <c r="R84" s="214"/>
      <c r="S84" s="214"/>
      <c r="T84" s="214"/>
      <c r="U84" s="214"/>
      <c r="V84" s="214"/>
      <c r="W84" s="214"/>
      <c r="X84" s="309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6"/>
      <c r="AJ84" s="216"/>
      <c r="AK84" s="216"/>
      <c r="AL84" s="216"/>
      <c r="AM84" s="216"/>
    </row>
    <row r="85" spans="1:39" s="119" customFormat="1" ht="18" customHeight="1" thickBot="1" x14ac:dyDescent="0.35">
      <c r="A85" s="136" t="s">
        <v>79</v>
      </c>
      <c r="B85" s="130" t="s">
        <v>257</v>
      </c>
      <c r="C85" s="292">
        <v>75</v>
      </c>
      <c r="D85" s="273" t="s">
        <v>608</v>
      </c>
      <c r="E85" s="272">
        <v>0</v>
      </c>
      <c r="F85" s="221">
        <f t="shared" si="5"/>
        <v>0</v>
      </c>
      <c r="G85" s="221">
        <f t="shared" si="6"/>
        <v>0</v>
      </c>
      <c r="H85" s="213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309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6"/>
      <c r="AJ85" s="216"/>
      <c r="AK85" s="216"/>
      <c r="AL85" s="216"/>
      <c r="AM85" s="216"/>
    </row>
    <row r="86" spans="1:39" s="119" customFormat="1" ht="18" customHeight="1" thickBot="1" x14ac:dyDescent="0.35">
      <c r="A86" s="136" t="s">
        <v>80</v>
      </c>
      <c r="B86" s="130" t="s">
        <v>258</v>
      </c>
      <c r="C86" s="292">
        <v>453</v>
      </c>
      <c r="D86" s="273" t="s">
        <v>608</v>
      </c>
      <c r="E86" s="272">
        <v>0</v>
      </c>
      <c r="F86" s="221">
        <f t="shared" si="5"/>
        <v>0</v>
      </c>
      <c r="G86" s="221">
        <f t="shared" si="6"/>
        <v>0</v>
      </c>
      <c r="H86" s="213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309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6"/>
      <c r="AJ86" s="216"/>
      <c r="AK86" s="216"/>
      <c r="AL86" s="216"/>
      <c r="AM86" s="216"/>
    </row>
    <row r="87" spans="1:39" s="119" customFormat="1" ht="18" customHeight="1" thickBot="1" x14ac:dyDescent="0.35">
      <c r="A87" s="136" t="s">
        <v>81</v>
      </c>
      <c r="B87" s="130" t="s">
        <v>259</v>
      </c>
      <c r="C87" s="292">
        <v>0</v>
      </c>
      <c r="D87" s="136"/>
      <c r="E87" s="272">
        <v>0</v>
      </c>
      <c r="F87" s="221">
        <f t="shared" si="5"/>
        <v>0</v>
      </c>
      <c r="G87" s="221">
        <f t="shared" si="6"/>
        <v>0</v>
      </c>
      <c r="H87" s="213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309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6"/>
      <c r="AJ87" s="216"/>
      <c r="AK87" s="216"/>
      <c r="AL87" s="216"/>
      <c r="AM87" s="216"/>
    </row>
    <row r="88" spans="1:39" s="119" customFormat="1" ht="18" customHeight="1" thickBot="1" x14ac:dyDescent="0.35">
      <c r="A88" s="136" t="s">
        <v>82</v>
      </c>
      <c r="B88" s="130" t="s">
        <v>260</v>
      </c>
      <c r="C88" s="292">
        <v>377</v>
      </c>
      <c r="D88" s="283" t="s">
        <v>373</v>
      </c>
      <c r="E88" s="272">
        <v>0</v>
      </c>
      <c r="F88" s="221">
        <f t="shared" si="5"/>
        <v>0</v>
      </c>
      <c r="G88" s="221">
        <f t="shared" si="6"/>
        <v>0</v>
      </c>
      <c r="H88" s="213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309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6"/>
      <c r="AJ88" s="216"/>
      <c r="AK88" s="216"/>
      <c r="AL88" s="216"/>
      <c r="AM88" s="216"/>
    </row>
    <row r="89" spans="1:39" s="119" customFormat="1" ht="18" customHeight="1" thickBot="1" x14ac:dyDescent="0.35">
      <c r="A89" s="136" t="s">
        <v>83</v>
      </c>
      <c r="B89" s="130" t="s">
        <v>261</v>
      </c>
      <c r="C89" s="292">
        <v>453814</v>
      </c>
      <c r="D89" s="136"/>
      <c r="E89" s="272">
        <f>C89</f>
        <v>453814</v>
      </c>
      <c r="F89" s="221">
        <f t="shared" si="5"/>
        <v>453814</v>
      </c>
      <c r="G89" s="221">
        <f t="shared" si="6"/>
        <v>0</v>
      </c>
      <c r="H89" s="213"/>
      <c r="I89" s="214"/>
      <c r="J89" s="214"/>
      <c r="K89" s="214"/>
      <c r="L89" s="214"/>
      <c r="M89" s="214"/>
      <c r="N89" s="214"/>
      <c r="O89" s="214"/>
      <c r="P89" s="214"/>
      <c r="Q89" s="214"/>
      <c r="R89" s="214">
        <v>101516.22</v>
      </c>
      <c r="S89" s="214">
        <v>31301.599999999999</v>
      </c>
      <c r="T89" s="214">
        <v>81585.11</v>
      </c>
      <c r="U89" s="214"/>
      <c r="V89" s="214">
        <v>45495.56</v>
      </c>
      <c r="W89" s="214"/>
      <c r="X89" s="309"/>
      <c r="Y89" s="214"/>
      <c r="Z89" s="214"/>
      <c r="AA89" s="214">
        <v>161094.76</v>
      </c>
      <c r="AB89" s="214">
        <v>16796.36</v>
      </c>
      <c r="AC89" s="214">
        <v>16024.39</v>
      </c>
      <c r="AD89" s="214"/>
      <c r="AE89" s="214"/>
      <c r="AF89" s="214"/>
      <c r="AG89" s="214"/>
      <c r="AH89" s="214"/>
      <c r="AI89" s="216"/>
      <c r="AJ89" s="216"/>
      <c r="AK89" s="216"/>
      <c r="AL89" s="216"/>
      <c r="AM89" s="216"/>
    </row>
    <row r="90" spans="1:39" s="119" customFormat="1" ht="18" customHeight="1" thickBot="1" x14ac:dyDescent="0.35">
      <c r="A90" s="136" t="s">
        <v>84</v>
      </c>
      <c r="B90" s="130" t="s">
        <v>262</v>
      </c>
      <c r="C90" s="292">
        <v>0</v>
      </c>
      <c r="D90" s="136"/>
      <c r="E90" s="272">
        <v>0</v>
      </c>
      <c r="F90" s="221">
        <f t="shared" si="5"/>
        <v>0</v>
      </c>
      <c r="G90" s="221">
        <f t="shared" si="6"/>
        <v>0</v>
      </c>
      <c r="H90" s="213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309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6"/>
      <c r="AJ90" s="216"/>
      <c r="AK90" s="216"/>
      <c r="AL90" s="216"/>
      <c r="AM90" s="216"/>
    </row>
    <row r="91" spans="1:39" s="119" customFormat="1" ht="18" customHeight="1" thickBot="1" x14ac:dyDescent="0.35">
      <c r="A91" s="136" t="s">
        <v>85</v>
      </c>
      <c r="B91" s="130" t="s">
        <v>263</v>
      </c>
      <c r="C91" s="292">
        <v>151</v>
      </c>
      <c r="D91" s="273" t="s">
        <v>608</v>
      </c>
      <c r="E91" s="272">
        <v>0</v>
      </c>
      <c r="F91" s="221">
        <f t="shared" si="5"/>
        <v>0</v>
      </c>
      <c r="G91" s="221">
        <f t="shared" si="6"/>
        <v>0</v>
      </c>
      <c r="H91" s="213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309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6"/>
      <c r="AJ91" s="216"/>
      <c r="AK91" s="216"/>
      <c r="AL91" s="216"/>
      <c r="AM91" s="216"/>
    </row>
    <row r="92" spans="1:39" s="119" customFormat="1" ht="18" customHeight="1" thickBot="1" x14ac:dyDescent="0.35">
      <c r="A92" s="136" t="s">
        <v>86</v>
      </c>
      <c r="B92" s="130" t="s">
        <v>264</v>
      </c>
      <c r="C92" s="292">
        <v>75</v>
      </c>
      <c r="D92" s="283" t="s">
        <v>370</v>
      </c>
      <c r="E92" s="272">
        <v>0</v>
      </c>
      <c r="F92" s="221">
        <f t="shared" si="5"/>
        <v>0</v>
      </c>
      <c r="G92" s="221">
        <f t="shared" si="6"/>
        <v>0</v>
      </c>
      <c r="H92" s="213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309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6"/>
      <c r="AJ92" s="216"/>
      <c r="AK92" s="216"/>
      <c r="AL92" s="216"/>
      <c r="AM92" s="216"/>
    </row>
    <row r="93" spans="1:39" s="119" customFormat="1" ht="18" customHeight="1" thickBot="1" x14ac:dyDescent="0.35">
      <c r="A93" s="136" t="s">
        <v>87</v>
      </c>
      <c r="B93" s="130" t="s">
        <v>265</v>
      </c>
      <c r="C93" s="292">
        <v>151</v>
      </c>
      <c r="D93" s="283" t="s">
        <v>370</v>
      </c>
      <c r="E93" s="272">
        <v>0</v>
      </c>
      <c r="F93" s="221">
        <f t="shared" si="5"/>
        <v>0</v>
      </c>
      <c r="G93" s="221">
        <f t="shared" si="6"/>
        <v>0</v>
      </c>
      <c r="H93" s="213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309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6"/>
      <c r="AJ93" s="216"/>
      <c r="AK93" s="216"/>
      <c r="AL93" s="216"/>
      <c r="AM93" s="216"/>
    </row>
    <row r="94" spans="1:39" s="119" customFormat="1" ht="18" customHeight="1" thickBot="1" x14ac:dyDescent="0.35">
      <c r="A94" s="136" t="s">
        <v>88</v>
      </c>
      <c r="B94" s="130" t="s">
        <v>266</v>
      </c>
      <c r="C94" s="292">
        <v>2114</v>
      </c>
      <c r="D94" s="283" t="s">
        <v>370</v>
      </c>
      <c r="E94" s="272">
        <v>0</v>
      </c>
      <c r="F94" s="221">
        <f t="shared" si="5"/>
        <v>0</v>
      </c>
      <c r="G94" s="221">
        <f t="shared" si="6"/>
        <v>0</v>
      </c>
      <c r="H94" s="213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309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6"/>
      <c r="AJ94" s="216"/>
      <c r="AK94" s="216"/>
      <c r="AL94" s="216"/>
      <c r="AM94" s="216"/>
    </row>
    <row r="95" spans="1:39" s="119" customFormat="1" ht="18" customHeight="1" thickBot="1" x14ac:dyDescent="0.35">
      <c r="A95" s="136" t="s">
        <v>89</v>
      </c>
      <c r="B95" s="130" t="s">
        <v>267</v>
      </c>
      <c r="C95" s="292">
        <v>1887</v>
      </c>
      <c r="D95" s="283" t="s">
        <v>370</v>
      </c>
      <c r="E95" s="272">
        <v>0</v>
      </c>
      <c r="F95" s="221">
        <f t="shared" si="5"/>
        <v>0</v>
      </c>
      <c r="G95" s="221">
        <f t="shared" si="6"/>
        <v>0</v>
      </c>
      <c r="H95" s="213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309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6"/>
      <c r="AJ95" s="216"/>
      <c r="AK95" s="216"/>
      <c r="AL95" s="216"/>
      <c r="AM95" s="216"/>
    </row>
    <row r="96" spans="1:39" s="119" customFormat="1" ht="18" customHeight="1" thickBot="1" x14ac:dyDescent="0.35">
      <c r="A96" s="136" t="s">
        <v>90</v>
      </c>
      <c r="B96" s="130" t="s">
        <v>268</v>
      </c>
      <c r="C96" s="292">
        <v>11172</v>
      </c>
      <c r="D96" s="283" t="s">
        <v>370</v>
      </c>
      <c r="E96" s="272">
        <v>0</v>
      </c>
      <c r="F96" s="221">
        <f t="shared" si="5"/>
        <v>0</v>
      </c>
      <c r="G96" s="221">
        <f t="shared" si="6"/>
        <v>0</v>
      </c>
      <c r="H96" s="213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309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6"/>
      <c r="AJ96" s="216"/>
      <c r="AK96" s="216"/>
      <c r="AL96" s="216"/>
      <c r="AM96" s="216"/>
    </row>
    <row r="97" spans="1:39" s="119" customFormat="1" ht="18" customHeight="1" thickBot="1" x14ac:dyDescent="0.35">
      <c r="A97" s="136" t="s">
        <v>91</v>
      </c>
      <c r="B97" s="130" t="s">
        <v>269</v>
      </c>
      <c r="C97" s="292">
        <v>25589</v>
      </c>
      <c r="D97" s="136"/>
      <c r="E97" s="272">
        <f>C97</f>
        <v>25589</v>
      </c>
      <c r="F97" s="221">
        <f t="shared" si="5"/>
        <v>25589.000000000004</v>
      </c>
      <c r="G97" s="221">
        <f t="shared" si="6"/>
        <v>0</v>
      </c>
      <c r="H97" s="213"/>
      <c r="I97" s="214"/>
      <c r="J97" s="214"/>
      <c r="K97" s="214"/>
      <c r="L97" s="214"/>
      <c r="M97" s="214"/>
      <c r="N97" s="214">
        <f>6591+2195.64</f>
        <v>8786.64</v>
      </c>
      <c r="O97" s="214">
        <v>2196.13</v>
      </c>
      <c r="P97" s="214">
        <v>2196.13</v>
      </c>
      <c r="Q97" s="214">
        <v>2196.13</v>
      </c>
      <c r="R97" s="214">
        <v>2196.13</v>
      </c>
      <c r="S97" s="214">
        <v>8017.84</v>
      </c>
      <c r="T97" s="214"/>
      <c r="U97" s="214"/>
      <c r="V97" s="214"/>
      <c r="W97" s="214"/>
      <c r="X97" s="309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6"/>
      <c r="AJ97" s="216"/>
      <c r="AK97" s="216"/>
      <c r="AL97" s="216"/>
      <c r="AM97" s="216"/>
    </row>
    <row r="98" spans="1:39" s="119" customFormat="1" ht="18" customHeight="1" thickBot="1" x14ac:dyDescent="0.35">
      <c r="A98" s="136" t="s">
        <v>92</v>
      </c>
      <c r="B98" s="130" t="s">
        <v>270</v>
      </c>
      <c r="C98" s="292">
        <v>16758</v>
      </c>
      <c r="D98" s="136"/>
      <c r="E98" s="272">
        <f>C98</f>
        <v>16758</v>
      </c>
      <c r="F98" s="221">
        <f t="shared" si="5"/>
        <v>16758</v>
      </c>
      <c r="G98" s="221">
        <f t="shared" si="6"/>
        <v>0</v>
      </c>
      <c r="H98" s="213"/>
      <c r="I98" s="214"/>
      <c r="J98" s="214"/>
      <c r="K98" s="214"/>
      <c r="L98" s="214"/>
      <c r="M98" s="214"/>
      <c r="N98" s="214"/>
      <c r="O98" s="214"/>
      <c r="P98" s="214">
        <v>4717.54</v>
      </c>
      <c r="Q98" s="214"/>
      <c r="R98" s="214"/>
      <c r="S98" s="214">
        <f>6819.95+1609.4</f>
        <v>8429.35</v>
      </c>
      <c r="T98" s="214"/>
      <c r="U98" s="214"/>
      <c r="V98" s="214">
        <v>3611.11</v>
      </c>
      <c r="W98" s="214"/>
      <c r="X98" s="309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6"/>
      <c r="AJ98" s="216"/>
      <c r="AK98" s="216"/>
      <c r="AL98" s="216"/>
      <c r="AM98" s="216"/>
    </row>
    <row r="99" spans="1:39" s="119" customFormat="1" ht="18" customHeight="1" thickBot="1" x14ac:dyDescent="0.35">
      <c r="A99" s="136" t="s">
        <v>93</v>
      </c>
      <c r="B99" s="130" t="s">
        <v>271</v>
      </c>
      <c r="C99" s="292">
        <v>2642</v>
      </c>
      <c r="D99" s="283" t="s">
        <v>371</v>
      </c>
      <c r="E99" s="272">
        <v>0</v>
      </c>
      <c r="F99" s="221">
        <f t="shared" si="5"/>
        <v>0</v>
      </c>
      <c r="G99" s="221">
        <f t="shared" si="6"/>
        <v>0</v>
      </c>
      <c r="H99" s="213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309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6"/>
      <c r="AJ99" s="216"/>
      <c r="AK99" s="216"/>
      <c r="AL99" s="216"/>
      <c r="AM99" s="216"/>
    </row>
    <row r="100" spans="1:39" s="119" customFormat="1" ht="18" customHeight="1" thickBot="1" x14ac:dyDescent="0.35">
      <c r="A100" s="136" t="s">
        <v>94</v>
      </c>
      <c r="B100" s="130" t="s">
        <v>272</v>
      </c>
      <c r="C100" s="292">
        <v>3548</v>
      </c>
      <c r="D100" s="273" t="s">
        <v>371</v>
      </c>
      <c r="E100" s="272">
        <v>0</v>
      </c>
      <c r="F100" s="221">
        <f t="shared" si="5"/>
        <v>0</v>
      </c>
      <c r="G100" s="221">
        <f t="shared" si="6"/>
        <v>0</v>
      </c>
      <c r="H100" s="213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309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6"/>
      <c r="AJ100" s="216"/>
      <c r="AK100" s="216"/>
      <c r="AL100" s="216"/>
      <c r="AM100" s="216"/>
    </row>
    <row r="101" spans="1:39" s="119" customFormat="1" ht="18" customHeight="1" thickBot="1" x14ac:dyDescent="0.35">
      <c r="A101" s="136" t="s">
        <v>95</v>
      </c>
      <c r="B101" s="130" t="s">
        <v>273</v>
      </c>
      <c r="C101" s="292">
        <v>142893</v>
      </c>
      <c r="D101" s="136"/>
      <c r="E101" s="272">
        <f>C101</f>
        <v>142893</v>
      </c>
      <c r="F101" s="221">
        <f t="shared" si="5"/>
        <v>142893</v>
      </c>
      <c r="G101" s="221">
        <f t="shared" si="6"/>
        <v>0</v>
      </c>
      <c r="H101" s="213"/>
      <c r="I101" s="214"/>
      <c r="J101" s="214"/>
      <c r="K101" s="214"/>
      <c r="L101" s="214">
        <v>23536.47</v>
      </c>
      <c r="M101" s="214"/>
      <c r="N101" s="214"/>
      <c r="O101" s="214"/>
      <c r="P101" s="214">
        <v>35304.71</v>
      </c>
      <c r="Q101" s="214"/>
      <c r="R101" s="214">
        <v>36133.919999999998</v>
      </c>
      <c r="S101" s="214">
        <v>23536.46</v>
      </c>
      <c r="T101" s="214"/>
      <c r="U101" s="214">
        <v>11768.23</v>
      </c>
      <c r="V101" s="214"/>
      <c r="W101" s="214"/>
      <c r="X101" s="309">
        <v>11676.37</v>
      </c>
      <c r="Y101" s="214"/>
      <c r="Z101" s="214"/>
      <c r="AA101" s="214">
        <v>936.84</v>
      </c>
      <c r="AB101" s="214"/>
      <c r="AC101" s="214"/>
      <c r="AD101" s="214"/>
      <c r="AE101" s="214"/>
      <c r="AF101" s="214"/>
      <c r="AG101" s="214"/>
      <c r="AH101" s="214"/>
      <c r="AI101" s="216"/>
      <c r="AJ101" s="216"/>
      <c r="AK101" s="216"/>
      <c r="AL101" s="216"/>
      <c r="AM101" s="216"/>
    </row>
    <row r="102" spans="1:39" s="119" customFormat="1" ht="18" customHeight="1" thickBot="1" x14ac:dyDescent="0.35">
      <c r="A102" s="136" t="s">
        <v>96</v>
      </c>
      <c r="B102" s="130" t="s">
        <v>274</v>
      </c>
      <c r="C102" s="292">
        <v>40535</v>
      </c>
      <c r="D102" s="136"/>
      <c r="E102" s="272">
        <f t="shared" ref="E102:E103" si="8">C102</f>
        <v>40535</v>
      </c>
      <c r="F102" s="221">
        <f t="shared" si="5"/>
        <v>18603.71</v>
      </c>
      <c r="G102" s="221">
        <f t="shared" si="6"/>
        <v>21931.29</v>
      </c>
      <c r="H102" s="213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>
        <v>2871.34</v>
      </c>
      <c r="X102" s="309"/>
      <c r="Y102" s="214"/>
      <c r="Z102" s="214"/>
      <c r="AA102" s="214"/>
      <c r="AB102" s="214"/>
      <c r="AC102" s="214"/>
      <c r="AD102" s="214"/>
      <c r="AE102" s="214">
        <f>11487.71+4244.66</f>
        <v>15732.369999999999</v>
      </c>
      <c r="AF102" s="214"/>
      <c r="AG102" s="214"/>
      <c r="AH102" s="214"/>
      <c r="AI102" s="216"/>
      <c r="AJ102" s="216"/>
      <c r="AK102" s="216"/>
      <c r="AL102" s="216"/>
      <c r="AM102" s="216"/>
    </row>
    <row r="103" spans="1:39" s="119" customFormat="1" ht="18" customHeight="1" thickBot="1" x14ac:dyDescent="0.35">
      <c r="A103" s="136" t="s">
        <v>97</v>
      </c>
      <c r="B103" s="130" t="s">
        <v>275</v>
      </c>
      <c r="C103" s="292">
        <v>11474</v>
      </c>
      <c r="D103" s="136"/>
      <c r="E103" s="272">
        <f t="shared" si="8"/>
        <v>11474</v>
      </c>
      <c r="F103" s="221">
        <f t="shared" si="5"/>
        <v>11474</v>
      </c>
      <c r="G103" s="221">
        <f t="shared" si="6"/>
        <v>0</v>
      </c>
      <c r="H103" s="213"/>
      <c r="I103" s="214"/>
      <c r="J103" s="214"/>
      <c r="K103" s="214"/>
      <c r="L103" s="214"/>
      <c r="M103" s="214"/>
      <c r="N103" s="214"/>
      <c r="O103" s="214"/>
      <c r="P103" s="214">
        <v>11474</v>
      </c>
      <c r="Q103" s="214"/>
      <c r="R103" s="214"/>
      <c r="S103" s="214"/>
      <c r="T103" s="214"/>
      <c r="U103" s="214"/>
      <c r="V103" s="214"/>
      <c r="W103" s="214"/>
      <c r="X103" s="309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6"/>
      <c r="AJ103" s="216"/>
      <c r="AK103" s="216"/>
      <c r="AL103" s="216"/>
      <c r="AM103" s="216"/>
    </row>
    <row r="104" spans="1:39" s="119" customFormat="1" ht="18" customHeight="1" thickBot="1" x14ac:dyDescent="0.35">
      <c r="A104" s="136" t="s">
        <v>98</v>
      </c>
      <c r="B104" s="130" t="s">
        <v>276</v>
      </c>
      <c r="C104" s="292">
        <v>1585</v>
      </c>
      <c r="D104" s="273" t="s">
        <v>608</v>
      </c>
      <c r="E104" s="272">
        <v>0</v>
      </c>
      <c r="F104" s="221">
        <f t="shared" si="5"/>
        <v>0</v>
      </c>
      <c r="G104" s="221">
        <f t="shared" si="6"/>
        <v>0</v>
      </c>
      <c r="H104" s="213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309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6"/>
      <c r="AJ104" s="216"/>
      <c r="AK104" s="216"/>
      <c r="AL104" s="216"/>
      <c r="AM104" s="216"/>
    </row>
    <row r="105" spans="1:39" s="119" customFormat="1" ht="18" customHeight="1" thickBot="1" x14ac:dyDescent="0.35">
      <c r="A105" s="136" t="s">
        <v>99</v>
      </c>
      <c r="B105" s="130" t="s">
        <v>277</v>
      </c>
      <c r="C105" s="292">
        <v>604</v>
      </c>
      <c r="D105" s="273" t="s">
        <v>608</v>
      </c>
      <c r="E105" s="272">
        <v>0</v>
      </c>
      <c r="F105" s="221">
        <f t="shared" si="5"/>
        <v>0</v>
      </c>
      <c r="G105" s="221">
        <f t="shared" si="6"/>
        <v>0</v>
      </c>
      <c r="H105" s="213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309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6"/>
      <c r="AJ105" s="216"/>
      <c r="AK105" s="216"/>
      <c r="AL105" s="216"/>
      <c r="AM105" s="216"/>
    </row>
    <row r="106" spans="1:39" s="119" customFormat="1" ht="18" customHeight="1" thickBot="1" x14ac:dyDescent="0.35">
      <c r="A106" s="136" t="s">
        <v>100</v>
      </c>
      <c r="B106" s="130" t="s">
        <v>278</v>
      </c>
      <c r="C106" s="292">
        <v>604</v>
      </c>
      <c r="D106" s="273" t="s">
        <v>608</v>
      </c>
      <c r="E106" s="272">
        <v>0</v>
      </c>
      <c r="F106" s="221">
        <f t="shared" si="5"/>
        <v>0</v>
      </c>
      <c r="G106" s="221">
        <f t="shared" si="6"/>
        <v>0</v>
      </c>
      <c r="H106" s="213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309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6"/>
      <c r="AJ106" s="216"/>
      <c r="AK106" s="216"/>
      <c r="AL106" s="216"/>
      <c r="AM106" s="216"/>
    </row>
    <row r="107" spans="1:39" s="119" customFormat="1" ht="18" customHeight="1" thickBot="1" x14ac:dyDescent="0.35">
      <c r="A107" s="136" t="s">
        <v>101</v>
      </c>
      <c r="B107" s="130" t="s">
        <v>279</v>
      </c>
      <c r="C107" s="292">
        <v>377</v>
      </c>
      <c r="D107" s="273" t="s">
        <v>608</v>
      </c>
      <c r="E107" s="272">
        <v>0</v>
      </c>
      <c r="F107" s="221">
        <f t="shared" si="5"/>
        <v>0</v>
      </c>
      <c r="G107" s="221">
        <f t="shared" si="6"/>
        <v>0</v>
      </c>
      <c r="H107" s="213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309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6"/>
      <c r="AJ107" s="216"/>
      <c r="AK107" s="216"/>
      <c r="AL107" s="216"/>
      <c r="AM107" s="216"/>
    </row>
    <row r="108" spans="1:39" s="119" customFormat="1" ht="18" customHeight="1" thickBot="1" x14ac:dyDescent="0.35">
      <c r="A108" s="136" t="s">
        <v>102</v>
      </c>
      <c r="B108" s="130" t="s">
        <v>280</v>
      </c>
      <c r="C108" s="292">
        <v>0</v>
      </c>
      <c r="D108" s="273"/>
      <c r="E108" s="272">
        <v>0</v>
      </c>
      <c r="F108" s="221">
        <f t="shared" si="5"/>
        <v>0</v>
      </c>
      <c r="G108" s="221">
        <f t="shared" si="6"/>
        <v>0</v>
      </c>
      <c r="H108" s="213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309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6"/>
      <c r="AJ108" s="216"/>
      <c r="AK108" s="216"/>
      <c r="AL108" s="216"/>
      <c r="AM108" s="216"/>
    </row>
    <row r="109" spans="1:39" s="119" customFormat="1" ht="18" customHeight="1" thickBot="1" x14ac:dyDescent="0.35">
      <c r="A109" s="136" t="s">
        <v>103</v>
      </c>
      <c r="B109" s="130" t="s">
        <v>281</v>
      </c>
      <c r="C109" s="292">
        <v>0</v>
      </c>
      <c r="D109" s="136"/>
      <c r="E109" s="272">
        <v>0</v>
      </c>
      <c r="F109" s="221">
        <f t="shared" si="5"/>
        <v>0</v>
      </c>
      <c r="G109" s="221">
        <f t="shared" si="6"/>
        <v>0</v>
      </c>
      <c r="H109" s="213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309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6"/>
      <c r="AJ109" s="216"/>
      <c r="AK109" s="216"/>
      <c r="AL109" s="216"/>
      <c r="AM109" s="216"/>
    </row>
    <row r="110" spans="1:39" s="119" customFormat="1" ht="18" customHeight="1" thickBot="1" x14ac:dyDescent="0.35">
      <c r="A110" s="136" t="s">
        <v>104</v>
      </c>
      <c r="B110" s="130" t="s">
        <v>282</v>
      </c>
      <c r="C110" s="292">
        <v>0</v>
      </c>
      <c r="D110" s="136"/>
      <c r="E110" s="272">
        <v>0</v>
      </c>
      <c r="F110" s="221">
        <f t="shared" si="5"/>
        <v>0</v>
      </c>
      <c r="G110" s="221">
        <f t="shared" si="6"/>
        <v>0</v>
      </c>
      <c r="H110" s="213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309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6"/>
      <c r="AJ110" s="216"/>
      <c r="AK110" s="216"/>
      <c r="AL110" s="216"/>
      <c r="AM110" s="216"/>
    </row>
    <row r="111" spans="1:39" s="119" customFormat="1" ht="18" customHeight="1" thickBot="1" x14ac:dyDescent="0.35">
      <c r="A111" s="136" t="s">
        <v>105</v>
      </c>
      <c r="B111" s="130" t="s">
        <v>283</v>
      </c>
      <c r="C111" s="292">
        <v>3246</v>
      </c>
      <c r="D111" s="283">
        <v>9025</v>
      </c>
      <c r="E111" s="272">
        <v>0</v>
      </c>
      <c r="F111" s="221">
        <f t="shared" si="5"/>
        <v>0</v>
      </c>
      <c r="G111" s="221">
        <f t="shared" si="6"/>
        <v>0</v>
      </c>
      <c r="H111" s="213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309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6"/>
      <c r="AJ111" s="216"/>
      <c r="AK111" s="216"/>
      <c r="AL111" s="216"/>
      <c r="AM111" s="216"/>
    </row>
    <row r="112" spans="1:39" s="119" customFormat="1" ht="18" customHeight="1" thickBot="1" x14ac:dyDescent="0.35">
      <c r="A112" s="136" t="s">
        <v>106</v>
      </c>
      <c r="B112" s="130" t="s">
        <v>284</v>
      </c>
      <c r="C112" s="292">
        <v>0</v>
      </c>
      <c r="D112" s="136"/>
      <c r="E112" s="272">
        <v>0</v>
      </c>
      <c r="F112" s="221">
        <f t="shared" si="5"/>
        <v>0</v>
      </c>
      <c r="G112" s="221">
        <f t="shared" si="6"/>
        <v>0</v>
      </c>
      <c r="H112" s="213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309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6"/>
      <c r="AJ112" s="216"/>
      <c r="AK112" s="216"/>
      <c r="AL112" s="216"/>
      <c r="AM112" s="216"/>
    </row>
    <row r="113" spans="1:39" s="119" customFormat="1" ht="18" customHeight="1" thickBot="1" x14ac:dyDescent="0.35">
      <c r="A113" s="136" t="s">
        <v>107</v>
      </c>
      <c r="B113" s="130" t="s">
        <v>285</v>
      </c>
      <c r="C113" s="292">
        <v>8605</v>
      </c>
      <c r="D113" s="283" t="s">
        <v>371</v>
      </c>
      <c r="E113" s="272">
        <v>0</v>
      </c>
      <c r="F113" s="221">
        <f t="shared" si="5"/>
        <v>0</v>
      </c>
      <c r="G113" s="221">
        <f t="shared" si="6"/>
        <v>0</v>
      </c>
      <c r="H113" s="213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309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6"/>
      <c r="AJ113" s="216"/>
      <c r="AK113" s="216"/>
      <c r="AL113" s="216"/>
      <c r="AM113" s="216"/>
    </row>
    <row r="114" spans="1:39" s="119" customFormat="1" ht="18" customHeight="1" thickBot="1" x14ac:dyDescent="0.35">
      <c r="A114" s="136" t="s">
        <v>108</v>
      </c>
      <c r="B114" s="130" t="s">
        <v>286</v>
      </c>
      <c r="C114" s="292">
        <v>0</v>
      </c>
      <c r="D114" s="136"/>
      <c r="E114" s="272">
        <v>0</v>
      </c>
      <c r="F114" s="221">
        <f t="shared" si="5"/>
        <v>0</v>
      </c>
      <c r="G114" s="221">
        <f t="shared" si="6"/>
        <v>0</v>
      </c>
      <c r="H114" s="213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309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6"/>
      <c r="AJ114" s="216"/>
      <c r="AK114" s="216"/>
      <c r="AL114" s="216"/>
      <c r="AM114" s="216"/>
    </row>
    <row r="115" spans="1:39" s="119" customFormat="1" ht="18" customHeight="1" thickBot="1" x14ac:dyDescent="0.35">
      <c r="A115" s="136" t="s">
        <v>109</v>
      </c>
      <c r="B115" s="130" t="s">
        <v>287</v>
      </c>
      <c r="C115" s="292">
        <v>377</v>
      </c>
      <c r="D115" s="273" t="s">
        <v>608</v>
      </c>
      <c r="E115" s="272">
        <v>0</v>
      </c>
      <c r="F115" s="221">
        <f t="shared" si="5"/>
        <v>0</v>
      </c>
      <c r="G115" s="221">
        <f t="shared" si="6"/>
        <v>0</v>
      </c>
      <c r="H115" s="213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309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6"/>
      <c r="AJ115" s="216"/>
      <c r="AK115" s="216"/>
      <c r="AL115" s="216"/>
      <c r="AM115" s="216"/>
    </row>
    <row r="116" spans="1:39" s="119" customFormat="1" ht="18" customHeight="1" thickBot="1" x14ac:dyDescent="0.35">
      <c r="A116" s="136" t="s">
        <v>110</v>
      </c>
      <c r="B116" s="130" t="s">
        <v>288</v>
      </c>
      <c r="C116" s="292">
        <v>0</v>
      </c>
      <c r="D116" s="136"/>
      <c r="E116" s="272">
        <v>0</v>
      </c>
      <c r="F116" s="221">
        <f t="shared" si="5"/>
        <v>0</v>
      </c>
      <c r="G116" s="221">
        <f t="shared" si="6"/>
        <v>0</v>
      </c>
      <c r="H116" s="213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309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6"/>
      <c r="AJ116" s="216"/>
      <c r="AK116" s="216"/>
      <c r="AL116" s="216"/>
      <c r="AM116" s="216"/>
    </row>
    <row r="117" spans="1:39" s="119" customFormat="1" ht="18" customHeight="1" thickBot="1" x14ac:dyDescent="0.35">
      <c r="A117" s="136" t="s">
        <v>111</v>
      </c>
      <c r="B117" s="130" t="s">
        <v>289</v>
      </c>
      <c r="C117" s="292">
        <v>453</v>
      </c>
      <c r="D117" s="273" t="s">
        <v>608</v>
      </c>
      <c r="E117" s="272">
        <v>0</v>
      </c>
      <c r="F117" s="221">
        <f t="shared" si="5"/>
        <v>0</v>
      </c>
      <c r="G117" s="221">
        <f t="shared" si="6"/>
        <v>0</v>
      </c>
      <c r="H117" s="213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309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6"/>
      <c r="AJ117" s="216"/>
      <c r="AK117" s="216"/>
      <c r="AL117" s="216"/>
      <c r="AM117" s="216"/>
    </row>
    <row r="118" spans="1:39" s="119" customFormat="1" ht="18" customHeight="1" thickBot="1" x14ac:dyDescent="0.35">
      <c r="A118" s="136" t="s">
        <v>112</v>
      </c>
      <c r="B118" s="130" t="s">
        <v>290</v>
      </c>
      <c r="C118" s="292">
        <v>377</v>
      </c>
      <c r="D118" s="273" t="s">
        <v>608</v>
      </c>
      <c r="E118" s="272">
        <v>0</v>
      </c>
      <c r="F118" s="221">
        <f t="shared" si="5"/>
        <v>0</v>
      </c>
      <c r="G118" s="221">
        <f t="shared" si="6"/>
        <v>0</v>
      </c>
      <c r="H118" s="213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309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6"/>
      <c r="AJ118" s="216"/>
      <c r="AK118" s="216"/>
      <c r="AL118" s="216"/>
      <c r="AM118" s="216"/>
    </row>
    <row r="119" spans="1:39" s="119" customFormat="1" ht="18" customHeight="1" thickBot="1" x14ac:dyDescent="0.35">
      <c r="A119" s="136" t="s">
        <v>113</v>
      </c>
      <c r="B119" s="130" t="s">
        <v>291</v>
      </c>
      <c r="C119" s="292">
        <v>51405</v>
      </c>
      <c r="D119" s="136"/>
      <c r="E119" s="272">
        <f>C119</f>
        <v>51405</v>
      </c>
      <c r="F119" s="221">
        <f t="shared" si="5"/>
        <v>51405</v>
      </c>
      <c r="G119" s="221">
        <f t="shared" si="6"/>
        <v>0</v>
      </c>
      <c r="H119" s="213"/>
      <c r="I119" s="214"/>
      <c r="J119" s="214"/>
      <c r="K119" s="214"/>
      <c r="L119" s="214"/>
      <c r="M119" s="214"/>
      <c r="N119" s="214"/>
      <c r="O119" s="214"/>
      <c r="P119" s="214">
        <v>1391.31</v>
      </c>
      <c r="Q119" s="214">
        <v>2022.46</v>
      </c>
      <c r="R119" s="214"/>
      <c r="S119" s="214">
        <v>4479.66</v>
      </c>
      <c r="T119" s="214"/>
      <c r="U119" s="214"/>
      <c r="V119" s="214">
        <v>14256.05</v>
      </c>
      <c r="W119" s="214"/>
      <c r="X119" s="309"/>
      <c r="Y119" s="214">
        <v>29255.52</v>
      </c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6"/>
      <c r="AJ119" s="216"/>
      <c r="AK119" s="216"/>
      <c r="AL119" s="216"/>
      <c r="AM119" s="216"/>
    </row>
    <row r="120" spans="1:39" s="119" customFormat="1" ht="18" customHeight="1" thickBot="1" x14ac:dyDescent="0.35">
      <c r="A120" s="136" t="s">
        <v>114</v>
      </c>
      <c r="B120" s="130" t="s">
        <v>292</v>
      </c>
      <c r="C120" s="292">
        <v>151</v>
      </c>
      <c r="D120" s="283" t="s">
        <v>400</v>
      </c>
      <c r="E120" s="272">
        <v>0</v>
      </c>
      <c r="F120" s="221">
        <f t="shared" si="5"/>
        <v>0</v>
      </c>
      <c r="G120" s="221">
        <f t="shared" si="6"/>
        <v>0</v>
      </c>
      <c r="H120" s="213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309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6"/>
      <c r="AJ120" s="216"/>
      <c r="AK120" s="216"/>
      <c r="AL120" s="216"/>
      <c r="AM120" s="216"/>
    </row>
    <row r="121" spans="1:39" s="119" customFormat="1" ht="18" customHeight="1" thickBot="1" x14ac:dyDescent="0.35">
      <c r="A121" s="136" t="s">
        <v>115</v>
      </c>
      <c r="B121" s="130" t="s">
        <v>293</v>
      </c>
      <c r="C121" s="292">
        <v>15852</v>
      </c>
      <c r="D121" s="136"/>
      <c r="E121" s="272">
        <f>C121</f>
        <v>15852</v>
      </c>
      <c r="F121" s="221">
        <f t="shared" si="5"/>
        <v>15852</v>
      </c>
      <c r="G121" s="221">
        <f t="shared" si="6"/>
        <v>0</v>
      </c>
      <c r="H121" s="213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>
        <v>15852</v>
      </c>
      <c r="T121" s="214"/>
      <c r="U121" s="214"/>
      <c r="V121" s="214"/>
      <c r="W121" s="214"/>
      <c r="X121" s="309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6"/>
      <c r="AJ121" s="216"/>
      <c r="AK121" s="216"/>
      <c r="AL121" s="216"/>
      <c r="AM121" s="216"/>
    </row>
    <row r="122" spans="1:39" s="119" customFormat="1" ht="18" customHeight="1" thickBot="1" x14ac:dyDescent="0.35">
      <c r="A122" s="136" t="s">
        <v>116</v>
      </c>
      <c r="B122" s="130" t="s">
        <v>294</v>
      </c>
      <c r="C122" s="292">
        <v>10719</v>
      </c>
      <c r="D122" s="283" t="s">
        <v>371</v>
      </c>
      <c r="E122" s="272">
        <v>0</v>
      </c>
      <c r="F122" s="221">
        <f t="shared" si="5"/>
        <v>0</v>
      </c>
      <c r="G122" s="221">
        <f t="shared" si="6"/>
        <v>0</v>
      </c>
      <c r="H122" s="213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309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6"/>
      <c r="AJ122" s="216"/>
      <c r="AK122" s="216"/>
      <c r="AL122" s="216"/>
      <c r="AM122" s="216"/>
    </row>
    <row r="123" spans="1:39" s="119" customFormat="1" ht="18" customHeight="1" thickBot="1" x14ac:dyDescent="0.35">
      <c r="A123" s="136" t="s">
        <v>117</v>
      </c>
      <c r="B123" s="130" t="s">
        <v>295</v>
      </c>
      <c r="C123" s="292">
        <v>1359</v>
      </c>
      <c r="D123" s="273" t="s">
        <v>608</v>
      </c>
      <c r="E123" s="272">
        <v>0</v>
      </c>
      <c r="F123" s="221">
        <f t="shared" si="5"/>
        <v>0</v>
      </c>
      <c r="G123" s="221">
        <f t="shared" si="6"/>
        <v>0</v>
      </c>
      <c r="H123" s="213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309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6"/>
      <c r="AJ123" s="216"/>
      <c r="AK123" s="216"/>
      <c r="AL123" s="216"/>
      <c r="AM123" s="216"/>
    </row>
    <row r="124" spans="1:39" s="119" customFormat="1" ht="18" customHeight="1" thickBot="1" x14ac:dyDescent="0.35">
      <c r="A124" s="136" t="s">
        <v>118</v>
      </c>
      <c r="B124" s="130" t="s">
        <v>296</v>
      </c>
      <c r="C124" s="292">
        <v>2793</v>
      </c>
      <c r="D124" s="273" t="s">
        <v>608</v>
      </c>
      <c r="E124" s="272">
        <v>0</v>
      </c>
      <c r="F124" s="221">
        <f t="shared" si="5"/>
        <v>0</v>
      </c>
      <c r="G124" s="221">
        <f t="shared" si="6"/>
        <v>0</v>
      </c>
      <c r="H124" s="213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309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6"/>
      <c r="AJ124" s="216"/>
      <c r="AK124" s="216"/>
      <c r="AL124" s="216"/>
      <c r="AM124" s="216"/>
    </row>
    <row r="125" spans="1:39" s="119" customFormat="1" ht="18" customHeight="1" thickBot="1" x14ac:dyDescent="0.35">
      <c r="A125" s="136" t="s">
        <v>119</v>
      </c>
      <c r="B125" s="130" t="s">
        <v>297</v>
      </c>
      <c r="C125" s="292">
        <v>59482</v>
      </c>
      <c r="D125" s="136"/>
      <c r="E125" s="272">
        <f>C125</f>
        <v>59482</v>
      </c>
      <c r="F125" s="221">
        <f t="shared" si="5"/>
        <v>59482.000000000007</v>
      </c>
      <c r="G125" s="221">
        <f t="shared" si="6"/>
        <v>0</v>
      </c>
      <c r="H125" s="213"/>
      <c r="I125" s="214"/>
      <c r="J125" s="214"/>
      <c r="K125" s="214"/>
      <c r="L125" s="214"/>
      <c r="M125" s="214"/>
      <c r="N125" s="214">
        <v>4851.21</v>
      </c>
      <c r="O125" s="214"/>
      <c r="P125" s="214">
        <v>3158.27</v>
      </c>
      <c r="Q125" s="214">
        <v>4588.29</v>
      </c>
      <c r="R125" s="214"/>
      <c r="S125" s="214">
        <v>205.76</v>
      </c>
      <c r="T125" s="214">
        <v>3163.42</v>
      </c>
      <c r="U125" s="214"/>
      <c r="V125" s="214"/>
      <c r="W125" s="214"/>
      <c r="X125" s="309">
        <v>13013.95</v>
      </c>
      <c r="Y125" s="214">
        <v>5921.34</v>
      </c>
      <c r="Z125" s="214">
        <v>4450.6000000000004</v>
      </c>
      <c r="AA125" s="214">
        <v>4924.68</v>
      </c>
      <c r="AB125" s="214">
        <v>6044.5</v>
      </c>
      <c r="AC125" s="214">
        <v>5391.22</v>
      </c>
      <c r="AD125" s="214">
        <v>3768.76</v>
      </c>
      <c r="AE125" s="214"/>
      <c r="AF125" s="214"/>
      <c r="AG125" s="214"/>
      <c r="AH125" s="214"/>
      <c r="AI125" s="216"/>
      <c r="AJ125" s="216"/>
      <c r="AK125" s="216"/>
      <c r="AL125" s="216"/>
      <c r="AM125" s="216"/>
    </row>
    <row r="126" spans="1:39" s="119" customFormat="1" ht="18" customHeight="1" thickBot="1" x14ac:dyDescent="0.35">
      <c r="A126" s="136" t="s">
        <v>120</v>
      </c>
      <c r="B126" s="130" t="s">
        <v>298</v>
      </c>
      <c r="C126" s="292">
        <v>75</v>
      </c>
      <c r="D126" s="273" t="s">
        <v>608</v>
      </c>
      <c r="E126" s="272">
        <v>0</v>
      </c>
      <c r="F126" s="221">
        <f t="shared" si="5"/>
        <v>0</v>
      </c>
      <c r="G126" s="221">
        <f t="shared" si="6"/>
        <v>0</v>
      </c>
      <c r="H126" s="213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309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6"/>
      <c r="AJ126" s="216"/>
      <c r="AK126" s="216"/>
      <c r="AL126" s="216"/>
      <c r="AM126" s="216"/>
    </row>
    <row r="127" spans="1:39" s="119" customFormat="1" ht="19.5" thickBot="1" x14ac:dyDescent="0.35">
      <c r="A127" s="136" t="s">
        <v>121</v>
      </c>
      <c r="B127" s="130" t="s">
        <v>299</v>
      </c>
      <c r="C127" s="292">
        <v>15625</v>
      </c>
      <c r="D127" s="283" t="s">
        <v>371</v>
      </c>
      <c r="E127" s="272">
        <v>0</v>
      </c>
      <c r="F127" s="221">
        <f t="shared" si="5"/>
        <v>0</v>
      </c>
      <c r="G127" s="221">
        <f t="shared" si="6"/>
        <v>0</v>
      </c>
      <c r="H127" s="213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309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6"/>
      <c r="AJ127" s="216"/>
      <c r="AK127" s="216"/>
      <c r="AL127" s="216"/>
      <c r="AM127" s="216"/>
    </row>
    <row r="128" spans="1:39" s="119" customFormat="1" ht="19.5" thickBot="1" x14ac:dyDescent="0.35">
      <c r="A128" s="136" t="s">
        <v>122</v>
      </c>
      <c r="B128" s="130" t="s">
        <v>300</v>
      </c>
      <c r="C128" s="292">
        <v>72994</v>
      </c>
      <c r="D128" s="136"/>
      <c r="E128" s="272">
        <f>C128</f>
        <v>72994</v>
      </c>
      <c r="F128" s="221">
        <f t="shared" si="5"/>
        <v>72994</v>
      </c>
      <c r="G128" s="221">
        <f t="shared" si="6"/>
        <v>0</v>
      </c>
      <c r="H128" s="213"/>
      <c r="I128" s="214"/>
      <c r="J128" s="214"/>
      <c r="K128" s="214"/>
      <c r="L128" s="214"/>
      <c r="M128" s="214"/>
      <c r="N128" s="214"/>
      <c r="O128" s="214"/>
      <c r="P128" s="214">
        <v>1518.27</v>
      </c>
      <c r="Q128" s="214">
        <v>5764.03</v>
      </c>
      <c r="R128" s="214">
        <v>5071.88</v>
      </c>
      <c r="S128" s="214">
        <v>7569.98</v>
      </c>
      <c r="T128" s="214"/>
      <c r="U128" s="214">
        <v>3089.56</v>
      </c>
      <c r="V128" s="214"/>
      <c r="W128" s="214">
        <v>10848.95</v>
      </c>
      <c r="X128" s="309">
        <f>1145.36+8406.09</f>
        <v>9551.4500000000007</v>
      </c>
      <c r="Y128" s="214">
        <v>9219.1</v>
      </c>
      <c r="Z128" s="214">
        <v>9753.19</v>
      </c>
      <c r="AA128" s="214">
        <v>4463.8100000000004</v>
      </c>
      <c r="AB128" s="214">
        <v>6143.78</v>
      </c>
      <c r="AC128" s="214"/>
      <c r="AD128" s="214"/>
      <c r="AE128" s="214"/>
      <c r="AF128" s="214"/>
      <c r="AG128" s="214"/>
      <c r="AH128" s="214"/>
      <c r="AI128" s="216"/>
      <c r="AJ128" s="216"/>
      <c r="AK128" s="216"/>
      <c r="AL128" s="216"/>
      <c r="AM128" s="216"/>
    </row>
    <row r="129" spans="1:55" s="119" customFormat="1" ht="19.5" thickBot="1" x14ac:dyDescent="0.35">
      <c r="A129" s="136" t="s">
        <v>123</v>
      </c>
      <c r="B129" s="130" t="s">
        <v>301</v>
      </c>
      <c r="C129" s="292">
        <v>0</v>
      </c>
      <c r="D129" s="136"/>
      <c r="E129" s="272">
        <v>0</v>
      </c>
      <c r="F129" s="221">
        <f t="shared" si="5"/>
        <v>0</v>
      </c>
      <c r="G129" s="221">
        <f t="shared" si="6"/>
        <v>0</v>
      </c>
      <c r="H129" s="213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309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6"/>
      <c r="AJ129" s="216"/>
      <c r="AK129" s="216"/>
      <c r="AL129" s="216"/>
      <c r="AM129" s="216"/>
    </row>
    <row r="130" spans="1:55" s="119" customFormat="1" ht="19.5" thickBot="1" x14ac:dyDescent="0.35">
      <c r="A130" s="136" t="s">
        <v>124</v>
      </c>
      <c r="B130" s="130" t="s">
        <v>302</v>
      </c>
      <c r="C130" s="292">
        <v>5963</v>
      </c>
      <c r="D130" s="283" t="s">
        <v>371</v>
      </c>
      <c r="E130" s="272">
        <v>0</v>
      </c>
      <c r="F130" s="221">
        <f t="shared" si="5"/>
        <v>0</v>
      </c>
      <c r="G130" s="221">
        <f t="shared" si="6"/>
        <v>0</v>
      </c>
      <c r="H130" s="213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309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6"/>
      <c r="AJ130" s="216"/>
      <c r="AK130" s="216"/>
      <c r="AL130" s="216"/>
      <c r="AM130" s="216"/>
    </row>
    <row r="131" spans="1:55" s="119" customFormat="1" ht="19.5" thickBot="1" x14ac:dyDescent="0.35">
      <c r="A131" s="136" t="s">
        <v>125</v>
      </c>
      <c r="B131" s="130" t="s">
        <v>303</v>
      </c>
      <c r="C131" s="292">
        <v>3170</v>
      </c>
      <c r="D131" s="283" t="s">
        <v>401</v>
      </c>
      <c r="E131" s="272">
        <v>0</v>
      </c>
      <c r="F131" s="221">
        <f t="shared" si="5"/>
        <v>0</v>
      </c>
      <c r="G131" s="221">
        <f t="shared" si="6"/>
        <v>0</v>
      </c>
      <c r="H131" s="213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309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6"/>
      <c r="AJ131" s="216"/>
      <c r="AK131" s="216"/>
      <c r="AL131" s="216"/>
      <c r="AM131" s="216"/>
    </row>
    <row r="132" spans="1:55" s="119" customFormat="1" ht="19.5" thickBot="1" x14ac:dyDescent="0.35">
      <c r="A132" s="136" t="s">
        <v>126</v>
      </c>
      <c r="B132" s="130" t="s">
        <v>304</v>
      </c>
      <c r="C132" s="292">
        <v>3850</v>
      </c>
      <c r="D132" s="283" t="s">
        <v>401</v>
      </c>
      <c r="E132" s="272">
        <v>0</v>
      </c>
      <c r="F132" s="221">
        <f t="shared" si="5"/>
        <v>0</v>
      </c>
      <c r="G132" s="221">
        <f t="shared" si="6"/>
        <v>0</v>
      </c>
      <c r="H132" s="213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309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6"/>
      <c r="AJ132" s="216"/>
      <c r="AK132" s="216"/>
      <c r="AL132" s="216"/>
      <c r="AM132" s="216"/>
    </row>
    <row r="133" spans="1:55" s="119" customFormat="1" ht="19.5" thickBot="1" x14ac:dyDescent="0.35">
      <c r="A133" s="136" t="s">
        <v>127</v>
      </c>
      <c r="B133" s="130" t="s">
        <v>305</v>
      </c>
      <c r="C133" s="292">
        <v>1661</v>
      </c>
      <c r="D133" s="283" t="s">
        <v>401</v>
      </c>
      <c r="E133" s="272">
        <v>0</v>
      </c>
      <c r="F133" s="221">
        <f t="shared" si="5"/>
        <v>0</v>
      </c>
      <c r="G133" s="221">
        <f t="shared" si="6"/>
        <v>0</v>
      </c>
      <c r="H133" s="213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309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6"/>
      <c r="AJ133" s="216"/>
      <c r="AK133" s="216"/>
      <c r="AL133" s="216"/>
      <c r="AM133" s="216"/>
    </row>
    <row r="134" spans="1:55" s="119" customFormat="1" ht="19.5" thickBot="1" x14ac:dyDescent="0.35">
      <c r="A134" s="136" t="s">
        <v>128</v>
      </c>
      <c r="B134" s="130" t="s">
        <v>306</v>
      </c>
      <c r="C134" s="292">
        <v>604</v>
      </c>
      <c r="D134" s="273" t="s">
        <v>608</v>
      </c>
      <c r="E134" s="272">
        <v>0</v>
      </c>
      <c r="F134" s="221">
        <f t="shared" si="5"/>
        <v>0</v>
      </c>
      <c r="G134" s="221">
        <f t="shared" si="6"/>
        <v>0</v>
      </c>
      <c r="H134" s="213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309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6"/>
      <c r="AJ134" s="216"/>
      <c r="AK134" s="216"/>
      <c r="AL134" s="216"/>
      <c r="AM134" s="216"/>
    </row>
    <row r="135" spans="1:55" s="3" customFormat="1" ht="19.5" thickBot="1" x14ac:dyDescent="0.35">
      <c r="A135" s="136" t="s">
        <v>129</v>
      </c>
      <c r="B135" s="130" t="s">
        <v>307</v>
      </c>
      <c r="C135" s="292">
        <v>0</v>
      </c>
      <c r="D135" s="136"/>
      <c r="E135" s="272">
        <v>0</v>
      </c>
      <c r="F135" s="221">
        <f t="shared" si="5"/>
        <v>0</v>
      </c>
      <c r="G135" s="221">
        <f t="shared" si="6"/>
        <v>0</v>
      </c>
      <c r="H135" s="217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203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2"/>
      <c r="AJ135" s="192"/>
      <c r="AK135" s="192"/>
      <c r="AL135" s="192"/>
      <c r="AM135" s="192"/>
    </row>
    <row r="136" spans="1:55" ht="19.5" thickBot="1" x14ac:dyDescent="0.35">
      <c r="A136" s="136" t="s">
        <v>130</v>
      </c>
      <c r="B136" s="130" t="s">
        <v>308</v>
      </c>
      <c r="C136" s="292">
        <v>0</v>
      </c>
      <c r="D136" s="136"/>
      <c r="E136" s="272">
        <v>0</v>
      </c>
      <c r="F136" s="221">
        <f t="shared" si="5"/>
        <v>0</v>
      </c>
      <c r="G136" s="221">
        <f t="shared" si="6"/>
        <v>0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03"/>
      <c r="S136" s="217"/>
      <c r="T136" s="217"/>
      <c r="U136" s="217"/>
      <c r="V136" s="217"/>
      <c r="W136" s="217"/>
      <c r="X136" s="203"/>
      <c r="Y136" s="217"/>
      <c r="Z136" s="217"/>
      <c r="AA136" s="217"/>
      <c r="AB136" s="203"/>
      <c r="AC136" s="203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</row>
    <row r="137" spans="1:55" ht="16.5" thickBot="1" x14ac:dyDescent="0.3">
      <c r="A137" s="136" t="s">
        <v>131</v>
      </c>
      <c r="B137" s="130" t="s">
        <v>309</v>
      </c>
      <c r="C137" s="292">
        <v>1057</v>
      </c>
      <c r="D137" s="273" t="s">
        <v>608</v>
      </c>
      <c r="E137" s="272">
        <v>0</v>
      </c>
      <c r="F137" s="221">
        <f t="shared" si="5"/>
        <v>0</v>
      </c>
      <c r="G137" s="221">
        <f t="shared" si="6"/>
        <v>0</v>
      </c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5"/>
      <c r="AJ137" s="225"/>
      <c r="AK137" s="225"/>
      <c r="AL137" s="225"/>
      <c r="AM137" s="225"/>
    </row>
    <row r="138" spans="1:55" ht="16.5" thickBot="1" x14ac:dyDescent="0.3">
      <c r="A138" s="136" t="s">
        <v>132</v>
      </c>
      <c r="B138" s="130" t="s">
        <v>310</v>
      </c>
      <c r="C138" s="292">
        <v>755</v>
      </c>
      <c r="D138" s="273" t="s">
        <v>608</v>
      </c>
      <c r="E138" s="272">
        <v>0</v>
      </c>
      <c r="F138" s="221">
        <f t="shared" si="5"/>
        <v>0</v>
      </c>
      <c r="G138" s="221">
        <f t="shared" si="6"/>
        <v>0</v>
      </c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5"/>
      <c r="AJ138" s="225"/>
      <c r="AK138" s="225"/>
      <c r="AL138" s="225"/>
      <c r="AM138" s="225"/>
    </row>
    <row r="139" spans="1:55" ht="16.5" thickBot="1" x14ac:dyDescent="0.3">
      <c r="A139" s="136" t="s">
        <v>133</v>
      </c>
      <c r="B139" s="130" t="s">
        <v>311</v>
      </c>
      <c r="C139" s="292">
        <v>302</v>
      </c>
      <c r="D139" s="273" t="s">
        <v>608</v>
      </c>
      <c r="E139" s="272">
        <v>0</v>
      </c>
      <c r="F139" s="221">
        <f t="shared" si="5"/>
        <v>0</v>
      </c>
      <c r="G139" s="221">
        <f t="shared" si="6"/>
        <v>0</v>
      </c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5"/>
      <c r="AJ139" s="225"/>
      <c r="AK139" s="225"/>
      <c r="AL139" s="225"/>
      <c r="AM139" s="225"/>
    </row>
    <row r="140" spans="1:55" ht="16.5" thickBot="1" x14ac:dyDescent="0.3">
      <c r="A140" s="136" t="s">
        <v>134</v>
      </c>
      <c r="B140" s="130" t="s">
        <v>312</v>
      </c>
      <c r="C140" s="292">
        <v>1057</v>
      </c>
      <c r="D140" s="273" t="s">
        <v>608</v>
      </c>
      <c r="E140" s="272">
        <v>0</v>
      </c>
      <c r="F140" s="221">
        <f t="shared" si="5"/>
        <v>0</v>
      </c>
      <c r="G140" s="221">
        <f t="shared" si="6"/>
        <v>0</v>
      </c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5"/>
      <c r="AJ140" s="225"/>
      <c r="AK140" s="225"/>
      <c r="AL140" s="225"/>
      <c r="AM140" s="225"/>
    </row>
    <row r="141" spans="1:55" ht="16.5" thickBot="1" x14ac:dyDescent="0.3">
      <c r="A141" s="136" t="s">
        <v>135</v>
      </c>
      <c r="B141" s="130" t="s">
        <v>313</v>
      </c>
      <c r="C141" s="292">
        <v>9285</v>
      </c>
      <c r="D141" s="283" t="s">
        <v>372</v>
      </c>
      <c r="E141" s="272">
        <v>0</v>
      </c>
      <c r="F141" s="221">
        <f t="shared" ref="F141:F196" si="9">SUM(H141:AK141)</f>
        <v>0</v>
      </c>
      <c r="G141" s="221">
        <f t="shared" ref="G141:G196" si="10">E141-(F141+AL141+AM141)</f>
        <v>0</v>
      </c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5"/>
      <c r="AJ141" s="225"/>
      <c r="AK141" s="225"/>
      <c r="AL141" s="225"/>
      <c r="AM141" s="225"/>
    </row>
    <row r="142" spans="1:55" ht="16.5" thickBot="1" x14ac:dyDescent="0.3">
      <c r="A142" s="136" t="s">
        <v>136</v>
      </c>
      <c r="B142" s="130" t="s">
        <v>314</v>
      </c>
      <c r="C142" s="292">
        <v>755</v>
      </c>
      <c r="D142" s="273" t="s">
        <v>608</v>
      </c>
      <c r="E142" s="272">
        <v>0</v>
      </c>
      <c r="F142" s="221">
        <f t="shared" si="9"/>
        <v>0</v>
      </c>
      <c r="G142" s="221">
        <f t="shared" si="10"/>
        <v>0</v>
      </c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5"/>
      <c r="AJ142" s="225"/>
      <c r="AK142" s="225"/>
      <c r="AL142" s="225"/>
      <c r="AM142" s="225"/>
    </row>
    <row r="143" spans="1:55" ht="16.5" thickBot="1" x14ac:dyDescent="0.3">
      <c r="A143" s="136" t="s">
        <v>137</v>
      </c>
      <c r="B143" s="130" t="s">
        <v>315</v>
      </c>
      <c r="C143" s="292">
        <v>7171</v>
      </c>
      <c r="D143" s="273" t="s">
        <v>608</v>
      </c>
      <c r="E143" s="272">
        <v>0</v>
      </c>
      <c r="F143" s="221">
        <f t="shared" si="9"/>
        <v>0</v>
      </c>
      <c r="G143" s="221">
        <f t="shared" si="10"/>
        <v>0</v>
      </c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5"/>
      <c r="AJ143" s="225"/>
      <c r="AK143" s="225"/>
      <c r="AL143" s="225"/>
      <c r="AM143" s="225"/>
    </row>
    <row r="144" spans="1:55" ht="16.5" thickBot="1" x14ac:dyDescent="0.3">
      <c r="A144" s="136" t="s">
        <v>138</v>
      </c>
      <c r="B144" s="130" t="s">
        <v>316</v>
      </c>
      <c r="C144" s="292">
        <v>2189</v>
      </c>
      <c r="D144" s="283" t="s">
        <v>401</v>
      </c>
      <c r="E144" s="272">
        <v>0</v>
      </c>
      <c r="F144" s="221">
        <f t="shared" si="9"/>
        <v>0</v>
      </c>
      <c r="G144" s="221">
        <f t="shared" si="10"/>
        <v>0</v>
      </c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5"/>
      <c r="AJ144" s="225"/>
      <c r="AK144" s="225"/>
      <c r="AL144" s="225"/>
      <c r="AM144" s="225"/>
    </row>
    <row r="145" spans="1:39" ht="16.5" thickBot="1" x14ac:dyDescent="0.3">
      <c r="A145" s="136" t="s">
        <v>139</v>
      </c>
      <c r="B145" s="130" t="s">
        <v>317</v>
      </c>
      <c r="C145" s="292">
        <v>9209</v>
      </c>
      <c r="D145" s="283" t="s">
        <v>401</v>
      </c>
      <c r="E145" s="272">
        <v>0</v>
      </c>
      <c r="F145" s="221">
        <f t="shared" si="9"/>
        <v>0</v>
      </c>
      <c r="G145" s="221">
        <f t="shared" si="10"/>
        <v>0</v>
      </c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5"/>
      <c r="AJ145" s="225"/>
      <c r="AK145" s="225"/>
      <c r="AL145" s="225"/>
      <c r="AM145" s="225"/>
    </row>
    <row r="146" spans="1:39" ht="16.5" thickBot="1" x14ac:dyDescent="0.3">
      <c r="A146" s="136" t="s">
        <v>140</v>
      </c>
      <c r="B146" s="130" t="s">
        <v>318</v>
      </c>
      <c r="C146" s="292">
        <v>4454</v>
      </c>
      <c r="D146" s="283" t="s">
        <v>401</v>
      </c>
      <c r="E146" s="272">
        <v>0</v>
      </c>
      <c r="F146" s="221">
        <f t="shared" si="9"/>
        <v>0</v>
      </c>
      <c r="G146" s="221">
        <f t="shared" si="10"/>
        <v>0</v>
      </c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5"/>
      <c r="AJ146" s="225"/>
      <c r="AK146" s="225"/>
      <c r="AL146" s="225"/>
      <c r="AM146" s="225"/>
    </row>
    <row r="147" spans="1:39" ht="16.5" thickBot="1" x14ac:dyDescent="0.3">
      <c r="A147" s="136" t="s">
        <v>141</v>
      </c>
      <c r="B147" s="130" t="s">
        <v>319</v>
      </c>
      <c r="C147" s="292">
        <v>75</v>
      </c>
      <c r="D147" s="283" t="s">
        <v>401</v>
      </c>
      <c r="E147" s="272">
        <v>0</v>
      </c>
      <c r="F147" s="221">
        <f t="shared" si="9"/>
        <v>0</v>
      </c>
      <c r="G147" s="221">
        <f t="shared" si="10"/>
        <v>0</v>
      </c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30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5"/>
      <c r="AJ147" s="225"/>
      <c r="AK147" s="225"/>
      <c r="AL147" s="225"/>
      <c r="AM147" s="225"/>
    </row>
    <row r="148" spans="1:39" ht="16.5" thickBot="1" x14ac:dyDescent="0.3">
      <c r="A148" s="136" t="s">
        <v>142</v>
      </c>
      <c r="B148" s="130" t="s">
        <v>320</v>
      </c>
      <c r="C148" s="292">
        <v>67181</v>
      </c>
      <c r="D148" s="136"/>
      <c r="E148" s="272">
        <f>C148</f>
        <v>67181</v>
      </c>
      <c r="F148" s="221">
        <f t="shared" si="9"/>
        <v>67181.000000000015</v>
      </c>
      <c r="G148" s="221">
        <f t="shared" si="10"/>
        <v>0</v>
      </c>
      <c r="H148" s="224"/>
      <c r="I148" s="224"/>
      <c r="J148" s="224"/>
      <c r="K148" s="224"/>
      <c r="L148" s="224"/>
      <c r="M148" s="224"/>
      <c r="N148" s="224"/>
      <c r="O148" s="224">
        <v>7736.54</v>
      </c>
      <c r="P148" s="224">
        <v>4662.71</v>
      </c>
      <c r="Q148" s="224">
        <v>25327.41</v>
      </c>
      <c r="R148" s="224">
        <v>7268.49</v>
      </c>
      <c r="S148" s="224">
        <v>4256.3999999999996</v>
      </c>
      <c r="T148" s="224"/>
      <c r="U148" s="224"/>
      <c r="V148" s="224">
        <v>10305.52</v>
      </c>
      <c r="W148" s="224">
        <v>908.62</v>
      </c>
      <c r="X148" s="224">
        <v>6715.31</v>
      </c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5"/>
      <c r="AJ148" s="225"/>
      <c r="AK148" s="225"/>
      <c r="AL148" s="225"/>
      <c r="AM148" s="225"/>
    </row>
    <row r="149" spans="1:39" ht="16.5" thickBot="1" x14ac:dyDescent="0.3">
      <c r="A149" s="136" t="s">
        <v>143</v>
      </c>
      <c r="B149" s="130" t="s">
        <v>321</v>
      </c>
      <c r="C149" s="292">
        <v>27024</v>
      </c>
      <c r="D149" s="136"/>
      <c r="E149" s="272">
        <f>C149</f>
        <v>27024</v>
      </c>
      <c r="F149" s="221">
        <f t="shared" si="9"/>
        <v>27024</v>
      </c>
      <c r="G149" s="221">
        <f t="shared" si="10"/>
        <v>0</v>
      </c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>
        <v>24944.98</v>
      </c>
      <c r="V149" s="224"/>
      <c r="W149" s="224"/>
      <c r="X149" s="224"/>
      <c r="Y149" s="224"/>
      <c r="Z149" s="224"/>
      <c r="AA149" s="224"/>
      <c r="AB149" s="224">
        <v>2079.02</v>
      </c>
      <c r="AC149" s="224"/>
      <c r="AD149" s="224"/>
      <c r="AE149" s="224"/>
      <c r="AF149" s="224"/>
      <c r="AG149" s="224"/>
      <c r="AH149" s="224"/>
      <c r="AI149" s="225"/>
      <c r="AJ149" s="225"/>
      <c r="AK149" s="225"/>
      <c r="AL149" s="225"/>
      <c r="AM149" s="225"/>
    </row>
    <row r="150" spans="1:39" ht="16.5" thickBot="1" x14ac:dyDescent="0.3">
      <c r="A150" s="136" t="s">
        <v>144</v>
      </c>
      <c r="B150" s="130" t="s">
        <v>322</v>
      </c>
      <c r="C150" s="292">
        <v>3246</v>
      </c>
      <c r="D150" s="283" t="s">
        <v>373</v>
      </c>
      <c r="E150" s="272">
        <v>0</v>
      </c>
      <c r="F150" s="221">
        <f t="shared" si="9"/>
        <v>0</v>
      </c>
      <c r="G150" s="221">
        <f t="shared" si="10"/>
        <v>0</v>
      </c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5"/>
      <c r="AJ150" s="225"/>
      <c r="AK150" s="225"/>
      <c r="AL150" s="225"/>
      <c r="AM150" s="225"/>
    </row>
    <row r="151" spans="1:39" ht="16.5" thickBot="1" x14ac:dyDescent="0.3">
      <c r="A151" s="136" t="s">
        <v>145</v>
      </c>
      <c r="B151" s="130" t="s">
        <v>323</v>
      </c>
      <c r="C151" s="292">
        <v>377</v>
      </c>
      <c r="D151" s="273" t="s">
        <v>608</v>
      </c>
      <c r="E151" s="272">
        <v>0</v>
      </c>
      <c r="F151" s="221">
        <f t="shared" si="9"/>
        <v>0</v>
      </c>
      <c r="G151" s="221">
        <f t="shared" si="10"/>
        <v>0</v>
      </c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5"/>
      <c r="AJ151" s="225"/>
      <c r="AK151" s="225"/>
      <c r="AL151" s="225"/>
      <c r="AM151" s="225"/>
    </row>
    <row r="152" spans="1:39" ht="16.5" thickBot="1" x14ac:dyDescent="0.3">
      <c r="A152" s="136" t="s">
        <v>146</v>
      </c>
      <c r="B152" s="130" t="s">
        <v>324</v>
      </c>
      <c r="C152" s="292">
        <v>830</v>
      </c>
      <c r="D152" s="283" t="s">
        <v>400</v>
      </c>
      <c r="E152" s="272">
        <v>0</v>
      </c>
      <c r="F152" s="221">
        <f t="shared" si="9"/>
        <v>0</v>
      </c>
      <c r="G152" s="221">
        <f t="shared" si="10"/>
        <v>0</v>
      </c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5"/>
      <c r="AJ152" s="225"/>
      <c r="AK152" s="225"/>
      <c r="AL152" s="225"/>
      <c r="AM152" s="225"/>
    </row>
    <row r="153" spans="1:39" ht="16.5" thickBot="1" x14ac:dyDescent="0.3">
      <c r="A153" s="136" t="s">
        <v>147</v>
      </c>
      <c r="B153" s="130" t="s">
        <v>325</v>
      </c>
      <c r="C153" s="292">
        <v>6567</v>
      </c>
      <c r="D153" s="283" t="s">
        <v>400</v>
      </c>
      <c r="E153" s="272">
        <v>0</v>
      </c>
      <c r="F153" s="221">
        <f t="shared" si="9"/>
        <v>0</v>
      </c>
      <c r="G153" s="221">
        <f t="shared" si="10"/>
        <v>0</v>
      </c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5"/>
      <c r="AJ153" s="225"/>
      <c r="AK153" s="225"/>
      <c r="AL153" s="225"/>
      <c r="AM153" s="225"/>
    </row>
    <row r="154" spans="1:39" ht="16.5" thickBot="1" x14ac:dyDescent="0.3">
      <c r="A154" s="136" t="s">
        <v>148</v>
      </c>
      <c r="B154" s="130" t="s">
        <v>326</v>
      </c>
      <c r="C154" s="292">
        <v>830</v>
      </c>
      <c r="D154" s="283" t="s">
        <v>400</v>
      </c>
      <c r="E154" s="272">
        <v>0</v>
      </c>
      <c r="F154" s="221">
        <f t="shared" si="9"/>
        <v>0</v>
      </c>
      <c r="G154" s="221">
        <f t="shared" si="10"/>
        <v>0</v>
      </c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5"/>
      <c r="AJ154" s="225"/>
      <c r="AK154" s="225"/>
      <c r="AL154" s="225"/>
      <c r="AM154" s="225"/>
    </row>
    <row r="155" spans="1:39" ht="16.5" thickBot="1" x14ac:dyDescent="0.3">
      <c r="A155" s="136" t="s">
        <v>149</v>
      </c>
      <c r="B155" s="130" t="s">
        <v>327</v>
      </c>
      <c r="C155" s="292">
        <v>1057</v>
      </c>
      <c r="D155" s="283" t="s">
        <v>150</v>
      </c>
      <c r="E155" s="272">
        <v>0</v>
      </c>
      <c r="F155" s="221">
        <f t="shared" si="9"/>
        <v>0</v>
      </c>
      <c r="G155" s="221">
        <f t="shared" si="10"/>
        <v>0</v>
      </c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5"/>
      <c r="AJ155" s="225"/>
      <c r="AK155" s="225"/>
      <c r="AL155" s="225"/>
      <c r="AM155" s="225"/>
    </row>
    <row r="156" spans="1:39" ht="16.5" thickBot="1" x14ac:dyDescent="0.3">
      <c r="A156" s="136" t="s">
        <v>150</v>
      </c>
      <c r="B156" s="130" t="s">
        <v>328</v>
      </c>
      <c r="C156" s="292">
        <v>17512</v>
      </c>
      <c r="D156" s="136"/>
      <c r="E156" s="272">
        <f>C156+C155+C157</f>
        <v>19475</v>
      </c>
      <c r="F156" s="221">
        <f t="shared" si="9"/>
        <v>19475</v>
      </c>
      <c r="G156" s="221">
        <f t="shared" si="10"/>
        <v>0</v>
      </c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>
        <f>17512+1963</f>
        <v>19475</v>
      </c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5"/>
      <c r="AJ156" s="225"/>
      <c r="AK156" s="225"/>
      <c r="AL156" s="225"/>
      <c r="AM156" s="225"/>
    </row>
    <row r="157" spans="1:39" ht="16.5" thickBot="1" x14ac:dyDescent="0.3">
      <c r="A157" s="136" t="s">
        <v>151</v>
      </c>
      <c r="B157" s="130" t="s">
        <v>329</v>
      </c>
      <c r="C157" s="292">
        <v>906</v>
      </c>
      <c r="D157" s="283" t="s">
        <v>150</v>
      </c>
      <c r="E157" s="272">
        <v>0</v>
      </c>
      <c r="F157" s="221">
        <f t="shared" si="9"/>
        <v>0</v>
      </c>
      <c r="G157" s="221">
        <f t="shared" si="10"/>
        <v>0</v>
      </c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5"/>
      <c r="AJ157" s="225"/>
      <c r="AK157" s="225"/>
      <c r="AL157" s="225"/>
      <c r="AM157" s="225"/>
    </row>
    <row r="158" spans="1:39" ht="16.5" thickBot="1" x14ac:dyDescent="0.3">
      <c r="A158" s="136" t="s">
        <v>152</v>
      </c>
      <c r="B158" s="130" t="s">
        <v>330</v>
      </c>
      <c r="C158" s="292">
        <v>75</v>
      </c>
      <c r="D158" s="283" t="s">
        <v>400</v>
      </c>
      <c r="E158" s="272">
        <v>0</v>
      </c>
      <c r="F158" s="221">
        <f t="shared" si="9"/>
        <v>0</v>
      </c>
      <c r="G158" s="221">
        <f t="shared" si="10"/>
        <v>0</v>
      </c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5"/>
      <c r="AJ158" s="225"/>
      <c r="AK158" s="225"/>
      <c r="AL158" s="225"/>
      <c r="AM158" s="225"/>
    </row>
    <row r="159" spans="1:39" ht="16.5" thickBot="1" x14ac:dyDescent="0.3">
      <c r="A159" s="136" t="s">
        <v>153</v>
      </c>
      <c r="B159" s="130" t="s">
        <v>331</v>
      </c>
      <c r="C159" s="292">
        <v>604</v>
      </c>
      <c r="D159" s="283" t="s">
        <v>400</v>
      </c>
      <c r="E159" s="272">
        <v>0</v>
      </c>
      <c r="F159" s="221">
        <f t="shared" si="9"/>
        <v>0</v>
      </c>
      <c r="G159" s="221">
        <f t="shared" si="10"/>
        <v>0</v>
      </c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5"/>
      <c r="AJ159" s="225"/>
      <c r="AK159" s="225"/>
      <c r="AL159" s="225"/>
      <c r="AM159" s="225"/>
    </row>
    <row r="160" spans="1:39" ht="16.5" thickBot="1" x14ac:dyDescent="0.3">
      <c r="A160" s="136" t="s">
        <v>154</v>
      </c>
      <c r="B160" s="130" t="s">
        <v>332</v>
      </c>
      <c r="C160" s="292">
        <v>17965</v>
      </c>
      <c r="D160" s="136"/>
      <c r="E160" s="272">
        <f>C160</f>
        <v>17965</v>
      </c>
      <c r="F160" s="221">
        <f t="shared" si="9"/>
        <v>17965</v>
      </c>
      <c r="G160" s="221">
        <f t="shared" si="10"/>
        <v>0</v>
      </c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>
        <v>17965</v>
      </c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5"/>
      <c r="AJ160" s="225"/>
      <c r="AK160" s="225"/>
      <c r="AL160" s="225"/>
      <c r="AM160" s="225"/>
    </row>
    <row r="161" spans="1:39" ht="16.5" thickBot="1" x14ac:dyDescent="0.3">
      <c r="A161" s="136" t="s">
        <v>155</v>
      </c>
      <c r="B161" s="130" t="s">
        <v>333</v>
      </c>
      <c r="C161" s="292">
        <v>1283</v>
      </c>
      <c r="D161" s="273" t="s">
        <v>608</v>
      </c>
      <c r="E161" s="272">
        <v>0</v>
      </c>
      <c r="F161" s="221">
        <f t="shared" si="9"/>
        <v>0</v>
      </c>
      <c r="G161" s="221">
        <f t="shared" si="10"/>
        <v>0</v>
      </c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5"/>
      <c r="AJ161" s="225"/>
      <c r="AK161" s="225"/>
      <c r="AL161" s="225"/>
      <c r="AM161" s="225"/>
    </row>
    <row r="162" spans="1:39" ht="16.5" thickBot="1" x14ac:dyDescent="0.3">
      <c r="A162" s="136" t="s">
        <v>156</v>
      </c>
      <c r="B162" s="130" t="s">
        <v>334</v>
      </c>
      <c r="C162" s="292">
        <v>8907</v>
      </c>
      <c r="D162" s="283" t="s">
        <v>22</v>
      </c>
      <c r="E162" s="272">
        <v>0</v>
      </c>
      <c r="F162" s="221">
        <f t="shared" si="9"/>
        <v>0</v>
      </c>
      <c r="G162" s="221">
        <f t="shared" si="10"/>
        <v>0</v>
      </c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5"/>
      <c r="AJ162" s="225"/>
      <c r="AK162" s="225"/>
      <c r="AL162" s="225"/>
      <c r="AM162" s="225"/>
    </row>
    <row r="163" spans="1:39" ht="16.5" thickBot="1" x14ac:dyDescent="0.3">
      <c r="A163" s="136" t="s">
        <v>157</v>
      </c>
      <c r="B163" s="130" t="s">
        <v>335</v>
      </c>
      <c r="C163" s="292">
        <v>151</v>
      </c>
      <c r="D163" s="273" t="s">
        <v>608</v>
      </c>
      <c r="E163" s="272">
        <v>0</v>
      </c>
      <c r="F163" s="221">
        <f t="shared" si="9"/>
        <v>0</v>
      </c>
      <c r="G163" s="221">
        <f t="shared" si="10"/>
        <v>0</v>
      </c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5"/>
      <c r="AJ163" s="225"/>
      <c r="AK163" s="225"/>
      <c r="AL163" s="225"/>
      <c r="AM163" s="225"/>
    </row>
    <row r="164" spans="1:39" ht="16.5" thickBot="1" x14ac:dyDescent="0.3">
      <c r="A164" s="136" t="s">
        <v>158</v>
      </c>
      <c r="B164" s="130" t="s">
        <v>336</v>
      </c>
      <c r="C164" s="292">
        <v>3623</v>
      </c>
      <c r="D164" s="283" t="s">
        <v>372</v>
      </c>
      <c r="E164" s="272">
        <v>0</v>
      </c>
      <c r="F164" s="221">
        <f t="shared" si="9"/>
        <v>0</v>
      </c>
      <c r="G164" s="221">
        <f t="shared" si="10"/>
        <v>0</v>
      </c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5"/>
      <c r="AJ164" s="225"/>
      <c r="AK164" s="225"/>
      <c r="AL164" s="225"/>
      <c r="AM164" s="225"/>
    </row>
    <row r="165" spans="1:39" ht="16.5" thickBot="1" x14ac:dyDescent="0.3">
      <c r="A165" s="136" t="s">
        <v>159</v>
      </c>
      <c r="B165" s="130" t="s">
        <v>601</v>
      </c>
      <c r="C165" s="292">
        <v>0</v>
      </c>
      <c r="D165" s="136"/>
      <c r="E165" s="272">
        <v>0</v>
      </c>
      <c r="F165" s="221">
        <f t="shared" si="9"/>
        <v>0</v>
      </c>
      <c r="G165" s="221">
        <f t="shared" si="10"/>
        <v>0</v>
      </c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5"/>
      <c r="AJ165" s="225"/>
      <c r="AK165" s="225"/>
      <c r="AL165" s="225"/>
      <c r="AM165" s="225"/>
    </row>
    <row r="166" spans="1:39" ht="16.5" thickBot="1" x14ac:dyDescent="0.3">
      <c r="A166" s="136" t="s">
        <v>160</v>
      </c>
      <c r="B166" s="130" t="s">
        <v>337</v>
      </c>
      <c r="C166" s="292">
        <v>68842</v>
      </c>
      <c r="D166" s="136"/>
      <c r="E166" s="272">
        <f>C166</f>
        <v>68842</v>
      </c>
      <c r="F166" s="221">
        <f t="shared" si="9"/>
        <v>68842</v>
      </c>
      <c r="G166" s="221">
        <f t="shared" si="10"/>
        <v>0</v>
      </c>
      <c r="H166" s="224"/>
      <c r="I166" s="224"/>
      <c r="J166" s="224"/>
      <c r="K166" s="224">
        <v>5060.8100000000004</v>
      </c>
      <c r="L166" s="224"/>
      <c r="M166" s="224">
        <f>5060.81+6228.65</f>
        <v>11289.46</v>
      </c>
      <c r="N166" s="224">
        <v>5450.09</v>
      </c>
      <c r="O166" s="224">
        <v>5450.09</v>
      </c>
      <c r="P166" s="224">
        <v>5450.09</v>
      </c>
      <c r="Q166" s="224">
        <v>5450.09</v>
      </c>
      <c r="R166" s="224">
        <v>5450.09</v>
      </c>
      <c r="S166" s="224">
        <v>5450.09</v>
      </c>
      <c r="T166" s="224">
        <v>19791.189999999999</v>
      </c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5"/>
      <c r="AJ166" s="225"/>
      <c r="AK166" s="225"/>
      <c r="AL166" s="225"/>
      <c r="AM166" s="225"/>
    </row>
    <row r="167" spans="1:39" ht="16.5" thickBot="1" x14ac:dyDescent="0.3">
      <c r="A167" s="136" t="s">
        <v>161</v>
      </c>
      <c r="B167" s="130" t="s">
        <v>338</v>
      </c>
      <c r="C167" s="292">
        <v>0</v>
      </c>
      <c r="D167" s="136"/>
      <c r="E167" s="272">
        <v>0</v>
      </c>
      <c r="F167" s="221">
        <f t="shared" si="9"/>
        <v>0</v>
      </c>
      <c r="G167" s="221">
        <f t="shared" si="10"/>
        <v>0</v>
      </c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5"/>
      <c r="AJ167" s="225"/>
      <c r="AK167" s="225"/>
      <c r="AL167" s="225"/>
      <c r="AM167" s="225"/>
    </row>
    <row r="168" spans="1:39" ht="16.5" thickBot="1" x14ac:dyDescent="0.3">
      <c r="A168" s="136" t="s">
        <v>162</v>
      </c>
      <c r="B168" s="130" t="s">
        <v>339</v>
      </c>
      <c r="C168" s="292">
        <v>4076</v>
      </c>
      <c r="D168" s="283" t="s">
        <v>59</v>
      </c>
      <c r="E168" s="272">
        <v>0</v>
      </c>
      <c r="F168" s="221">
        <f t="shared" si="9"/>
        <v>0</v>
      </c>
      <c r="G168" s="221">
        <f t="shared" si="10"/>
        <v>0</v>
      </c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5"/>
      <c r="AJ168" s="225"/>
      <c r="AK168" s="225"/>
      <c r="AL168" s="225"/>
      <c r="AM168" s="225"/>
    </row>
    <row r="169" spans="1:39" ht="16.5" thickBot="1" x14ac:dyDescent="0.3">
      <c r="A169" s="136" t="s">
        <v>163</v>
      </c>
      <c r="B169" s="130" t="s">
        <v>340</v>
      </c>
      <c r="C169" s="292">
        <v>1057</v>
      </c>
      <c r="D169" s="273" t="s">
        <v>608</v>
      </c>
      <c r="E169" s="272">
        <v>0</v>
      </c>
      <c r="F169" s="221">
        <f t="shared" si="9"/>
        <v>0</v>
      </c>
      <c r="G169" s="221">
        <f t="shared" si="10"/>
        <v>0</v>
      </c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5"/>
      <c r="AJ169" s="225"/>
      <c r="AK169" s="225"/>
      <c r="AL169" s="225"/>
      <c r="AM169" s="225"/>
    </row>
    <row r="170" spans="1:39" ht="16.5" thickBot="1" x14ac:dyDescent="0.3">
      <c r="A170" s="136" t="s">
        <v>164</v>
      </c>
      <c r="B170" s="130" t="s">
        <v>341</v>
      </c>
      <c r="C170" s="292">
        <v>1812</v>
      </c>
      <c r="D170" s="283" t="s">
        <v>370</v>
      </c>
      <c r="E170" s="272">
        <v>0</v>
      </c>
      <c r="F170" s="221">
        <f t="shared" si="9"/>
        <v>0</v>
      </c>
      <c r="G170" s="221">
        <f t="shared" si="10"/>
        <v>0</v>
      </c>
      <c r="H170" s="225"/>
      <c r="I170" s="225"/>
      <c r="J170" s="225"/>
      <c r="K170" s="225"/>
      <c r="L170" s="225"/>
      <c r="M170" s="225"/>
      <c r="N170" s="225"/>
      <c r="O170" s="225"/>
      <c r="P170" s="224"/>
      <c r="Q170" s="225"/>
      <c r="R170" s="224"/>
      <c r="S170" s="225"/>
      <c r="T170" s="225"/>
      <c r="U170" s="225"/>
      <c r="V170" s="225"/>
      <c r="W170" s="225"/>
      <c r="X170" s="224"/>
      <c r="Y170" s="225"/>
      <c r="Z170" s="225"/>
      <c r="AA170" s="225"/>
      <c r="AB170" s="224"/>
      <c r="AC170" s="224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</row>
    <row r="171" spans="1:39" ht="16.5" thickBot="1" x14ac:dyDescent="0.3">
      <c r="A171" s="136" t="s">
        <v>165</v>
      </c>
      <c r="B171" s="130" t="s">
        <v>342</v>
      </c>
      <c r="C171" s="292">
        <v>0</v>
      </c>
      <c r="D171" s="136"/>
      <c r="E171" s="272">
        <v>0</v>
      </c>
      <c r="F171" s="221">
        <f t="shared" si="9"/>
        <v>0</v>
      </c>
      <c r="G171" s="221">
        <f t="shared" si="10"/>
        <v>0</v>
      </c>
      <c r="H171" s="225"/>
      <c r="I171" s="225"/>
      <c r="J171" s="225"/>
      <c r="K171" s="225"/>
      <c r="L171" s="225"/>
      <c r="M171" s="225"/>
      <c r="N171" s="225"/>
      <c r="O171" s="225"/>
      <c r="P171" s="224"/>
      <c r="Q171" s="225"/>
      <c r="R171" s="224"/>
      <c r="S171" s="225"/>
      <c r="T171" s="225"/>
      <c r="U171" s="225"/>
      <c r="V171" s="225"/>
      <c r="W171" s="225"/>
      <c r="X171" s="224"/>
      <c r="Y171" s="225"/>
      <c r="Z171" s="225"/>
      <c r="AA171" s="225"/>
      <c r="AB171" s="224"/>
      <c r="AC171" s="224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</row>
    <row r="172" spans="1:39" ht="16.5" thickBot="1" x14ac:dyDescent="0.3">
      <c r="A172" s="136" t="s">
        <v>166</v>
      </c>
      <c r="B172" s="130" t="s">
        <v>343</v>
      </c>
      <c r="C172" s="292">
        <v>981</v>
      </c>
      <c r="D172" s="273" t="s">
        <v>608</v>
      </c>
      <c r="E172" s="272">
        <v>0</v>
      </c>
      <c r="F172" s="221">
        <f t="shared" si="9"/>
        <v>0</v>
      </c>
      <c r="G172" s="221">
        <f t="shared" si="10"/>
        <v>0</v>
      </c>
      <c r="H172" s="225"/>
      <c r="I172" s="225"/>
      <c r="J172" s="225"/>
      <c r="K172" s="225"/>
      <c r="L172" s="225"/>
      <c r="M172" s="225"/>
      <c r="N172" s="225"/>
      <c r="O172" s="225"/>
      <c r="P172" s="224"/>
      <c r="Q172" s="225"/>
      <c r="R172" s="224"/>
      <c r="S172" s="225"/>
      <c r="T172" s="225"/>
      <c r="U172" s="225"/>
      <c r="V172" s="225"/>
      <c r="W172" s="225"/>
      <c r="X172" s="224"/>
      <c r="Y172" s="225"/>
      <c r="Z172" s="225"/>
      <c r="AA172" s="225"/>
      <c r="AB172" s="224"/>
      <c r="AC172" s="224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</row>
    <row r="173" spans="1:39" ht="16.5" thickBot="1" x14ac:dyDescent="0.3">
      <c r="A173" s="136" t="s">
        <v>167</v>
      </c>
      <c r="B173" s="130" t="s">
        <v>344</v>
      </c>
      <c r="C173" s="292">
        <v>151</v>
      </c>
      <c r="D173" s="283" t="s">
        <v>370</v>
      </c>
      <c r="E173" s="272">
        <v>0</v>
      </c>
      <c r="F173" s="221">
        <f t="shared" si="9"/>
        <v>0</v>
      </c>
      <c r="G173" s="221">
        <f t="shared" si="10"/>
        <v>0</v>
      </c>
      <c r="H173" s="225"/>
      <c r="I173" s="225"/>
      <c r="J173" s="225"/>
      <c r="K173" s="225"/>
      <c r="L173" s="225"/>
      <c r="M173" s="225"/>
      <c r="N173" s="225"/>
      <c r="O173" s="225"/>
      <c r="P173" s="224"/>
      <c r="Q173" s="225"/>
      <c r="R173" s="224"/>
      <c r="S173" s="225"/>
      <c r="T173" s="225"/>
      <c r="U173" s="225"/>
      <c r="V173" s="225"/>
      <c r="W173" s="225"/>
      <c r="X173" s="224"/>
      <c r="Y173" s="225"/>
      <c r="Z173" s="225"/>
      <c r="AA173" s="225"/>
      <c r="AB173" s="224"/>
      <c r="AC173" s="224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</row>
    <row r="174" spans="1:39" ht="16.5" thickBot="1" x14ac:dyDescent="0.3">
      <c r="A174" s="136" t="s">
        <v>168</v>
      </c>
      <c r="B174" s="130" t="s">
        <v>345</v>
      </c>
      <c r="C174" s="292">
        <v>27250</v>
      </c>
      <c r="D174" s="283" t="s">
        <v>371</v>
      </c>
      <c r="E174" s="272">
        <v>0</v>
      </c>
      <c r="F174" s="221">
        <f t="shared" si="9"/>
        <v>0</v>
      </c>
      <c r="G174" s="221">
        <f t="shared" si="10"/>
        <v>0</v>
      </c>
      <c r="H174" s="225"/>
      <c r="I174" s="225"/>
      <c r="J174" s="225"/>
      <c r="K174" s="225"/>
      <c r="L174" s="225"/>
      <c r="M174" s="225"/>
      <c r="N174" s="225"/>
      <c r="O174" s="225"/>
      <c r="P174" s="224"/>
      <c r="Q174" s="225"/>
      <c r="R174" s="224"/>
      <c r="S174" s="225"/>
      <c r="T174" s="225"/>
      <c r="U174" s="225"/>
      <c r="V174" s="225"/>
      <c r="W174" s="225"/>
      <c r="X174" s="224"/>
      <c r="Y174" s="225"/>
      <c r="Z174" s="225"/>
      <c r="AA174" s="225"/>
      <c r="AB174" s="224"/>
      <c r="AC174" s="224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</row>
    <row r="175" spans="1:39" ht="16.5" thickBot="1" x14ac:dyDescent="0.3">
      <c r="A175" s="136" t="s">
        <v>169</v>
      </c>
      <c r="B175" s="130" t="s">
        <v>346</v>
      </c>
      <c r="C175" s="292">
        <v>9058</v>
      </c>
      <c r="D175" s="283" t="s">
        <v>371</v>
      </c>
      <c r="E175" s="272">
        <v>0</v>
      </c>
      <c r="F175" s="221">
        <f t="shared" si="9"/>
        <v>0</v>
      </c>
      <c r="G175" s="221">
        <f t="shared" si="10"/>
        <v>0</v>
      </c>
      <c r="H175" s="225"/>
      <c r="I175" s="225"/>
      <c r="J175" s="225"/>
      <c r="K175" s="225"/>
      <c r="L175" s="225"/>
      <c r="M175" s="225"/>
      <c r="N175" s="225"/>
      <c r="O175" s="225"/>
      <c r="P175" s="224"/>
      <c r="Q175" s="225"/>
      <c r="R175" s="224"/>
      <c r="S175" s="225"/>
      <c r="T175" s="225"/>
      <c r="U175" s="225"/>
      <c r="V175" s="225"/>
      <c r="W175" s="225"/>
      <c r="X175" s="224"/>
      <c r="Y175" s="225"/>
      <c r="Z175" s="225"/>
      <c r="AA175" s="225"/>
      <c r="AB175" s="224"/>
      <c r="AC175" s="224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</row>
    <row r="176" spans="1:39" ht="16.5" thickBot="1" x14ac:dyDescent="0.3">
      <c r="A176" s="136" t="s">
        <v>170</v>
      </c>
      <c r="B176" s="130" t="s">
        <v>602</v>
      </c>
      <c r="C176" s="292">
        <v>31175</v>
      </c>
      <c r="D176" s="136"/>
      <c r="E176" s="272">
        <f>C176</f>
        <v>31175</v>
      </c>
      <c r="F176" s="221">
        <f t="shared" si="9"/>
        <v>31175</v>
      </c>
      <c r="G176" s="221">
        <f t="shared" si="10"/>
        <v>0</v>
      </c>
      <c r="H176" s="225"/>
      <c r="I176" s="225"/>
      <c r="J176" s="225"/>
      <c r="K176" s="225"/>
      <c r="L176" s="225"/>
      <c r="M176" s="225"/>
      <c r="N176" s="225"/>
      <c r="O176" s="225"/>
      <c r="P176" s="224">
        <v>31175</v>
      </c>
      <c r="Q176" s="225"/>
      <c r="R176" s="224"/>
      <c r="S176" s="225"/>
      <c r="T176" s="225"/>
      <c r="U176" s="225"/>
      <c r="V176" s="225"/>
      <c r="W176" s="225"/>
      <c r="X176" s="224"/>
      <c r="Y176" s="225"/>
      <c r="Z176" s="225"/>
      <c r="AA176" s="225"/>
      <c r="AB176" s="224"/>
      <c r="AC176" s="224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</row>
    <row r="177" spans="1:39" ht="16.5" thickBot="1" x14ac:dyDescent="0.3">
      <c r="A177" s="136" t="s">
        <v>171</v>
      </c>
      <c r="B177" s="130" t="s">
        <v>347</v>
      </c>
      <c r="C177" s="292">
        <v>13814</v>
      </c>
      <c r="D177" s="283" t="s">
        <v>371</v>
      </c>
      <c r="E177" s="272">
        <v>0</v>
      </c>
      <c r="F177" s="221">
        <f t="shared" si="9"/>
        <v>0</v>
      </c>
      <c r="G177" s="221">
        <f t="shared" si="10"/>
        <v>0</v>
      </c>
      <c r="H177" s="225"/>
      <c r="I177" s="225"/>
      <c r="J177" s="225"/>
      <c r="K177" s="225"/>
      <c r="L177" s="225"/>
      <c r="M177" s="225"/>
      <c r="N177" s="225"/>
      <c r="O177" s="225"/>
      <c r="P177" s="224"/>
      <c r="Q177" s="225"/>
      <c r="R177" s="224"/>
      <c r="S177" s="225"/>
      <c r="T177" s="225"/>
      <c r="U177" s="225"/>
      <c r="V177" s="225"/>
      <c r="W177" s="225"/>
      <c r="X177" s="224"/>
      <c r="Y177" s="225"/>
      <c r="Z177" s="225"/>
      <c r="AA177" s="225"/>
      <c r="AB177" s="224"/>
      <c r="AC177" s="224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</row>
    <row r="178" spans="1:39" ht="16.5" thickBot="1" x14ac:dyDescent="0.3">
      <c r="A178" s="136" t="s">
        <v>172</v>
      </c>
      <c r="B178" s="130" t="s">
        <v>348</v>
      </c>
      <c r="C178" s="292">
        <v>14946</v>
      </c>
      <c r="D178" s="136"/>
      <c r="E178" s="272">
        <f>C178</f>
        <v>14946</v>
      </c>
      <c r="F178" s="221">
        <f t="shared" si="9"/>
        <v>14946</v>
      </c>
      <c r="G178" s="221">
        <f t="shared" si="10"/>
        <v>0</v>
      </c>
      <c r="H178" s="225"/>
      <c r="I178" s="225"/>
      <c r="J178" s="225"/>
      <c r="K178" s="225"/>
      <c r="L178" s="225"/>
      <c r="M178" s="225"/>
      <c r="N178" s="225"/>
      <c r="O178" s="225"/>
      <c r="P178" s="224"/>
      <c r="Q178" s="225"/>
      <c r="R178" s="224"/>
      <c r="S178" s="225"/>
      <c r="T178" s="225"/>
      <c r="U178" s="225"/>
      <c r="V178" s="225"/>
      <c r="W178" s="225"/>
      <c r="X178" s="224"/>
      <c r="Y178" s="225"/>
      <c r="Z178" s="225"/>
      <c r="AA178" s="225"/>
      <c r="AB178" s="224"/>
      <c r="AC178" s="224"/>
      <c r="AD178" s="224">
        <f>8905.87+2501.99</f>
        <v>11407.86</v>
      </c>
      <c r="AE178" s="224">
        <v>2501.9899999999998</v>
      </c>
      <c r="AF178" s="225"/>
      <c r="AG178" s="225"/>
      <c r="AH178" s="225">
        <v>1036.1500000000001</v>
      </c>
      <c r="AI178" s="225"/>
      <c r="AJ178" s="225"/>
      <c r="AK178" s="225"/>
      <c r="AL178" s="225"/>
      <c r="AM178" s="225"/>
    </row>
    <row r="179" spans="1:39" ht="16.5" thickBot="1" x14ac:dyDescent="0.3">
      <c r="A179" s="136" t="s">
        <v>173</v>
      </c>
      <c r="B179" s="130" t="s">
        <v>349</v>
      </c>
      <c r="C179" s="292">
        <v>396823</v>
      </c>
      <c r="D179" s="136"/>
      <c r="E179" s="272">
        <f>C179</f>
        <v>396823</v>
      </c>
      <c r="F179" s="221">
        <f t="shared" si="9"/>
        <v>396823</v>
      </c>
      <c r="G179" s="221">
        <f t="shared" si="10"/>
        <v>0</v>
      </c>
      <c r="H179" s="225"/>
      <c r="I179" s="225"/>
      <c r="J179" s="225"/>
      <c r="K179" s="225"/>
      <c r="L179" s="225"/>
      <c r="M179" s="225"/>
      <c r="N179" s="224">
        <v>118892.22</v>
      </c>
      <c r="O179" s="225"/>
      <c r="P179" s="224">
        <v>75498.149999999994</v>
      </c>
      <c r="Q179" s="224">
        <v>196515.01</v>
      </c>
      <c r="R179" s="224"/>
      <c r="S179" s="225"/>
      <c r="T179" s="225"/>
      <c r="U179" s="225"/>
      <c r="V179" s="225"/>
      <c r="W179" s="225">
        <v>-64555.25</v>
      </c>
      <c r="X179" s="224">
        <v>5917.62</v>
      </c>
      <c r="Y179" s="225"/>
      <c r="Z179" s="225"/>
      <c r="AA179" s="225"/>
      <c r="AB179" s="224"/>
      <c r="AC179" s="224">
        <v>64555.25</v>
      </c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</row>
    <row r="180" spans="1:39" ht="16.5" thickBot="1" x14ac:dyDescent="0.3">
      <c r="A180" s="136" t="s">
        <v>174</v>
      </c>
      <c r="B180" s="130" t="s">
        <v>350</v>
      </c>
      <c r="C180" s="292">
        <v>7775</v>
      </c>
      <c r="D180" s="283" t="s">
        <v>371</v>
      </c>
      <c r="E180" s="272">
        <v>0</v>
      </c>
      <c r="F180" s="221">
        <f t="shared" si="9"/>
        <v>0</v>
      </c>
      <c r="G180" s="221">
        <f t="shared" si="10"/>
        <v>0</v>
      </c>
      <c r="H180" s="225"/>
      <c r="I180" s="225"/>
      <c r="J180" s="225"/>
      <c r="K180" s="225"/>
      <c r="L180" s="225"/>
      <c r="M180" s="225"/>
      <c r="N180" s="225"/>
      <c r="O180" s="225"/>
      <c r="P180" s="224"/>
      <c r="Q180" s="225"/>
      <c r="R180" s="224"/>
      <c r="S180" s="225"/>
      <c r="T180" s="224"/>
      <c r="U180" s="225"/>
      <c r="V180" s="225"/>
      <c r="W180" s="225"/>
      <c r="X180" s="224"/>
      <c r="Y180" s="225"/>
      <c r="Z180" s="225"/>
      <c r="AA180" s="225"/>
      <c r="AB180" s="224"/>
      <c r="AC180" s="224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</row>
    <row r="181" spans="1:39" ht="16.5" thickBot="1" x14ac:dyDescent="0.3">
      <c r="A181" s="136" t="s">
        <v>175</v>
      </c>
      <c r="B181" s="130" t="s">
        <v>351</v>
      </c>
      <c r="C181" s="292">
        <v>41517</v>
      </c>
      <c r="D181" s="136"/>
      <c r="E181" s="272">
        <f>C181</f>
        <v>41517</v>
      </c>
      <c r="F181" s="221">
        <f t="shared" si="9"/>
        <v>41517</v>
      </c>
      <c r="G181" s="221">
        <f t="shared" si="10"/>
        <v>0</v>
      </c>
      <c r="H181" s="225"/>
      <c r="I181" s="225"/>
      <c r="J181" s="225"/>
      <c r="K181" s="225"/>
      <c r="L181" s="225"/>
      <c r="M181" s="225"/>
      <c r="N181" s="224"/>
      <c r="O181" s="225"/>
      <c r="P181" s="224"/>
      <c r="Q181" s="224">
        <v>24969.19</v>
      </c>
      <c r="R181" s="224"/>
      <c r="S181" s="224">
        <v>10511.76</v>
      </c>
      <c r="T181" s="224">
        <v>6036.05</v>
      </c>
      <c r="U181" s="225"/>
      <c r="V181" s="225"/>
      <c r="W181" s="225"/>
      <c r="X181" s="224"/>
      <c r="Y181" s="225"/>
      <c r="Z181" s="225"/>
      <c r="AA181" s="225"/>
      <c r="AB181" s="224"/>
      <c r="AC181" s="224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</row>
    <row r="182" spans="1:39" ht="16.5" thickBot="1" x14ac:dyDescent="0.3">
      <c r="A182" s="136" t="s">
        <v>176</v>
      </c>
      <c r="B182" s="130" t="s">
        <v>352</v>
      </c>
      <c r="C182" s="292">
        <v>9587</v>
      </c>
      <c r="D182" s="283" t="s">
        <v>371</v>
      </c>
      <c r="E182" s="272">
        <v>0</v>
      </c>
      <c r="F182" s="221">
        <f t="shared" si="9"/>
        <v>0</v>
      </c>
      <c r="G182" s="221">
        <f t="shared" si="10"/>
        <v>0</v>
      </c>
      <c r="H182" s="225"/>
      <c r="I182" s="225"/>
      <c r="J182" s="225"/>
      <c r="K182" s="225"/>
      <c r="L182" s="225"/>
      <c r="M182" s="225"/>
      <c r="N182" s="225"/>
      <c r="O182" s="225"/>
      <c r="P182" s="224"/>
      <c r="Q182" s="225"/>
      <c r="R182" s="224"/>
      <c r="S182" s="224"/>
      <c r="T182" s="224"/>
      <c r="U182" s="225"/>
      <c r="V182" s="225"/>
      <c r="W182" s="225"/>
      <c r="X182" s="224"/>
      <c r="Y182" s="225"/>
      <c r="Z182" s="225"/>
      <c r="AA182" s="225"/>
      <c r="AB182" s="224"/>
      <c r="AC182" s="224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</row>
    <row r="183" spans="1:39" ht="16.5" thickBot="1" x14ac:dyDescent="0.3">
      <c r="A183" s="136" t="s">
        <v>177</v>
      </c>
      <c r="B183" s="130" t="s">
        <v>353</v>
      </c>
      <c r="C183" s="292">
        <v>0</v>
      </c>
      <c r="D183" s="136"/>
      <c r="E183" s="272">
        <v>0</v>
      </c>
      <c r="F183" s="221">
        <f t="shared" si="9"/>
        <v>0</v>
      </c>
      <c r="G183" s="221">
        <f t="shared" si="10"/>
        <v>0</v>
      </c>
      <c r="H183" s="225"/>
      <c r="I183" s="225"/>
      <c r="J183" s="225"/>
      <c r="K183" s="225"/>
      <c r="L183" s="225"/>
      <c r="M183" s="225"/>
      <c r="N183" s="225"/>
      <c r="O183" s="225"/>
      <c r="P183" s="224"/>
      <c r="Q183" s="225"/>
      <c r="R183" s="224"/>
      <c r="S183" s="224"/>
      <c r="T183" s="224"/>
      <c r="U183" s="225"/>
      <c r="V183" s="225"/>
      <c r="W183" s="225"/>
      <c r="X183" s="224"/>
      <c r="Y183" s="225"/>
      <c r="Z183" s="225"/>
      <c r="AA183" s="225"/>
      <c r="AB183" s="224"/>
      <c r="AC183" s="224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</row>
    <row r="184" spans="1:39" ht="16.5" thickBot="1" x14ac:dyDescent="0.3">
      <c r="A184" s="136" t="s">
        <v>178</v>
      </c>
      <c r="B184" s="130" t="s">
        <v>354</v>
      </c>
      <c r="C184" s="292">
        <v>75</v>
      </c>
      <c r="D184" s="283" t="s">
        <v>371</v>
      </c>
      <c r="E184" s="272">
        <v>0</v>
      </c>
      <c r="F184" s="221">
        <f t="shared" si="9"/>
        <v>0</v>
      </c>
      <c r="G184" s="221">
        <f t="shared" si="10"/>
        <v>0</v>
      </c>
      <c r="H184" s="225"/>
      <c r="I184" s="225"/>
      <c r="J184" s="225"/>
      <c r="K184" s="225"/>
      <c r="L184" s="225"/>
      <c r="M184" s="225"/>
      <c r="N184" s="225"/>
      <c r="O184" s="225"/>
      <c r="P184" s="224"/>
      <c r="Q184" s="225"/>
      <c r="R184" s="224"/>
      <c r="S184" s="224"/>
      <c r="T184" s="224"/>
      <c r="U184" s="225"/>
      <c r="V184" s="225"/>
      <c r="W184" s="225"/>
      <c r="X184" s="224"/>
      <c r="Y184" s="225"/>
      <c r="Z184" s="225"/>
      <c r="AA184" s="225"/>
      <c r="AB184" s="224"/>
      <c r="AC184" s="224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</row>
    <row r="185" spans="1:39" ht="16.5" thickBot="1" x14ac:dyDescent="0.3">
      <c r="A185" s="136" t="s">
        <v>179</v>
      </c>
      <c r="B185" s="130" t="s">
        <v>355</v>
      </c>
      <c r="C185" s="292">
        <v>0</v>
      </c>
      <c r="D185" s="136"/>
      <c r="E185" s="272">
        <v>0</v>
      </c>
      <c r="F185" s="221">
        <f t="shared" si="9"/>
        <v>0</v>
      </c>
      <c r="G185" s="221">
        <f t="shared" si="10"/>
        <v>0</v>
      </c>
      <c r="H185" s="225"/>
      <c r="I185" s="225"/>
      <c r="J185" s="225"/>
      <c r="K185" s="225"/>
      <c r="L185" s="225"/>
      <c r="M185" s="225"/>
      <c r="N185" s="225"/>
      <c r="O185" s="225"/>
      <c r="P185" s="224"/>
      <c r="Q185" s="225"/>
      <c r="R185" s="224"/>
      <c r="S185" s="224"/>
      <c r="T185" s="224"/>
      <c r="U185" s="225"/>
      <c r="V185" s="225"/>
      <c r="W185" s="225"/>
      <c r="X185" s="224"/>
      <c r="Y185" s="225"/>
      <c r="Z185" s="225"/>
      <c r="AA185" s="225"/>
      <c r="AB185" s="224"/>
      <c r="AC185" s="224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</row>
    <row r="186" spans="1:39" ht="16.5" thickBot="1" x14ac:dyDescent="0.3">
      <c r="A186" s="136" t="s">
        <v>180</v>
      </c>
      <c r="B186" s="130" t="s">
        <v>356</v>
      </c>
      <c r="C186" s="292">
        <v>19098</v>
      </c>
      <c r="D186" s="136"/>
      <c r="E186" s="272">
        <f>C186</f>
        <v>19098</v>
      </c>
      <c r="F186" s="221">
        <f t="shared" si="9"/>
        <v>19098.000000000004</v>
      </c>
      <c r="G186" s="221">
        <f t="shared" si="10"/>
        <v>0</v>
      </c>
      <c r="H186" s="225"/>
      <c r="I186" s="225"/>
      <c r="J186" s="225"/>
      <c r="K186" s="225"/>
      <c r="L186" s="225"/>
      <c r="M186" s="225"/>
      <c r="N186" s="225"/>
      <c r="O186" s="225"/>
      <c r="P186" s="224">
        <v>8311.7900000000009</v>
      </c>
      <c r="Q186" s="225"/>
      <c r="R186" s="224"/>
      <c r="S186" s="224">
        <v>8479.94</v>
      </c>
      <c r="T186" s="224"/>
      <c r="U186" s="225"/>
      <c r="V186" s="225"/>
      <c r="W186" s="225"/>
      <c r="X186" s="224"/>
      <c r="Y186" s="225"/>
      <c r="Z186" s="225"/>
      <c r="AA186" s="225"/>
      <c r="AB186" s="224">
        <v>2306.27</v>
      </c>
      <c r="AC186" s="224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</row>
    <row r="187" spans="1:39" ht="16.5" thickBot="1" x14ac:dyDescent="0.3">
      <c r="A187" s="136" t="s">
        <v>181</v>
      </c>
      <c r="B187" s="130" t="s">
        <v>357</v>
      </c>
      <c r="C187" s="292">
        <v>7624</v>
      </c>
      <c r="D187" s="283" t="s">
        <v>372</v>
      </c>
      <c r="E187" s="272">
        <v>0</v>
      </c>
      <c r="F187" s="221">
        <f t="shared" si="9"/>
        <v>0</v>
      </c>
      <c r="G187" s="221">
        <f t="shared" si="10"/>
        <v>0</v>
      </c>
      <c r="H187" s="225"/>
      <c r="I187" s="225"/>
      <c r="J187" s="225"/>
      <c r="K187" s="225"/>
      <c r="L187" s="225"/>
      <c r="M187" s="225"/>
      <c r="N187" s="225"/>
      <c r="O187" s="225"/>
      <c r="P187" s="224"/>
      <c r="Q187" s="225"/>
      <c r="R187" s="224"/>
      <c r="S187" s="224"/>
      <c r="T187" s="224"/>
      <c r="U187" s="225"/>
      <c r="V187" s="225"/>
      <c r="W187" s="225"/>
      <c r="X187" s="224"/>
      <c r="Y187" s="225"/>
      <c r="Z187" s="225"/>
      <c r="AA187" s="225"/>
      <c r="AB187" s="224"/>
      <c r="AC187" s="224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</row>
    <row r="188" spans="1:39" ht="16.5" thickBot="1" x14ac:dyDescent="0.3">
      <c r="A188" s="136" t="s">
        <v>182</v>
      </c>
      <c r="B188" s="130" t="s">
        <v>358</v>
      </c>
      <c r="C188" s="292">
        <v>2566</v>
      </c>
      <c r="D188" s="283" t="s">
        <v>370</v>
      </c>
      <c r="E188" s="272">
        <v>0</v>
      </c>
      <c r="F188" s="221">
        <f t="shared" si="9"/>
        <v>0</v>
      </c>
      <c r="G188" s="221">
        <f t="shared" si="10"/>
        <v>0</v>
      </c>
      <c r="H188" s="225"/>
      <c r="I188" s="225"/>
      <c r="J188" s="225"/>
      <c r="K188" s="225"/>
      <c r="L188" s="225"/>
      <c r="M188" s="225"/>
      <c r="N188" s="225"/>
      <c r="O188" s="225"/>
      <c r="P188" s="224"/>
      <c r="Q188" s="225"/>
      <c r="R188" s="224"/>
      <c r="S188" s="224"/>
      <c r="T188" s="224"/>
      <c r="U188" s="225"/>
      <c r="V188" s="225"/>
      <c r="W188" s="225"/>
      <c r="X188" s="224"/>
      <c r="Y188" s="225"/>
      <c r="Z188" s="225"/>
      <c r="AA188" s="225"/>
      <c r="AB188" s="224"/>
      <c r="AC188" s="224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</row>
    <row r="189" spans="1:39" ht="16.5" thickBot="1" x14ac:dyDescent="0.3">
      <c r="A189" s="136" t="s">
        <v>183</v>
      </c>
      <c r="B189" s="130" t="s">
        <v>359</v>
      </c>
      <c r="C189" s="292">
        <v>0</v>
      </c>
      <c r="D189" s="136"/>
      <c r="E189" s="272">
        <v>0</v>
      </c>
      <c r="F189" s="221">
        <f t="shared" si="9"/>
        <v>0</v>
      </c>
      <c r="G189" s="221">
        <f t="shared" si="10"/>
        <v>0</v>
      </c>
      <c r="H189" s="225"/>
      <c r="I189" s="225"/>
      <c r="J189" s="225"/>
      <c r="K189" s="225"/>
      <c r="L189" s="225"/>
      <c r="M189" s="225"/>
      <c r="N189" s="225"/>
      <c r="O189" s="225"/>
      <c r="P189" s="224"/>
      <c r="Q189" s="225"/>
      <c r="R189" s="224"/>
      <c r="S189" s="224"/>
      <c r="T189" s="224"/>
      <c r="U189" s="225"/>
      <c r="V189" s="225"/>
      <c r="W189" s="225"/>
      <c r="X189" s="224"/>
      <c r="Y189" s="225"/>
      <c r="Z189" s="225"/>
      <c r="AA189" s="225"/>
      <c r="AB189" s="224"/>
      <c r="AC189" s="224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</row>
    <row r="190" spans="1:39" ht="16.5" thickBot="1" x14ac:dyDescent="0.3">
      <c r="A190" s="136" t="s">
        <v>402</v>
      </c>
      <c r="B190" s="130" t="s">
        <v>571</v>
      </c>
      <c r="C190" s="274">
        <v>240419</v>
      </c>
      <c r="D190" s="136"/>
      <c r="E190" s="272">
        <f>C190</f>
        <v>240419</v>
      </c>
      <c r="F190" s="221">
        <f t="shared" si="9"/>
        <v>240418.99999999997</v>
      </c>
      <c r="G190" s="221">
        <f t="shared" si="10"/>
        <v>0</v>
      </c>
      <c r="H190" s="225"/>
      <c r="I190" s="225"/>
      <c r="J190" s="225"/>
      <c r="K190" s="225"/>
      <c r="L190" s="225"/>
      <c r="M190" s="225"/>
      <c r="N190" s="225"/>
      <c r="O190" s="225"/>
      <c r="P190" s="224"/>
      <c r="Q190" s="224">
        <v>41942</v>
      </c>
      <c r="R190" s="269">
        <v>42096</v>
      </c>
      <c r="S190" s="269">
        <v>19702.02</v>
      </c>
      <c r="T190" s="269">
        <v>29712.28</v>
      </c>
      <c r="U190" s="224">
        <v>6109</v>
      </c>
      <c r="V190" s="224">
        <v>50584.4</v>
      </c>
      <c r="W190" s="225"/>
      <c r="X190" s="224"/>
      <c r="Y190" s="224">
        <v>26020</v>
      </c>
      <c r="Z190" s="224">
        <v>24253.3</v>
      </c>
      <c r="AA190" s="225"/>
      <c r="AB190" s="224"/>
      <c r="AC190" s="224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</row>
    <row r="191" spans="1:39" ht="16.5" thickBot="1" x14ac:dyDescent="0.3">
      <c r="A191" s="136" t="s">
        <v>370</v>
      </c>
      <c r="B191" s="130" t="s">
        <v>374</v>
      </c>
      <c r="C191" s="274">
        <v>0</v>
      </c>
      <c r="D191" s="136"/>
      <c r="E191" s="272">
        <f>C16+C17+C25+C27+C40+C41+C56+C59+C68+C92+C93+C94+C95+C96+C111+C170+C173+C188</f>
        <v>64917</v>
      </c>
      <c r="F191" s="221">
        <f t="shared" si="9"/>
        <v>64917</v>
      </c>
      <c r="G191" s="221">
        <f t="shared" si="10"/>
        <v>0</v>
      </c>
      <c r="H191" s="225"/>
      <c r="I191" s="225"/>
      <c r="J191" s="225"/>
      <c r="K191" s="225"/>
      <c r="L191" s="225"/>
      <c r="M191" s="225"/>
      <c r="N191" s="225"/>
      <c r="O191" s="225"/>
      <c r="P191" s="224"/>
      <c r="Q191" s="225"/>
      <c r="R191" s="224">
        <v>5689.42</v>
      </c>
      <c r="S191" s="224">
        <v>24202.53</v>
      </c>
      <c r="T191" s="224">
        <v>10486.95</v>
      </c>
      <c r="U191" s="224"/>
      <c r="V191" s="225"/>
      <c r="W191" s="224">
        <v>6700.51</v>
      </c>
      <c r="X191" s="224"/>
      <c r="Y191" s="224">
        <v>5885.4</v>
      </c>
      <c r="Z191" s="225"/>
      <c r="AA191" s="224">
        <v>4145.17</v>
      </c>
      <c r="AB191" s="224"/>
      <c r="AC191" s="224">
        <v>7807.02</v>
      </c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</row>
    <row r="192" spans="1:39" ht="16.5" thickBot="1" x14ac:dyDescent="0.3">
      <c r="A192" s="136" t="s">
        <v>371</v>
      </c>
      <c r="B192" s="130" t="s">
        <v>595</v>
      </c>
      <c r="C192" s="302">
        <v>0</v>
      </c>
      <c r="D192" s="136"/>
      <c r="E192" s="272">
        <f>C99+C113+C122+C127+C130+C174+C175+C177+C180+C182+C184+C100</f>
        <v>114661</v>
      </c>
      <c r="F192" s="221">
        <f t="shared" si="9"/>
        <v>111113</v>
      </c>
      <c r="G192" s="221">
        <f t="shared" si="10"/>
        <v>3548</v>
      </c>
      <c r="H192" s="225"/>
      <c r="I192" s="225"/>
      <c r="J192" s="225"/>
      <c r="K192" s="225"/>
      <c r="L192" s="225"/>
      <c r="M192" s="225"/>
      <c r="N192" s="225"/>
      <c r="O192" s="225"/>
      <c r="P192" s="224"/>
      <c r="Q192" s="225"/>
      <c r="R192" s="224">
        <v>5037.4399999999996</v>
      </c>
      <c r="S192" s="224">
        <v>6155</v>
      </c>
      <c r="T192" s="224">
        <v>9350</v>
      </c>
      <c r="U192" s="224">
        <v>4590</v>
      </c>
      <c r="V192" s="224">
        <v>3091</v>
      </c>
      <c r="W192" s="224">
        <v>16518</v>
      </c>
      <c r="X192" s="224">
        <v>9660</v>
      </c>
      <c r="Y192" s="224">
        <v>10480</v>
      </c>
      <c r="Z192" s="224">
        <v>17961</v>
      </c>
      <c r="AA192" s="224">
        <v>16964</v>
      </c>
      <c r="AB192" s="224">
        <v>10856</v>
      </c>
      <c r="AC192" s="224">
        <v>450.56</v>
      </c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</row>
    <row r="193" spans="1:39" ht="16.5" thickBot="1" x14ac:dyDescent="0.3">
      <c r="A193" s="136" t="s">
        <v>372</v>
      </c>
      <c r="B193" s="130" t="s">
        <v>376</v>
      </c>
      <c r="C193" s="302">
        <v>0</v>
      </c>
      <c r="D193" s="136"/>
      <c r="E193" s="272">
        <f>C141+C164+C187</f>
        <v>20532</v>
      </c>
      <c r="F193" s="221">
        <f t="shared" si="9"/>
        <v>20532</v>
      </c>
      <c r="G193" s="221">
        <f t="shared" si="10"/>
        <v>0</v>
      </c>
      <c r="H193" s="225"/>
      <c r="I193" s="225"/>
      <c r="J193" s="225"/>
      <c r="K193" s="225"/>
      <c r="L193" s="225"/>
      <c r="M193" s="225"/>
      <c r="N193" s="225"/>
      <c r="O193" s="225"/>
      <c r="P193" s="224"/>
      <c r="Q193" s="225"/>
      <c r="R193" s="224"/>
      <c r="S193" s="224"/>
      <c r="T193" s="224">
        <v>20531.599999999999</v>
      </c>
      <c r="U193" s="224"/>
      <c r="V193" s="224"/>
      <c r="W193" s="225"/>
      <c r="X193" s="224"/>
      <c r="Y193" s="225"/>
      <c r="Z193" s="225"/>
      <c r="AA193" s="224"/>
      <c r="AB193" s="224"/>
      <c r="AC193" s="224"/>
      <c r="AD193" s="225"/>
      <c r="AE193" s="224">
        <v>0.4</v>
      </c>
      <c r="AF193" s="225"/>
      <c r="AG193" s="225"/>
      <c r="AH193" s="225"/>
      <c r="AI193" s="225"/>
      <c r="AJ193" s="225"/>
      <c r="AK193" s="225"/>
      <c r="AL193" s="225"/>
      <c r="AM193" s="225"/>
    </row>
    <row r="194" spans="1:39" ht="16.5" thickBot="1" x14ac:dyDescent="0.3">
      <c r="A194" s="136" t="s">
        <v>400</v>
      </c>
      <c r="B194" s="130" t="s">
        <v>389</v>
      </c>
      <c r="C194" s="302">
        <v>0</v>
      </c>
      <c r="D194" s="136"/>
      <c r="E194" s="272">
        <f>C20+C39+C43+C44+C45+C47+C120+C152+C153+C154+C158+C159</f>
        <v>16228</v>
      </c>
      <c r="F194" s="221">
        <f t="shared" si="9"/>
        <v>14100.98</v>
      </c>
      <c r="G194" s="221">
        <f t="shared" si="10"/>
        <v>2127.0200000000004</v>
      </c>
      <c r="H194" s="225"/>
      <c r="I194" s="225"/>
      <c r="J194" s="225"/>
      <c r="K194" s="225"/>
      <c r="L194" s="225"/>
      <c r="M194" s="225"/>
      <c r="N194" s="225"/>
      <c r="O194" s="225"/>
      <c r="P194" s="224"/>
      <c r="Q194" s="225"/>
      <c r="R194" s="224"/>
      <c r="S194" s="224">
        <f>1477.78+834.33</f>
        <v>2312.11</v>
      </c>
      <c r="T194" s="225"/>
      <c r="U194" s="224">
        <v>2507.2800000000002</v>
      </c>
      <c r="V194" s="224"/>
      <c r="W194" s="225"/>
      <c r="X194" s="224">
        <f>953.51+113.54</f>
        <v>1067.05</v>
      </c>
      <c r="Y194" s="225"/>
      <c r="Z194" s="225"/>
      <c r="AA194" s="224">
        <f>11.92+250</f>
        <v>261.92</v>
      </c>
      <c r="AB194" s="224">
        <v>1036</v>
      </c>
      <c r="AC194" s="224"/>
      <c r="AD194" s="224">
        <v>687.53</v>
      </c>
      <c r="AE194" s="225"/>
      <c r="AF194" s="224">
        <v>5637.18</v>
      </c>
      <c r="AG194" s="224">
        <v>591.91</v>
      </c>
      <c r="AH194" s="225"/>
      <c r="AI194" s="225"/>
      <c r="AJ194" s="225"/>
      <c r="AK194" s="225"/>
      <c r="AL194" s="225"/>
      <c r="AM194" s="225"/>
    </row>
    <row r="195" spans="1:39" ht="16.5" thickBot="1" x14ac:dyDescent="0.3">
      <c r="A195" s="136" t="s">
        <v>401</v>
      </c>
      <c r="B195" s="130" t="s">
        <v>391</v>
      </c>
      <c r="C195" s="302">
        <v>0</v>
      </c>
      <c r="D195" s="136"/>
      <c r="E195" s="272">
        <f>C34+C35+C131+C132+C133+C144+C145+C146+C147</f>
        <v>26722</v>
      </c>
      <c r="F195" s="221">
        <f t="shared" si="9"/>
        <v>7207</v>
      </c>
      <c r="G195" s="221">
        <f t="shared" si="10"/>
        <v>19515</v>
      </c>
      <c r="H195" s="225"/>
      <c r="I195" s="225"/>
      <c r="J195" s="225"/>
      <c r="K195" s="225"/>
      <c r="L195" s="225"/>
      <c r="M195" s="225"/>
      <c r="N195" s="225"/>
      <c r="O195" s="225"/>
      <c r="P195" s="224"/>
      <c r="Q195" s="225"/>
      <c r="R195" s="224"/>
      <c r="S195" s="225"/>
      <c r="T195" s="225"/>
      <c r="U195" s="224"/>
      <c r="V195" s="224"/>
      <c r="W195" s="225"/>
      <c r="X195" s="224">
        <v>7207</v>
      </c>
      <c r="Y195" s="224"/>
      <c r="Z195" s="225"/>
      <c r="AA195" s="225"/>
      <c r="AB195" s="225"/>
      <c r="AC195" s="224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</row>
    <row r="196" spans="1:39" ht="16.5" thickBot="1" x14ac:dyDescent="0.3">
      <c r="A196" s="136" t="s">
        <v>373</v>
      </c>
      <c r="B196" s="130" t="s">
        <v>377</v>
      </c>
      <c r="C196" s="302">
        <v>0</v>
      </c>
      <c r="D196" s="136"/>
      <c r="E196" s="272">
        <f>C82+C83+C88+C150</f>
        <v>16607</v>
      </c>
      <c r="F196" s="221">
        <f t="shared" si="9"/>
        <v>16606</v>
      </c>
      <c r="G196" s="221">
        <f t="shared" si="10"/>
        <v>1</v>
      </c>
      <c r="H196" s="225"/>
      <c r="I196" s="225"/>
      <c r="J196" s="225"/>
      <c r="K196" s="225"/>
      <c r="L196" s="225"/>
      <c r="M196" s="225"/>
      <c r="N196" s="225"/>
      <c r="O196" s="225"/>
      <c r="P196" s="224"/>
      <c r="Q196" s="225"/>
      <c r="R196" s="224"/>
      <c r="S196" s="225"/>
      <c r="T196" s="225"/>
      <c r="U196" s="224"/>
      <c r="V196" s="224">
        <v>16606</v>
      </c>
      <c r="W196" s="225"/>
      <c r="X196" s="224"/>
      <c r="Y196" s="225"/>
      <c r="Z196" s="225"/>
      <c r="AA196" s="225"/>
      <c r="AB196" s="225"/>
      <c r="AC196" s="224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</row>
    <row r="197" spans="1:39" ht="16.5" thickBot="1" x14ac:dyDescent="0.3">
      <c r="C197" s="219"/>
      <c r="E197" s="219"/>
      <c r="F197" s="219"/>
      <c r="G197" s="219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4"/>
      <c r="V197" s="225"/>
      <c r="W197" s="225"/>
      <c r="X197" s="224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</row>
    <row r="198" spans="1:39" s="174" customFormat="1" ht="16.5" thickBot="1" x14ac:dyDescent="0.3">
      <c r="A198" s="173" t="s">
        <v>603</v>
      </c>
      <c r="B198" s="130"/>
      <c r="C198" s="222">
        <f>SUM(C12:C196)</f>
        <v>9291794</v>
      </c>
      <c r="D198" s="130"/>
      <c r="E198" s="222">
        <f t="shared" ref="E198" si="11">SUM(E12:E196)</f>
        <v>9252469</v>
      </c>
      <c r="F198" s="222">
        <f t="shared" ref="F198:AM198" si="12">SUM(F12:F196)</f>
        <v>9155493.790000001</v>
      </c>
      <c r="G198" s="222">
        <f t="shared" si="12"/>
        <v>96975.21</v>
      </c>
      <c r="H198" s="220">
        <f t="shared" si="12"/>
        <v>0</v>
      </c>
      <c r="I198" s="220">
        <f t="shared" si="12"/>
        <v>0</v>
      </c>
      <c r="J198" s="220">
        <f t="shared" si="12"/>
        <v>0</v>
      </c>
      <c r="K198" s="220">
        <f t="shared" si="12"/>
        <v>10789.11</v>
      </c>
      <c r="L198" s="220">
        <f t="shared" si="12"/>
        <v>100389.06</v>
      </c>
      <c r="M198" s="220">
        <f t="shared" si="12"/>
        <v>291985.45</v>
      </c>
      <c r="N198" s="220">
        <f t="shared" si="12"/>
        <v>317689.06999999995</v>
      </c>
      <c r="O198" s="220">
        <f t="shared" si="12"/>
        <v>524761.0199999999</v>
      </c>
      <c r="P198" s="220">
        <f>SUM(P12:P196)</f>
        <v>529184.71000000008</v>
      </c>
      <c r="Q198" s="220">
        <f t="shared" si="12"/>
        <v>1007474.7899999999</v>
      </c>
      <c r="R198" s="220">
        <f t="shared" si="12"/>
        <v>954072.00000000012</v>
      </c>
      <c r="S198" s="220">
        <f t="shared" si="12"/>
        <v>738430.57999999984</v>
      </c>
      <c r="T198" s="220">
        <f t="shared" si="12"/>
        <v>727206.73</v>
      </c>
      <c r="U198" s="220">
        <f t="shared" si="12"/>
        <v>225460.74</v>
      </c>
      <c r="V198" s="220">
        <f t="shared" si="12"/>
        <v>310205.78999999998</v>
      </c>
      <c r="W198" s="220">
        <f t="shared" si="12"/>
        <v>1166376.4100000004</v>
      </c>
      <c r="X198" s="220">
        <f t="shared" si="12"/>
        <v>222313.94</v>
      </c>
      <c r="Y198" s="220">
        <f t="shared" si="12"/>
        <v>246056.65999999997</v>
      </c>
      <c r="Z198" s="220">
        <f t="shared" si="12"/>
        <v>199038.34</v>
      </c>
      <c r="AA198" s="220">
        <f t="shared" si="12"/>
        <v>242032.34000000003</v>
      </c>
      <c r="AB198" s="220">
        <f t="shared" si="12"/>
        <v>612812.71</v>
      </c>
      <c r="AC198" s="220">
        <f t="shared" si="12"/>
        <v>194763.72</v>
      </c>
      <c r="AD198" s="220">
        <f t="shared" si="12"/>
        <v>49935.78</v>
      </c>
      <c r="AE198" s="220">
        <f t="shared" si="12"/>
        <v>51421.209999999992</v>
      </c>
      <c r="AF198" s="220">
        <f t="shared" si="12"/>
        <v>378288.26</v>
      </c>
      <c r="AG198" s="220">
        <f t="shared" si="12"/>
        <v>591.91</v>
      </c>
      <c r="AH198" s="220">
        <f t="shared" si="12"/>
        <v>54213.46</v>
      </c>
      <c r="AI198" s="220">
        <f t="shared" si="12"/>
        <v>0</v>
      </c>
      <c r="AJ198" s="220">
        <f t="shared" si="12"/>
        <v>0</v>
      </c>
      <c r="AK198" s="220">
        <f t="shared" si="12"/>
        <v>0</v>
      </c>
      <c r="AL198" s="220">
        <f t="shared" si="12"/>
        <v>0</v>
      </c>
      <c r="AM198" s="220">
        <f t="shared" si="12"/>
        <v>0</v>
      </c>
    </row>
    <row r="200" spans="1:39" x14ac:dyDescent="0.25">
      <c r="G200" s="219"/>
      <c r="P200" s="225"/>
      <c r="S200" s="225"/>
    </row>
    <row r="201" spans="1:39" x14ac:dyDescent="0.25">
      <c r="C201" s="172"/>
      <c r="F201" s="219"/>
      <c r="M201" s="186"/>
      <c r="S201" s="225"/>
      <c r="T201" s="225"/>
      <c r="U201" s="225"/>
    </row>
    <row r="202" spans="1:39" x14ac:dyDescent="0.25">
      <c r="E202" s="282"/>
      <c r="R202" s="225"/>
    </row>
    <row r="203" spans="1:39" x14ac:dyDescent="0.25">
      <c r="R203" s="225"/>
    </row>
    <row r="206" spans="1:39" x14ac:dyDescent="0.25">
      <c r="R206" s="225"/>
    </row>
    <row r="211" spans="18:18" x14ac:dyDescent="0.25">
      <c r="R211" s="225"/>
    </row>
  </sheetData>
  <sheetProtection algorithmName="SHA-512" hashValue="freNvM/yaeHjrr1I22CLCwUwARt5Duke8M1+liVy2jrqybf8uWj69MinjQ1qxdUJy49yC9NJOs7uHBZSugMkWg==" saltValue="Rr8ffUA3fJP/4KWInjm+Wg==" spinCount="100000" sheet="1" objects="1" scenarios="1"/>
  <autoFilter ref="A11:BC196" xr:uid="{00000000-0009-0000-0000-000005000000}"/>
  <pageMargins left="0.7" right="0.7" top="0.75" bottom="0.75" header="0.3" footer="0.3"/>
  <pageSetup scale="1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 filterMode="1">
    <tabColor rgb="FF66CCFF"/>
    <pageSetUpPr fitToPage="1"/>
  </sheetPr>
  <dimension ref="A1:AM50"/>
  <sheetViews>
    <sheetView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H32" sqref="AH32"/>
    </sheetView>
  </sheetViews>
  <sheetFormatPr defaultColWidth="9.140625" defaultRowHeight="15.75" x14ac:dyDescent="0.25"/>
  <cols>
    <col min="1" max="1" width="20.140625" style="143" customWidth="1"/>
    <col min="2" max="2" width="32.7109375" style="143" customWidth="1"/>
    <col min="3" max="3" width="20.140625" style="133" customWidth="1"/>
    <col min="4" max="4" width="20.140625" style="132" customWidth="1"/>
    <col min="5" max="5" width="20.140625" style="133" customWidth="1"/>
    <col min="6" max="7" width="16" style="2" customWidth="1"/>
    <col min="8" max="18" width="15.7109375" style="2" customWidth="1"/>
    <col min="19" max="19" width="15.7109375" style="304" customWidth="1"/>
    <col min="20" max="34" width="15.7109375" style="2" customWidth="1"/>
    <col min="35" max="39" width="16.42578125" style="2" customWidth="1"/>
    <col min="40" max="16384" width="9.140625" style="2"/>
  </cols>
  <sheetData>
    <row r="1" spans="1:39" ht="21" x14ac:dyDescent="0.35">
      <c r="A1" s="139" t="s">
        <v>0</v>
      </c>
      <c r="B1" s="140"/>
      <c r="C1" s="120" t="s">
        <v>667</v>
      </c>
      <c r="D1" s="128"/>
      <c r="E1" s="120"/>
      <c r="F1" s="10"/>
      <c r="G1" s="13"/>
      <c r="H1" s="14"/>
      <c r="I1" s="14"/>
      <c r="J1" s="12" t="str">
        <f>C1</f>
        <v>Title III-A SAI Formula (Revised Final)</v>
      </c>
      <c r="K1" s="12"/>
      <c r="L1" s="10"/>
      <c r="M1" s="10"/>
      <c r="N1" s="13"/>
      <c r="O1" s="13"/>
      <c r="P1" s="78" t="str">
        <f>C1</f>
        <v>Title III-A SAI Formula (Revised Final)</v>
      </c>
      <c r="Q1" s="14"/>
      <c r="R1" s="12"/>
      <c r="S1" s="121"/>
      <c r="T1" s="10"/>
      <c r="U1" s="10"/>
      <c r="V1" s="78" t="str">
        <f>C1</f>
        <v>Title III-A SAI Formula (Revised Final)</v>
      </c>
      <c r="W1" s="13"/>
      <c r="X1" s="14"/>
      <c r="Y1" s="14"/>
      <c r="Z1" s="12"/>
      <c r="AA1" s="12"/>
      <c r="AB1" s="78" t="str">
        <f>C1</f>
        <v>Title III-A SAI Formula (Revised Final)</v>
      </c>
      <c r="AC1" s="10"/>
      <c r="AD1" s="13"/>
      <c r="AE1" s="13"/>
      <c r="AF1" s="14"/>
      <c r="AG1" s="78" t="str">
        <f>C1</f>
        <v>Title III-A SAI Formula (Revised Final)</v>
      </c>
      <c r="AH1" s="12"/>
      <c r="AI1" s="120"/>
      <c r="AJ1" s="120"/>
      <c r="AK1" s="120"/>
      <c r="AL1" s="120"/>
      <c r="AM1" s="120"/>
    </row>
    <row r="2" spans="1:39" x14ac:dyDescent="0.25">
      <c r="A2" s="141" t="s">
        <v>1</v>
      </c>
      <c r="B2" s="140"/>
      <c r="C2" s="82">
        <v>84.364999999999995</v>
      </c>
      <c r="D2" s="131"/>
      <c r="E2" s="82"/>
      <c r="F2" s="15"/>
      <c r="G2" s="17"/>
      <c r="H2" s="14"/>
      <c r="I2" s="14"/>
      <c r="J2" s="15" t="str">
        <f>"FY"&amp;C4</f>
        <v>FY2020-2021</v>
      </c>
      <c r="K2" s="15"/>
      <c r="L2" s="84"/>
      <c r="M2" s="18"/>
      <c r="N2" s="17"/>
      <c r="O2" s="17"/>
      <c r="P2" s="81" t="str">
        <f>"FY"&amp;C4</f>
        <v>FY2020-2021</v>
      </c>
      <c r="Q2" s="17"/>
      <c r="R2" s="15"/>
      <c r="S2" s="81"/>
      <c r="T2" s="18"/>
      <c r="U2" s="18"/>
      <c r="V2" s="81" t="str">
        <f>"FY"&amp;C4</f>
        <v>FY2020-2021</v>
      </c>
      <c r="W2" s="17"/>
      <c r="X2" s="17"/>
      <c r="Y2" s="17"/>
      <c r="Z2" s="15"/>
      <c r="AA2" s="15"/>
      <c r="AB2" s="81" t="str">
        <f>"FY"&amp;C4</f>
        <v>FY2020-2021</v>
      </c>
      <c r="AC2" s="18"/>
      <c r="AD2" s="17"/>
      <c r="AE2" s="17"/>
      <c r="AF2" s="17"/>
      <c r="AG2" s="81" t="str">
        <f>"FY"&amp;C4</f>
        <v>FY2020-2021</v>
      </c>
      <c r="AH2" s="15"/>
      <c r="AI2" s="81"/>
      <c r="AJ2" s="81"/>
      <c r="AK2" s="81"/>
      <c r="AL2" s="81"/>
      <c r="AM2" s="81"/>
    </row>
    <row r="3" spans="1:39" x14ac:dyDescent="0.25">
      <c r="A3" s="141" t="s">
        <v>3</v>
      </c>
      <c r="B3" s="140"/>
      <c r="C3" s="121">
        <v>7365</v>
      </c>
      <c r="D3" s="129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0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21" x14ac:dyDescent="0.35">
      <c r="A4" s="141" t="s">
        <v>2</v>
      </c>
      <c r="B4" s="140"/>
      <c r="C4" s="120" t="s">
        <v>641</v>
      </c>
      <c r="D4" s="129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05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x14ac:dyDescent="0.25">
      <c r="A5" s="141" t="s">
        <v>392</v>
      </c>
      <c r="B5" s="140"/>
      <c r="C5" s="67" t="s">
        <v>619</v>
      </c>
      <c r="D5" s="129"/>
      <c r="E5" s="81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306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x14ac:dyDescent="0.25">
      <c r="A6" s="141" t="s">
        <v>4</v>
      </c>
      <c r="B6" s="140"/>
      <c r="C6" s="67" t="s">
        <v>364</v>
      </c>
      <c r="D6" s="129"/>
      <c r="E6" s="81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30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x14ac:dyDescent="0.25">
      <c r="A7" s="141"/>
      <c r="B7" s="140"/>
      <c r="C7" s="81" t="s">
        <v>637</v>
      </c>
      <c r="D7" s="129"/>
      <c r="E7" s="81"/>
      <c r="F7" s="15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30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86"/>
      <c r="AJ7" s="86"/>
      <c r="AK7" s="86"/>
      <c r="AL7" s="86"/>
      <c r="AM7" s="86"/>
    </row>
    <row r="8" spans="1:39" x14ac:dyDescent="0.25">
      <c r="A8" s="141" t="s">
        <v>378</v>
      </c>
      <c r="B8" s="140"/>
      <c r="C8" s="81" t="s">
        <v>584</v>
      </c>
      <c r="D8" s="129"/>
      <c r="E8" s="81"/>
      <c r="F8" s="16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306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x14ac:dyDescent="0.25">
      <c r="A9" s="141" t="s">
        <v>379</v>
      </c>
      <c r="B9" s="140"/>
      <c r="C9" s="81" t="s">
        <v>380</v>
      </c>
      <c r="D9" s="129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0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s="6" customFormat="1" ht="16.5" thickBot="1" x14ac:dyDescent="0.3">
      <c r="A10" s="141" t="s">
        <v>393</v>
      </c>
      <c r="B10" s="140"/>
      <c r="C10" s="81" t="s">
        <v>656</v>
      </c>
      <c r="D10" s="129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0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307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s="6" customFormat="1" ht="18" customHeight="1" thickBot="1" x14ac:dyDescent="0.3">
      <c r="A12" s="142" t="s">
        <v>7</v>
      </c>
      <c r="B12" s="145" t="s">
        <v>185</v>
      </c>
      <c r="C12" s="281">
        <v>101059</v>
      </c>
      <c r="D12" s="136"/>
      <c r="E12" s="187">
        <f>C12</f>
        <v>101059</v>
      </c>
      <c r="F12" s="187">
        <f>SUM(H12:AK12)</f>
        <v>101059</v>
      </c>
      <c r="G12" s="187">
        <f>E12-(F12+AL12+AM12)</f>
        <v>0</v>
      </c>
      <c r="H12" s="200"/>
      <c r="I12" s="200"/>
      <c r="J12" s="200"/>
      <c r="K12" s="200"/>
      <c r="L12" s="200"/>
      <c r="M12" s="200"/>
      <c r="N12" s="200"/>
      <c r="O12" s="224"/>
      <c r="P12" s="224"/>
      <c r="Q12" s="224"/>
      <c r="R12" s="224"/>
      <c r="S12" s="224"/>
      <c r="T12" s="224"/>
      <c r="U12" s="224"/>
      <c r="V12" s="224"/>
      <c r="W12" s="224"/>
      <c r="X12" s="224">
        <v>4669.92</v>
      </c>
      <c r="Y12" s="224">
        <v>22493.17</v>
      </c>
      <c r="Z12" s="224">
        <v>4389.82</v>
      </c>
      <c r="AA12" s="224">
        <v>8101.07</v>
      </c>
      <c r="AB12" s="224">
        <v>9150.57</v>
      </c>
      <c r="AC12" s="224">
        <v>3448.61</v>
      </c>
      <c r="AD12" s="224">
        <v>10353.950000000001</v>
      </c>
      <c r="AE12" s="224">
        <f>3908.09+5806.44</f>
        <v>9714.5299999999988</v>
      </c>
      <c r="AF12" s="200"/>
      <c r="AG12" s="224">
        <v>28737.360000000001</v>
      </c>
      <c r="AH12" s="224"/>
      <c r="AI12" s="200"/>
      <c r="AJ12" s="200"/>
      <c r="AK12" s="200"/>
      <c r="AL12" s="200"/>
      <c r="AM12" s="200"/>
    </row>
    <row r="13" spans="1:39" ht="18" customHeight="1" thickBot="1" x14ac:dyDescent="0.3">
      <c r="A13" s="142" t="s">
        <v>8</v>
      </c>
      <c r="B13" s="145" t="s">
        <v>186</v>
      </c>
      <c r="C13" s="281">
        <v>19808</v>
      </c>
      <c r="D13" s="136"/>
      <c r="E13" s="187">
        <f>C13</f>
        <v>19808</v>
      </c>
      <c r="F13" s="187">
        <f t="shared" ref="F13:F47" si="0">SUM(H13:AK13)</f>
        <v>19808</v>
      </c>
      <c r="G13" s="187">
        <f t="shared" ref="G13:G21" si="1">E13-(F13+AL13+AM13)</f>
        <v>0</v>
      </c>
      <c r="H13" s="200"/>
      <c r="I13" s="200"/>
      <c r="J13" s="200"/>
      <c r="K13" s="200"/>
      <c r="L13" s="200"/>
      <c r="M13" s="200"/>
      <c r="N13" s="200"/>
      <c r="O13" s="224"/>
      <c r="P13" s="224"/>
      <c r="Q13" s="224">
        <v>19808</v>
      </c>
      <c r="R13" s="224"/>
      <c r="S13" s="224"/>
      <c r="T13" s="224"/>
      <c r="U13" s="224"/>
      <c r="V13" s="224"/>
      <c r="W13" s="224"/>
      <c r="X13" s="224"/>
      <c r="Y13" s="224"/>
      <c r="Z13" s="200"/>
      <c r="AA13" s="200"/>
      <c r="AB13" s="224"/>
      <c r="AC13" s="224"/>
      <c r="AD13" s="224"/>
      <c r="AE13" s="224"/>
      <c r="AF13" s="200"/>
      <c r="AG13" s="224"/>
      <c r="AH13" s="224"/>
      <c r="AI13" s="200"/>
      <c r="AJ13" s="200"/>
      <c r="AK13" s="200"/>
      <c r="AL13" s="200"/>
      <c r="AM13" s="200"/>
    </row>
    <row r="14" spans="1:39" s="133" customFormat="1" ht="18" customHeight="1" thickBot="1" x14ac:dyDescent="0.3">
      <c r="A14" s="142" t="s">
        <v>16</v>
      </c>
      <c r="B14" s="145" t="s">
        <v>633</v>
      </c>
      <c r="C14" s="281">
        <v>4042</v>
      </c>
      <c r="D14" s="136"/>
      <c r="E14" s="187">
        <f>C14</f>
        <v>4042</v>
      </c>
      <c r="F14" s="187">
        <f t="shared" si="0"/>
        <v>3504.59</v>
      </c>
      <c r="G14" s="187">
        <f t="shared" si="1"/>
        <v>537.40999999999985</v>
      </c>
      <c r="H14" s="200"/>
      <c r="I14" s="200"/>
      <c r="J14" s="200"/>
      <c r="K14" s="200"/>
      <c r="L14" s="200"/>
      <c r="M14" s="200"/>
      <c r="N14" s="200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>
        <v>2413</v>
      </c>
      <c r="AA14" s="200"/>
      <c r="AB14" s="224"/>
      <c r="AC14" s="224"/>
      <c r="AD14" s="224"/>
      <c r="AE14" s="224">
        <v>1091.5899999999999</v>
      </c>
      <c r="AF14" s="200"/>
      <c r="AG14" s="224"/>
      <c r="AH14" s="224"/>
      <c r="AI14" s="200"/>
      <c r="AJ14" s="200"/>
      <c r="AK14" s="200"/>
      <c r="AL14" s="200"/>
      <c r="AM14" s="200"/>
    </row>
    <row r="15" spans="1:39" ht="18" customHeight="1" thickBot="1" x14ac:dyDescent="0.3">
      <c r="A15" s="142" t="s">
        <v>17</v>
      </c>
      <c r="B15" s="145" t="s">
        <v>195</v>
      </c>
      <c r="C15" s="281">
        <v>23041</v>
      </c>
      <c r="D15" s="136"/>
      <c r="E15" s="187">
        <f t="shared" ref="E15:E16" si="2">C15</f>
        <v>23041</v>
      </c>
      <c r="F15" s="187">
        <f t="shared" si="0"/>
        <v>23041</v>
      </c>
      <c r="G15" s="187">
        <f t="shared" si="1"/>
        <v>0</v>
      </c>
      <c r="H15" s="200"/>
      <c r="I15" s="200"/>
      <c r="J15" s="200"/>
      <c r="K15" s="200"/>
      <c r="L15" s="200"/>
      <c r="M15" s="200"/>
      <c r="N15" s="224">
        <v>22773.45</v>
      </c>
      <c r="O15" s="224"/>
      <c r="P15" s="224"/>
      <c r="Q15" s="224"/>
      <c r="R15" s="224"/>
      <c r="S15" s="224"/>
      <c r="T15" s="224"/>
      <c r="U15" s="224"/>
      <c r="V15" s="224">
        <v>267.55</v>
      </c>
      <c r="W15" s="224"/>
      <c r="X15" s="224"/>
      <c r="Y15" s="224"/>
      <c r="Z15" s="200"/>
      <c r="AA15" s="200"/>
      <c r="AB15" s="224"/>
      <c r="AC15" s="224"/>
      <c r="AD15" s="224"/>
      <c r="AE15" s="224"/>
      <c r="AF15" s="200"/>
      <c r="AG15" s="224"/>
      <c r="AH15" s="224"/>
      <c r="AI15" s="200"/>
      <c r="AJ15" s="200"/>
      <c r="AK15" s="200"/>
      <c r="AL15" s="200"/>
      <c r="AM15" s="200"/>
    </row>
    <row r="16" spans="1:39" s="133" customFormat="1" ht="18" customHeight="1" thickBot="1" x14ac:dyDescent="0.3">
      <c r="A16" s="142" t="s">
        <v>18</v>
      </c>
      <c r="B16" s="145" t="s">
        <v>196</v>
      </c>
      <c r="C16" s="281">
        <v>808</v>
      </c>
      <c r="D16" s="136"/>
      <c r="E16" s="187">
        <f t="shared" si="2"/>
        <v>808</v>
      </c>
      <c r="F16" s="187">
        <f t="shared" si="0"/>
        <v>669.55</v>
      </c>
      <c r="G16" s="187">
        <f t="shared" si="1"/>
        <v>138.45000000000005</v>
      </c>
      <c r="H16" s="200"/>
      <c r="I16" s="200"/>
      <c r="J16" s="200"/>
      <c r="K16" s="200"/>
      <c r="L16" s="200"/>
      <c r="M16" s="200"/>
      <c r="N16" s="200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00"/>
      <c r="AA16" s="200"/>
      <c r="AB16" s="224"/>
      <c r="AC16" s="224"/>
      <c r="AD16" s="224">
        <v>183.82</v>
      </c>
      <c r="AE16" s="224">
        <v>485.73</v>
      </c>
      <c r="AF16" s="200"/>
      <c r="AG16" s="224"/>
      <c r="AH16" s="224"/>
      <c r="AI16" s="200"/>
      <c r="AJ16" s="200"/>
      <c r="AK16" s="200"/>
      <c r="AL16" s="200"/>
      <c r="AM16" s="200"/>
    </row>
    <row r="17" spans="1:39" s="133" customFormat="1" ht="18" hidden="1" customHeight="1" thickBot="1" x14ac:dyDescent="0.3">
      <c r="A17" s="142" t="s">
        <v>24</v>
      </c>
      <c r="B17" s="145" t="s">
        <v>202</v>
      </c>
      <c r="C17" s="281">
        <v>404</v>
      </c>
      <c r="D17" s="273" t="s">
        <v>618</v>
      </c>
      <c r="E17" s="281">
        <v>0</v>
      </c>
      <c r="F17" s="187">
        <f t="shared" si="0"/>
        <v>0</v>
      </c>
      <c r="G17" s="187">
        <f t="shared" si="1"/>
        <v>0</v>
      </c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</row>
    <row r="18" spans="1:39" ht="16.5" thickBot="1" x14ac:dyDescent="0.3">
      <c r="A18" s="142" t="s">
        <v>45</v>
      </c>
      <c r="B18" s="145" t="s">
        <v>223</v>
      </c>
      <c r="C18" s="281">
        <v>184332</v>
      </c>
      <c r="D18" s="136"/>
      <c r="E18" s="187">
        <f>C18</f>
        <v>184332</v>
      </c>
      <c r="F18" s="187">
        <f t="shared" si="0"/>
        <v>119764.91999999998</v>
      </c>
      <c r="G18" s="187">
        <f t="shared" si="1"/>
        <v>64567.080000000016</v>
      </c>
      <c r="H18" s="200"/>
      <c r="I18" s="200"/>
      <c r="J18" s="200"/>
      <c r="K18" s="200"/>
      <c r="L18" s="200"/>
      <c r="M18" s="200"/>
      <c r="N18" s="200"/>
      <c r="O18" s="224"/>
      <c r="P18" s="224"/>
      <c r="Q18" s="224"/>
      <c r="R18" s="224"/>
      <c r="S18" s="224"/>
      <c r="T18" s="224"/>
      <c r="U18" s="224"/>
      <c r="V18" s="224"/>
      <c r="W18" s="224">
        <v>20501.73</v>
      </c>
      <c r="X18" s="224"/>
      <c r="Y18" s="224"/>
      <c r="Z18" s="200"/>
      <c r="AA18" s="200"/>
      <c r="AB18" s="224"/>
      <c r="AC18" s="224">
        <f>70480.64+8496.2</f>
        <v>78976.84</v>
      </c>
      <c r="AD18" s="224"/>
      <c r="AE18" s="224">
        <f>9745.5+10540.85</f>
        <v>20286.349999999999</v>
      </c>
      <c r="AF18" s="200"/>
      <c r="AG18" s="224"/>
      <c r="AH18" s="224"/>
      <c r="AI18" s="200"/>
      <c r="AJ18" s="200"/>
      <c r="AK18" s="200"/>
      <c r="AL18" s="200"/>
      <c r="AM18" s="200"/>
    </row>
    <row r="19" spans="1:39" ht="16.5" thickBot="1" x14ac:dyDescent="0.3">
      <c r="A19" s="142" t="s">
        <v>55</v>
      </c>
      <c r="B19" s="145" t="s">
        <v>233</v>
      </c>
      <c r="C19" s="281">
        <v>25467</v>
      </c>
      <c r="D19" s="136"/>
      <c r="E19" s="187">
        <f t="shared" ref="E19:E21" si="3">C19</f>
        <v>25467</v>
      </c>
      <c r="F19" s="187">
        <f t="shared" si="0"/>
        <v>2111.09</v>
      </c>
      <c r="G19" s="187">
        <f t="shared" si="1"/>
        <v>23355.91</v>
      </c>
      <c r="H19" s="200"/>
      <c r="I19" s="200"/>
      <c r="J19" s="200"/>
      <c r="K19" s="200"/>
      <c r="L19" s="200"/>
      <c r="M19" s="200"/>
      <c r="N19" s="200"/>
      <c r="O19" s="224"/>
      <c r="P19" s="224">
        <v>1269.0899999999999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00"/>
      <c r="AA19" s="200"/>
      <c r="AB19" s="224"/>
      <c r="AC19" s="224">
        <v>842</v>
      </c>
      <c r="AD19" s="224"/>
      <c r="AE19" s="224"/>
      <c r="AF19" s="200"/>
      <c r="AG19" s="224"/>
      <c r="AH19" s="224"/>
      <c r="AI19" s="200"/>
      <c r="AJ19" s="200"/>
      <c r="AK19" s="200"/>
      <c r="AL19" s="200"/>
      <c r="AM19" s="200"/>
    </row>
    <row r="20" spans="1:39" s="133" customFormat="1" ht="16.5" thickBot="1" x14ac:dyDescent="0.3">
      <c r="A20" s="142" t="s">
        <v>58</v>
      </c>
      <c r="B20" s="145" t="s">
        <v>236</v>
      </c>
      <c r="C20" s="281">
        <v>16574</v>
      </c>
      <c r="D20" s="136"/>
      <c r="E20" s="187">
        <f t="shared" si="3"/>
        <v>16574</v>
      </c>
      <c r="F20" s="187">
        <f t="shared" si="0"/>
        <v>10139.09</v>
      </c>
      <c r="G20" s="187">
        <f t="shared" si="1"/>
        <v>6434.91</v>
      </c>
      <c r="H20" s="200"/>
      <c r="I20" s="200"/>
      <c r="J20" s="200"/>
      <c r="K20" s="200"/>
      <c r="L20" s="200"/>
      <c r="M20" s="200"/>
      <c r="N20" s="200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00"/>
      <c r="AA20" s="224">
        <v>996.58</v>
      </c>
      <c r="AB20" s="224">
        <v>2889.77</v>
      </c>
      <c r="AC20" s="224">
        <v>2190.16</v>
      </c>
      <c r="AD20" s="224">
        <v>236.62</v>
      </c>
      <c r="AE20" s="224"/>
      <c r="AF20" s="200"/>
      <c r="AG20" s="224"/>
      <c r="AH20" s="224">
        <v>3825.96</v>
      </c>
      <c r="AI20" s="200"/>
      <c r="AJ20" s="200"/>
      <c r="AK20" s="200"/>
      <c r="AL20" s="200"/>
      <c r="AM20" s="200"/>
    </row>
    <row r="21" spans="1:39" s="133" customFormat="1" ht="16.5" thickBot="1" x14ac:dyDescent="0.3">
      <c r="A21" s="142" t="s">
        <v>59</v>
      </c>
      <c r="B21" s="145" t="s">
        <v>657</v>
      </c>
      <c r="C21" s="281">
        <v>4851</v>
      </c>
      <c r="D21" s="136"/>
      <c r="E21" s="187">
        <f t="shared" si="3"/>
        <v>4851</v>
      </c>
      <c r="F21" s="187">
        <f t="shared" si="0"/>
        <v>4851</v>
      </c>
      <c r="G21" s="187">
        <f t="shared" si="1"/>
        <v>0</v>
      </c>
      <c r="H21" s="200"/>
      <c r="I21" s="200"/>
      <c r="J21" s="200"/>
      <c r="K21" s="200"/>
      <c r="L21" s="200"/>
      <c r="M21" s="200"/>
      <c r="N21" s="200"/>
      <c r="O21" s="224"/>
      <c r="P21" s="224"/>
      <c r="Q21" s="224"/>
      <c r="R21" s="224"/>
      <c r="S21" s="224"/>
      <c r="T21" s="224"/>
      <c r="U21" s="224"/>
      <c r="V21" s="224"/>
      <c r="W21" s="224">
        <v>4851</v>
      </c>
      <c r="X21" s="224"/>
      <c r="Y21" s="224"/>
      <c r="Z21" s="200"/>
      <c r="AA21" s="200"/>
      <c r="AB21" s="224"/>
      <c r="AC21" s="224"/>
      <c r="AD21" s="224"/>
      <c r="AE21" s="224"/>
      <c r="AF21" s="200"/>
      <c r="AG21" s="224"/>
      <c r="AH21" s="224"/>
      <c r="AI21" s="200"/>
      <c r="AJ21" s="200"/>
      <c r="AK21" s="200"/>
      <c r="AL21" s="200"/>
      <c r="AM21" s="200"/>
    </row>
    <row r="22" spans="1:39" ht="16.5" hidden="1" thickBot="1" x14ac:dyDescent="0.3">
      <c r="A22" s="142" t="s">
        <v>60</v>
      </c>
      <c r="B22" s="145" t="s">
        <v>238</v>
      </c>
      <c r="C22" s="281">
        <v>2830</v>
      </c>
      <c r="D22" s="273" t="s">
        <v>618</v>
      </c>
      <c r="E22" s="281">
        <v>0</v>
      </c>
      <c r="F22" s="187">
        <f t="shared" si="0"/>
        <v>0</v>
      </c>
      <c r="G22" s="187">
        <f t="shared" ref="G22:G47" si="4">E22-(F22+AL22+AM22)</f>
        <v>0</v>
      </c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</row>
    <row r="23" spans="1:39" ht="16.5" thickBot="1" x14ac:dyDescent="0.3">
      <c r="A23" s="142" t="s">
        <v>65</v>
      </c>
      <c r="B23" s="145" t="s">
        <v>243</v>
      </c>
      <c r="C23" s="281">
        <v>6064</v>
      </c>
      <c r="D23" s="136"/>
      <c r="E23" s="187">
        <f>C23</f>
        <v>6064</v>
      </c>
      <c r="F23" s="187">
        <f t="shared" si="0"/>
        <v>3411.8999999999996</v>
      </c>
      <c r="G23" s="187">
        <f t="shared" si="4"/>
        <v>2652.1000000000004</v>
      </c>
      <c r="H23" s="200"/>
      <c r="I23" s="200"/>
      <c r="J23" s="200"/>
      <c r="K23" s="200"/>
      <c r="L23" s="200"/>
      <c r="M23" s="200"/>
      <c r="N23" s="200"/>
      <c r="O23" s="224"/>
      <c r="P23" s="224"/>
      <c r="Q23" s="224"/>
      <c r="R23" s="224">
        <v>434.02</v>
      </c>
      <c r="S23" s="224"/>
      <c r="T23" s="224"/>
      <c r="U23" s="224"/>
      <c r="V23" s="224"/>
      <c r="W23" s="224"/>
      <c r="X23" s="224"/>
      <c r="Y23" s="224"/>
      <c r="Z23" s="200"/>
      <c r="AA23" s="200"/>
      <c r="AB23" s="224"/>
      <c r="AC23" s="224">
        <f>490+66.39</f>
        <v>556.39</v>
      </c>
      <c r="AD23" s="224">
        <v>1295.67</v>
      </c>
      <c r="AE23" s="224">
        <v>833.7</v>
      </c>
      <c r="AF23" s="200"/>
      <c r="AG23" s="224">
        <v>292.12</v>
      </c>
      <c r="AH23" s="224"/>
      <c r="AI23" s="200"/>
      <c r="AJ23" s="200"/>
      <c r="AK23" s="200"/>
      <c r="AL23" s="200"/>
      <c r="AM23" s="200"/>
    </row>
    <row r="24" spans="1:39" ht="16.5" thickBot="1" x14ac:dyDescent="0.3">
      <c r="A24" s="142" t="s">
        <v>72</v>
      </c>
      <c r="B24" s="145" t="s">
        <v>250</v>
      </c>
      <c r="C24" s="281">
        <v>20616</v>
      </c>
      <c r="D24" s="136"/>
      <c r="E24" s="187">
        <f t="shared" ref="E24:E26" si="5">C24</f>
        <v>20616</v>
      </c>
      <c r="F24" s="187">
        <f t="shared" si="0"/>
        <v>20615.22</v>
      </c>
      <c r="G24" s="187">
        <f t="shared" si="4"/>
        <v>0.77999999999883585</v>
      </c>
      <c r="H24" s="200"/>
      <c r="I24" s="200"/>
      <c r="J24" s="200"/>
      <c r="K24" s="200"/>
      <c r="L24" s="200"/>
      <c r="M24" s="200"/>
      <c r="N24" s="200"/>
      <c r="O24" s="224">
        <v>9495.42</v>
      </c>
      <c r="P24" s="224"/>
      <c r="Q24" s="224"/>
      <c r="R24" s="224">
        <v>2000</v>
      </c>
      <c r="S24" s="224"/>
      <c r="T24" s="224"/>
      <c r="U24" s="224">
        <v>9119.7999999999993</v>
      </c>
      <c r="V24" s="224"/>
      <c r="W24" s="224"/>
      <c r="X24" s="224"/>
      <c r="Y24" s="224"/>
      <c r="Z24" s="200"/>
      <c r="AA24" s="200"/>
      <c r="AB24" s="224"/>
      <c r="AC24" s="224"/>
      <c r="AD24" s="224"/>
      <c r="AE24" s="224"/>
      <c r="AF24" s="200"/>
      <c r="AG24" s="200"/>
      <c r="AH24" s="224"/>
      <c r="AI24" s="200"/>
      <c r="AJ24" s="200"/>
      <c r="AK24" s="200"/>
      <c r="AL24" s="200"/>
      <c r="AM24" s="200"/>
    </row>
    <row r="25" spans="1:39" s="133" customFormat="1" ht="16.5" thickBot="1" x14ac:dyDescent="0.3">
      <c r="A25" s="142" t="s">
        <v>73</v>
      </c>
      <c r="B25" s="145" t="s">
        <v>251</v>
      </c>
      <c r="C25" s="281">
        <v>4851</v>
      </c>
      <c r="D25" s="136"/>
      <c r="E25" s="187">
        <f t="shared" si="5"/>
        <v>4851</v>
      </c>
      <c r="F25" s="187">
        <f t="shared" si="0"/>
        <v>0</v>
      </c>
      <c r="G25" s="187">
        <f t="shared" si="4"/>
        <v>4851</v>
      </c>
      <c r="H25" s="200"/>
      <c r="I25" s="200"/>
      <c r="J25" s="200"/>
      <c r="K25" s="200"/>
      <c r="L25" s="200"/>
      <c r="M25" s="200"/>
      <c r="N25" s="200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00"/>
      <c r="AA25" s="200"/>
      <c r="AB25" s="224"/>
      <c r="AC25" s="224"/>
      <c r="AD25" s="224"/>
      <c r="AE25" s="224"/>
      <c r="AF25" s="200"/>
      <c r="AG25" s="200"/>
      <c r="AH25" s="224"/>
      <c r="AI25" s="200"/>
      <c r="AJ25" s="200"/>
      <c r="AK25" s="200"/>
      <c r="AL25" s="200"/>
      <c r="AM25" s="200"/>
    </row>
    <row r="26" spans="1:39" ht="16.5" thickBot="1" x14ac:dyDescent="0.3">
      <c r="A26" s="142" t="s">
        <v>83</v>
      </c>
      <c r="B26" s="145" t="s">
        <v>261</v>
      </c>
      <c r="C26" s="281">
        <v>13340</v>
      </c>
      <c r="D26" s="136"/>
      <c r="E26" s="187">
        <f t="shared" si="5"/>
        <v>13340</v>
      </c>
      <c r="F26" s="187">
        <f t="shared" si="0"/>
        <v>608.62</v>
      </c>
      <c r="G26" s="187">
        <f t="shared" si="4"/>
        <v>12731.38</v>
      </c>
      <c r="H26" s="200"/>
      <c r="I26" s="200"/>
      <c r="J26" s="200"/>
      <c r="K26" s="200"/>
      <c r="L26" s="200"/>
      <c r="M26" s="200"/>
      <c r="N26" s="200"/>
      <c r="O26" s="224"/>
      <c r="P26" s="224"/>
      <c r="Q26" s="224"/>
      <c r="R26" s="224"/>
      <c r="S26" s="224"/>
      <c r="T26" s="224">
        <v>608.62</v>
      </c>
      <c r="U26" s="224"/>
      <c r="V26" s="224"/>
      <c r="W26" s="224"/>
      <c r="X26" s="224"/>
      <c r="Y26" s="224"/>
      <c r="Z26" s="200"/>
      <c r="AA26" s="200"/>
      <c r="AB26" s="224"/>
      <c r="AC26" s="224"/>
      <c r="AD26" s="224"/>
      <c r="AE26" s="224"/>
      <c r="AF26" s="200"/>
      <c r="AG26" s="200"/>
      <c r="AH26" s="224"/>
      <c r="AI26" s="200"/>
      <c r="AJ26" s="200"/>
      <c r="AK26" s="200"/>
      <c r="AL26" s="200"/>
      <c r="AM26" s="200"/>
    </row>
    <row r="27" spans="1:39" ht="16.5" thickBot="1" x14ac:dyDescent="0.3">
      <c r="A27" s="142" t="s">
        <v>634</v>
      </c>
      <c r="B27" s="145" t="s">
        <v>268</v>
      </c>
      <c r="C27" s="281">
        <v>404</v>
      </c>
      <c r="D27" s="136" t="s">
        <v>370</v>
      </c>
      <c r="E27" s="281">
        <v>0</v>
      </c>
      <c r="F27" s="187">
        <f t="shared" si="0"/>
        <v>0</v>
      </c>
      <c r="G27" s="187">
        <f t="shared" si="4"/>
        <v>0</v>
      </c>
      <c r="H27" s="200"/>
      <c r="I27" s="200"/>
      <c r="J27" s="200"/>
      <c r="K27" s="200"/>
      <c r="L27" s="200"/>
      <c r="M27" s="200"/>
      <c r="N27" s="200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00"/>
      <c r="AA27" s="200"/>
      <c r="AB27" s="224"/>
      <c r="AC27" s="224"/>
      <c r="AD27" s="224"/>
      <c r="AE27" s="224"/>
      <c r="AF27" s="200"/>
      <c r="AG27" s="200"/>
      <c r="AH27" s="224"/>
      <c r="AI27" s="200"/>
      <c r="AJ27" s="200"/>
      <c r="AK27" s="200"/>
      <c r="AL27" s="200"/>
      <c r="AM27" s="200"/>
    </row>
    <row r="28" spans="1:39" s="133" customFormat="1" ht="16.5" thickBot="1" x14ac:dyDescent="0.3">
      <c r="A28" s="142" t="s">
        <v>95</v>
      </c>
      <c r="B28" s="145" t="s">
        <v>658</v>
      </c>
      <c r="C28" s="281">
        <v>32339</v>
      </c>
      <c r="D28" s="136"/>
      <c r="E28" s="187">
        <f>C28</f>
        <v>32339</v>
      </c>
      <c r="F28" s="187">
        <f t="shared" si="0"/>
        <v>11688.560000000001</v>
      </c>
      <c r="G28" s="187">
        <f t="shared" si="4"/>
        <v>20650.439999999999</v>
      </c>
      <c r="H28" s="200"/>
      <c r="I28" s="200"/>
      <c r="J28" s="200"/>
      <c r="K28" s="200"/>
      <c r="L28" s="200"/>
      <c r="M28" s="200"/>
      <c r="N28" s="200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00"/>
      <c r="AA28" s="200"/>
      <c r="AB28" s="224"/>
      <c r="AC28" s="224"/>
      <c r="AD28" s="224">
        <v>6336.84</v>
      </c>
      <c r="AE28" s="224">
        <v>5351.72</v>
      </c>
      <c r="AF28" s="200"/>
      <c r="AG28" s="200"/>
      <c r="AH28" s="224"/>
      <c r="AI28" s="200"/>
      <c r="AJ28" s="200"/>
      <c r="AK28" s="200"/>
      <c r="AL28" s="200"/>
      <c r="AM28" s="200"/>
    </row>
    <row r="29" spans="1:39" ht="16.5" thickBot="1" x14ac:dyDescent="0.3">
      <c r="A29" s="142" t="s">
        <v>96</v>
      </c>
      <c r="B29" s="145" t="s">
        <v>274</v>
      </c>
      <c r="C29" s="281">
        <v>404</v>
      </c>
      <c r="D29" s="136"/>
      <c r="E29" s="187">
        <f>C29</f>
        <v>404</v>
      </c>
      <c r="F29" s="187">
        <f t="shared" si="0"/>
        <v>0</v>
      </c>
      <c r="G29" s="187">
        <f t="shared" si="4"/>
        <v>404</v>
      </c>
      <c r="H29" s="200"/>
      <c r="I29" s="200"/>
      <c r="J29" s="200"/>
      <c r="K29" s="200"/>
      <c r="L29" s="200"/>
      <c r="M29" s="200"/>
      <c r="N29" s="200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00"/>
      <c r="AA29" s="200"/>
      <c r="AB29" s="224"/>
      <c r="AC29" s="224"/>
      <c r="AD29" s="224"/>
      <c r="AE29" s="224"/>
      <c r="AF29" s="200"/>
      <c r="AG29" s="200"/>
      <c r="AH29" s="224"/>
      <c r="AI29" s="200"/>
      <c r="AJ29" s="200"/>
      <c r="AK29" s="200"/>
      <c r="AL29" s="200"/>
      <c r="AM29" s="200"/>
    </row>
    <row r="30" spans="1:39" ht="16.5" thickBot="1" x14ac:dyDescent="0.3">
      <c r="A30" s="142" t="s">
        <v>97</v>
      </c>
      <c r="B30" s="145" t="s">
        <v>275</v>
      </c>
      <c r="C30" s="281">
        <v>1213</v>
      </c>
      <c r="D30" s="273"/>
      <c r="E30" s="187">
        <f>C30</f>
        <v>1213</v>
      </c>
      <c r="F30" s="187">
        <f t="shared" si="0"/>
        <v>0</v>
      </c>
      <c r="G30" s="187">
        <f t="shared" si="4"/>
        <v>1213</v>
      </c>
      <c r="H30" s="200"/>
      <c r="I30" s="200"/>
      <c r="J30" s="200"/>
      <c r="K30" s="200"/>
      <c r="L30" s="200"/>
      <c r="M30" s="200"/>
      <c r="N30" s="200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00"/>
      <c r="AA30" s="200"/>
      <c r="AB30" s="224"/>
      <c r="AC30" s="224"/>
      <c r="AD30" s="224"/>
      <c r="AE30" s="224"/>
      <c r="AF30" s="200"/>
      <c r="AG30" s="200"/>
      <c r="AH30" s="224"/>
      <c r="AI30" s="200"/>
      <c r="AJ30" s="200"/>
      <c r="AK30" s="200"/>
      <c r="AL30" s="200"/>
      <c r="AM30" s="200"/>
    </row>
    <row r="31" spans="1:39" s="133" customFormat="1" ht="16.5" hidden="1" thickBot="1" x14ac:dyDescent="0.3">
      <c r="A31" s="142" t="s">
        <v>98</v>
      </c>
      <c r="B31" s="145" t="s">
        <v>276</v>
      </c>
      <c r="C31" s="281">
        <v>404</v>
      </c>
      <c r="D31" s="273" t="s">
        <v>618</v>
      </c>
      <c r="E31" s="281">
        <v>0</v>
      </c>
      <c r="F31" s="187">
        <f t="shared" si="0"/>
        <v>0</v>
      </c>
      <c r="G31" s="187">
        <f t="shared" si="4"/>
        <v>0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</row>
    <row r="32" spans="1:39" ht="16.5" thickBot="1" x14ac:dyDescent="0.3">
      <c r="A32" s="142" t="s">
        <v>117</v>
      </c>
      <c r="B32" s="145" t="s">
        <v>635</v>
      </c>
      <c r="C32" s="281">
        <v>404</v>
      </c>
      <c r="D32" s="273"/>
      <c r="E32" s="187">
        <f>C32</f>
        <v>404</v>
      </c>
      <c r="F32" s="187">
        <f t="shared" si="0"/>
        <v>404</v>
      </c>
      <c r="G32" s="187">
        <f t="shared" si="4"/>
        <v>0</v>
      </c>
      <c r="H32" s="200"/>
      <c r="I32" s="200"/>
      <c r="J32" s="200"/>
      <c r="K32" s="200"/>
      <c r="L32" s="200"/>
      <c r="M32" s="200"/>
      <c r="N32" s="200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00"/>
      <c r="AA32" s="200"/>
      <c r="AB32" s="224"/>
      <c r="AC32" s="224"/>
      <c r="AD32" s="224">
        <v>404</v>
      </c>
      <c r="AE32" s="224"/>
      <c r="AF32" s="200"/>
      <c r="AG32" s="200"/>
      <c r="AH32" s="224"/>
      <c r="AI32" s="200"/>
      <c r="AJ32" s="200"/>
      <c r="AK32" s="200"/>
      <c r="AL32" s="200"/>
      <c r="AM32" s="200"/>
    </row>
    <row r="33" spans="1:39" s="133" customFormat="1" ht="16.5" hidden="1" thickBot="1" x14ac:dyDescent="0.3">
      <c r="A33" s="142" t="s">
        <v>118</v>
      </c>
      <c r="B33" s="145" t="s">
        <v>296</v>
      </c>
      <c r="C33" s="281">
        <v>404</v>
      </c>
      <c r="D33" s="273" t="s">
        <v>618</v>
      </c>
      <c r="E33" s="281">
        <v>0</v>
      </c>
      <c r="F33" s="187">
        <f t="shared" si="0"/>
        <v>0</v>
      </c>
      <c r="G33" s="187">
        <f t="shared" si="4"/>
        <v>0</v>
      </c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</row>
    <row r="34" spans="1:39" ht="16.5" hidden="1" thickBot="1" x14ac:dyDescent="0.3">
      <c r="A34" s="142" t="s">
        <v>119</v>
      </c>
      <c r="B34" s="145" t="s">
        <v>297</v>
      </c>
      <c r="C34" s="281">
        <v>12936</v>
      </c>
      <c r="D34" s="273" t="s">
        <v>618</v>
      </c>
      <c r="E34" s="187">
        <v>0</v>
      </c>
      <c r="F34" s="187">
        <f t="shared" si="0"/>
        <v>0</v>
      </c>
      <c r="G34" s="187">
        <f t="shared" si="4"/>
        <v>0</v>
      </c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</row>
    <row r="35" spans="1:39" s="133" customFormat="1" ht="16.5" thickBot="1" x14ac:dyDescent="0.3">
      <c r="A35" s="142" t="s">
        <v>131</v>
      </c>
      <c r="B35" s="145" t="s">
        <v>309</v>
      </c>
      <c r="C35" s="281">
        <v>1617</v>
      </c>
      <c r="D35" s="136"/>
      <c r="E35" s="187">
        <f t="shared" ref="E35:E41" si="6">C35</f>
        <v>1617</v>
      </c>
      <c r="F35" s="187">
        <f t="shared" si="0"/>
        <v>1617</v>
      </c>
      <c r="G35" s="187">
        <f t="shared" si="4"/>
        <v>0</v>
      </c>
      <c r="H35" s="200"/>
      <c r="I35" s="200"/>
      <c r="J35" s="200"/>
      <c r="K35" s="200"/>
      <c r="L35" s="200"/>
      <c r="M35" s="200"/>
      <c r="N35" s="200"/>
      <c r="O35" s="224"/>
      <c r="P35" s="224"/>
      <c r="Q35" s="224"/>
      <c r="R35" s="224"/>
      <c r="S35" s="224">
        <f>289.61+1087</f>
        <v>1376.6100000000001</v>
      </c>
      <c r="T35" s="224"/>
      <c r="U35" s="224"/>
      <c r="V35" s="224"/>
      <c r="W35" s="224"/>
      <c r="X35" s="224"/>
      <c r="Y35" s="224"/>
      <c r="Z35" s="200"/>
      <c r="AA35" s="200"/>
      <c r="AB35" s="224"/>
      <c r="AC35" s="224">
        <v>240.39</v>
      </c>
      <c r="AD35" s="224"/>
      <c r="AE35" s="224"/>
      <c r="AF35" s="200"/>
      <c r="AG35" s="200"/>
      <c r="AH35" s="224"/>
      <c r="AI35" s="200"/>
      <c r="AJ35" s="200"/>
      <c r="AK35" s="200"/>
      <c r="AL35" s="200"/>
      <c r="AM35" s="200"/>
    </row>
    <row r="36" spans="1:39" ht="16.5" thickBot="1" x14ac:dyDescent="0.3">
      <c r="A36" s="142" t="s">
        <v>137</v>
      </c>
      <c r="B36" s="145" t="s">
        <v>315</v>
      </c>
      <c r="C36" s="281">
        <v>404</v>
      </c>
      <c r="D36" s="136"/>
      <c r="E36" s="187">
        <f t="shared" si="6"/>
        <v>404</v>
      </c>
      <c r="F36" s="187">
        <f t="shared" si="0"/>
        <v>0</v>
      </c>
      <c r="G36" s="187">
        <f t="shared" si="4"/>
        <v>404</v>
      </c>
      <c r="H36" s="200"/>
      <c r="I36" s="200"/>
      <c r="J36" s="200"/>
      <c r="K36" s="200"/>
      <c r="L36" s="200"/>
      <c r="M36" s="200"/>
      <c r="N36" s="200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00"/>
      <c r="AA36" s="200"/>
      <c r="AB36" s="224"/>
      <c r="AC36" s="224"/>
      <c r="AD36" s="224"/>
      <c r="AE36" s="224"/>
      <c r="AF36" s="200"/>
      <c r="AG36" s="200"/>
      <c r="AH36" s="224"/>
      <c r="AI36" s="200"/>
      <c r="AJ36" s="200"/>
      <c r="AK36" s="200"/>
      <c r="AL36" s="200"/>
      <c r="AM36" s="200"/>
    </row>
    <row r="37" spans="1:39" s="133" customFormat="1" ht="16.5" thickBot="1" x14ac:dyDescent="0.3">
      <c r="A37" s="142" t="s">
        <v>150</v>
      </c>
      <c r="B37" s="145" t="s">
        <v>328</v>
      </c>
      <c r="C37" s="281">
        <v>8085</v>
      </c>
      <c r="D37" s="136"/>
      <c r="E37" s="187">
        <f t="shared" si="6"/>
        <v>8085</v>
      </c>
      <c r="F37" s="187">
        <f t="shared" si="0"/>
        <v>8085</v>
      </c>
      <c r="G37" s="187">
        <f t="shared" si="4"/>
        <v>0</v>
      </c>
      <c r="H37" s="200"/>
      <c r="I37" s="200"/>
      <c r="J37" s="200"/>
      <c r="K37" s="200"/>
      <c r="L37" s="200"/>
      <c r="M37" s="200"/>
      <c r="N37" s="200"/>
      <c r="O37" s="224"/>
      <c r="P37" s="224"/>
      <c r="Q37" s="224"/>
      <c r="R37" s="224"/>
      <c r="S37" s="224"/>
      <c r="T37" s="224">
        <v>8085</v>
      </c>
      <c r="U37" s="224"/>
      <c r="V37" s="224"/>
      <c r="W37" s="224"/>
      <c r="X37" s="224"/>
      <c r="Y37" s="224"/>
      <c r="Z37" s="200"/>
      <c r="AA37" s="200"/>
      <c r="AB37" s="224"/>
      <c r="AC37" s="224"/>
      <c r="AD37" s="224"/>
      <c r="AE37" s="224"/>
      <c r="AF37" s="200"/>
      <c r="AG37" s="200"/>
      <c r="AH37" s="224"/>
      <c r="AI37" s="200"/>
      <c r="AJ37" s="200"/>
      <c r="AK37" s="200"/>
      <c r="AL37" s="200"/>
      <c r="AM37" s="200"/>
    </row>
    <row r="38" spans="1:39" s="133" customFormat="1" ht="16.5" hidden="1" thickBot="1" x14ac:dyDescent="0.3">
      <c r="A38" s="142" t="s">
        <v>153</v>
      </c>
      <c r="B38" s="145" t="s">
        <v>331</v>
      </c>
      <c r="C38" s="281">
        <v>404</v>
      </c>
      <c r="D38" s="273" t="s">
        <v>618</v>
      </c>
      <c r="E38" s="281">
        <v>0</v>
      </c>
      <c r="F38" s="187">
        <v>0</v>
      </c>
      <c r="G38" s="187">
        <f t="shared" si="4"/>
        <v>0</v>
      </c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</row>
    <row r="39" spans="1:39" ht="16.5" thickBot="1" x14ac:dyDescent="0.3">
      <c r="A39" s="142" t="s">
        <v>155</v>
      </c>
      <c r="B39" s="145" t="s">
        <v>636</v>
      </c>
      <c r="C39" s="281">
        <v>1617</v>
      </c>
      <c r="D39" s="136"/>
      <c r="E39" s="187">
        <f t="shared" si="6"/>
        <v>1617</v>
      </c>
      <c r="F39" s="187">
        <f t="shared" si="0"/>
        <v>0</v>
      </c>
      <c r="G39" s="187">
        <f t="shared" si="4"/>
        <v>1617</v>
      </c>
      <c r="H39" s="200"/>
      <c r="I39" s="200"/>
      <c r="J39" s="200"/>
      <c r="K39" s="200"/>
      <c r="L39" s="200"/>
      <c r="M39" s="200"/>
      <c r="N39" s="200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00"/>
      <c r="AA39" s="200"/>
      <c r="AB39" s="224"/>
      <c r="AC39" s="224"/>
      <c r="AD39" s="224"/>
      <c r="AE39" s="224"/>
      <c r="AF39" s="200"/>
      <c r="AG39" s="200"/>
      <c r="AH39" s="224"/>
      <c r="AI39" s="200"/>
      <c r="AJ39" s="200"/>
      <c r="AK39" s="200"/>
      <c r="AL39" s="200"/>
      <c r="AM39" s="200"/>
    </row>
    <row r="40" spans="1:39" ht="16.5" thickBot="1" x14ac:dyDescent="0.3">
      <c r="A40" s="142" t="s">
        <v>160</v>
      </c>
      <c r="B40" s="145" t="s">
        <v>337</v>
      </c>
      <c r="C40" s="281">
        <v>5659</v>
      </c>
      <c r="D40" s="136"/>
      <c r="E40" s="187">
        <f t="shared" si="6"/>
        <v>5659</v>
      </c>
      <c r="F40" s="187">
        <f t="shared" si="0"/>
        <v>5659</v>
      </c>
      <c r="G40" s="187">
        <f t="shared" si="4"/>
        <v>0</v>
      </c>
      <c r="H40" s="200"/>
      <c r="I40" s="200"/>
      <c r="J40" s="200"/>
      <c r="K40" s="200"/>
      <c r="L40" s="200"/>
      <c r="M40" s="200"/>
      <c r="N40" s="200"/>
      <c r="O40" s="224"/>
      <c r="P40" s="224"/>
      <c r="Q40" s="224"/>
      <c r="R40" s="224">
        <v>61.18</v>
      </c>
      <c r="S40" s="224"/>
      <c r="T40" s="224">
        <v>338.1</v>
      </c>
      <c r="U40" s="224"/>
      <c r="V40" s="224"/>
      <c r="W40" s="224"/>
      <c r="X40" s="224">
        <v>5259.72</v>
      </c>
      <c r="Y40" s="224"/>
      <c r="Z40" s="200"/>
      <c r="AA40" s="200"/>
      <c r="AB40" s="224"/>
      <c r="AC40" s="224"/>
      <c r="AD40" s="224"/>
      <c r="AE40" s="224"/>
      <c r="AF40" s="200"/>
      <c r="AG40" s="200"/>
      <c r="AH40" s="224"/>
      <c r="AI40" s="200"/>
      <c r="AJ40" s="200"/>
      <c r="AK40" s="200"/>
      <c r="AL40" s="200"/>
      <c r="AM40" s="200"/>
    </row>
    <row r="41" spans="1:39" ht="16.5" thickBot="1" x14ac:dyDescent="0.3">
      <c r="A41" s="142" t="s">
        <v>170</v>
      </c>
      <c r="B41" s="145" t="s">
        <v>398</v>
      </c>
      <c r="C41" s="281">
        <v>1617</v>
      </c>
      <c r="D41" s="136"/>
      <c r="E41" s="187">
        <f t="shared" si="6"/>
        <v>1617</v>
      </c>
      <c r="F41" s="187">
        <f t="shared" si="0"/>
        <v>1617</v>
      </c>
      <c r="G41" s="187">
        <f t="shared" si="4"/>
        <v>0</v>
      </c>
      <c r="H41" s="200"/>
      <c r="I41" s="200"/>
      <c r="J41" s="200"/>
      <c r="K41" s="200"/>
      <c r="L41" s="200"/>
      <c r="M41" s="200"/>
      <c r="N41" s="200"/>
      <c r="O41" s="224"/>
      <c r="P41" s="224"/>
      <c r="Q41" s="224"/>
      <c r="R41" s="224"/>
      <c r="S41" s="224">
        <v>1617</v>
      </c>
      <c r="T41" s="224"/>
      <c r="U41" s="224"/>
      <c r="V41" s="224"/>
      <c r="W41" s="224"/>
      <c r="X41" s="224"/>
      <c r="Y41" s="224"/>
      <c r="Z41" s="200"/>
      <c r="AA41" s="200"/>
      <c r="AB41" s="224"/>
      <c r="AC41" s="224"/>
      <c r="AD41" s="224"/>
      <c r="AE41" s="224"/>
      <c r="AF41" s="200"/>
      <c r="AG41" s="200"/>
      <c r="AH41" s="224"/>
      <c r="AI41" s="200"/>
      <c r="AJ41" s="200"/>
      <c r="AK41" s="200"/>
      <c r="AL41" s="200"/>
      <c r="AM41" s="200"/>
    </row>
    <row r="42" spans="1:39" s="133" customFormat="1" ht="16.5" thickBot="1" x14ac:dyDescent="0.3">
      <c r="A42" s="142" t="s">
        <v>171</v>
      </c>
      <c r="B42" s="145" t="s">
        <v>347</v>
      </c>
      <c r="C42" s="281">
        <v>10106</v>
      </c>
      <c r="D42" s="136" t="s">
        <v>371</v>
      </c>
      <c r="E42" s="281">
        <v>0</v>
      </c>
      <c r="F42" s="187">
        <f t="shared" si="0"/>
        <v>0</v>
      </c>
      <c r="G42" s="187">
        <f t="shared" si="4"/>
        <v>0</v>
      </c>
      <c r="H42" s="200"/>
      <c r="I42" s="200"/>
      <c r="J42" s="200"/>
      <c r="K42" s="200"/>
      <c r="L42" s="200"/>
      <c r="M42" s="200"/>
      <c r="N42" s="200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00"/>
      <c r="AA42" s="200"/>
      <c r="AB42" s="224"/>
      <c r="AC42" s="224"/>
      <c r="AD42" s="224"/>
      <c r="AE42" s="224"/>
      <c r="AF42" s="200"/>
      <c r="AG42" s="200"/>
      <c r="AH42" s="224"/>
      <c r="AI42" s="200"/>
      <c r="AJ42" s="200"/>
      <c r="AK42" s="200"/>
      <c r="AL42" s="200"/>
      <c r="AM42" s="200"/>
    </row>
    <row r="43" spans="1:39" ht="16.5" thickBot="1" x14ac:dyDescent="0.3">
      <c r="A43" s="142" t="s">
        <v>175</v>
      </c>
      <c r="B43" s="145" t="s">
        <v>351</v>
      </c>
      <c r="C43" s="281">
        <v>404</v>
      </c>
      <c r="D43" s="136"/>
      <c r="E43" s="187">
        <f>C43</f>
        <v>404</v>
      </c>
      <c r="F43" s="187">
        <f t="shared" si="0"/>
        <v>174.4</v>
      </c>
      <c r="G43" s="187">
        <f t="shared" si="4"/>
        <v>229.6</v>
      </c>
      <c r="H43" s="200"/>
      <c r="I43" s="200"/>
      <c r="J43" s="200"/>
      <c r="K43" s="200"/>
      <c r="L43" s="200"/>
      <c r="M43" s="200"/>
      <c r="N43" s="200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00"/>
      <c r="AA43" s="200"/>
      <c r="AB43" s="224"/>
      <c r="AC43" s="224"/>
      <c r="AD43" s="224"/>
      <c r="AE43" s="224"/>
      <c r="AF43" s="200"/>
      <c r="AG43" s="200"/>
      <c r="AH43" s="224">
        <v>174.4</v>
      </c>
      <c r="AI43" s="200"/>
      <c r="AJ43" s="200"/>
      <c r="AK43" s="200"/>
      <c r="AL43" s="200"/>
      <c r="AM43" s="200"/>
    </row>
    <row r="44" spans="1:39" s="133" customFormat="1" ht="16.5" thickBot="1" x14ac:dyDescent="0.3">
      <c r="A44" s="142" t="s">
        <v>180</v>
      </c>
      <c r="B44" s="145" t="s">
        <v>356</v>
      </c>
      <c r="C44" s="281">
        <v>3638</v>
      </c>
      <c r="D44" s="136"/>
      <c r="E44" s="187">
        <f>C44</f>
        <v>3638</v>
      </c>
      <c r="F44" s="187">
        <f t="shared" si="0"/>
        <v>3638</v>
      </c>
      <c r="G44" s="187">
        <f t="shared" si="4"/>
        <v>0</v>
      </c>
      <c r="H44" s="200"/>
      <c r="I44" s="200"/>
      <c r="J44" s="200"/>
      <c r="K44" s="200"/>
      <c r="L44" s="200"/>
      <c r="M44" s="200"/>
      <c r="N44" s="200"/>
      <c r="O44" s="224"/>
      <c r="P44" s="224"/>
      <c r="Q44" s="224"/>
      <c r="R44" s="224"/>
      <c r="S44" s="224">
        <v>543.4</v>
      </c>
      <c r="T44" s="224"/>
      <c r="U44" s="224"/>
      <c r="V44" s="224"/>
      <c r="W44" s="224"/>
      <c r="X44" s="224"/>
      <c r="Y44" s="224"/>
      <c r="Z44" s="200"/>
      <c r="AA44" s="200"/>
      <c r="AB44" s="224">
        <v>3094.6</v>
      </c>
      <c r="AC44" s="224"/>
      <c r="AD44" s="224"/>
      <c r="AE44" s="224"/>
      <c r="AF44" s="200"/>
      <c r="AG44" s="200"/>
      <c r="AH44" s="224"/>
      <c r="AI44" s="200"/>
      <c r="AJ44" s="200"/>
      <c r="AK44" s="200"/>
      <c r="AL44" s="200"/>
      <c r="AM44" s="200"/>
    </row>
    <row r="45" spans="1:39" s="133" customFormat="1" ht="16.5" thickBot="1" x14ac:dyDescent="0.3">
      <c r="A45" s="142" t="s">
        <v>181</v>
      </c>
      <c r="B45" s="145" t="s">
        <v>357</v>
      </c>
      <c r="C45" s="281">
        <v>6064</v>
      </c>
      <c r="D45" s="136"/>
      <c r="E45" s="187">
        <f>C45</f>
        <v>6064</v>
      </c>
      <c r="F45" s="187">
        <f t="shared" si="0"/>
        <v>6064</v>
      </c>
      <c r="G45" s="187">
        <f t="shared" si="4"/>
        <v>0</v>
      </c>
      <c r="H45" s="200"/>
      <c r="I45" s="200"/>
      <c r="J45" s="200"/>
      <c r="K45" s="200"/>
      <c r="L45" s="200"/>
      <c r="M45" s="200"/>
      <c r="N45" s="200"/>
      <c r="O45" s="224"/>
      <c r="P45" s="224"/>
      <c r="Q45" s="224"/>
      <c r="R45" s="224">
        <v>6064</v>
      </c>
      <c r="S45" s="224"/>
      <c r="T45" s="224"/>
      <c r="U45" s="224"/>
      <c r="V45" s="224"/>
      <c r="W45" s="224"/>
      <c r="X45" s="224"/>
      <c r="Y45" s="224"/>
      <c r="Z45" s="200"/>
      <c r="AA45" s="200"/>
      <c r="AB45" s="224"/>
      <c r="AC45" s="224"/>
      <c r="AD45" s="224"/>
      <c r="AE45" s="224"/>
      <c r="AF45" s="200"/>
      <c r="AG45" s="200"/>
      <c r="AH45" s="224"/>
      <c r="AI45" s="200"/>
      <c r="AJ45" s="200"/>
      <c r="AK45" s="200"/>
      <c r="AL45" s="200"/>
      <c r="AM45" s="200"/>
    </row>
    <row r="46" spans="1:39" ht="16.5" thickBot="1" x14ac:dyDescent="0.3">
      <c r="A46" s="142" t="s">
        <v>370</v>
      </c>
      <c r="B46" s="145" t="s">
        <v>374</v>
      </c>
      <c r="C46" s="187">
        <v>0</v>
      </c>
      <c r="D46" s="136"/>
      <c r="E46" s="187">
        <f>C27</f>
        <v>404</v>
      </c>
      <c r="F46" s="187">
        <f t="shared" si="0"/>
        <v>404</v>
      </c>
      <c r="G46" s="187">
        <f t="shared" si="4"/>
        <v>0</v>
      </c>
      <c r="H46" s="288"/>
      <c r="I46" s="288"/>
      <c r="J46" s="288"/>
      <c r="K46" s="200"/>
      <c r="L46" s="200"/>
      <c r="M46" s="200"/>
      <c r="N46" s="200"/>
      <c r="O46" s="224"/>
      <c r="P46" s="224"/>
      <c r="Q46" s="224"/>
      <c r="R46" s="224"/>
      <c r="S46" s="224">
        <v>404</v>
      </c>
      <c r="T46" s="224"/>
      <c r="U46" s="224"/>
      <c r="V46" s="224"/>
      <c r="W46" s="224"/>
      <c r="X46" s="224"/>
      <c r="Y46" s="224"/>
      <c r="Z46" s="200"/>
      <c r="AA46" s="200"/>
      <c r="AB46" s="224"/>
      <c r="AC46" s="224"/>
      <c r="AD46" s="224"/>
      <c r="AE46" s="224"/>
      <c r="AF46" s="200"/>
      <c r="AG46" s="200"/>
      <c r="AH46" s="224"/>
      <c r="AI46" s="200"/>
      <c r="AJ46" s="200"/>
      <c r="AK46" s="200"/>
      <c r="AL46" s="200"/>
      <c r="AM46" s="200"/>
    </row>
    <row r="47" spans="1:39" ht="16.5" thickBot="1" x14ac:dyDescent="0.3">
      <c r="A47" s="142" t="s">
        <v>371</v>
      </c>
      <c r="B47" s="145" t="s">
        <v>595</v>
      </c>
      <c r="C47" s="187">
        <v>0</v>
      </c>
      <c r="D47" s="136"/>
      <c r="E47" s="187">
        <f>C42</f>
        <v>10106</v>
      </c>
      <c r="F47" s="187">
        <f t="shared" si="0"/>
        <v>10106</v>
      </c>
      <c r="G47" s="187">
        <f t="shared" si="4"/>
        <v>0</v>
      </c>
      <c r="H47" s="200"/>
      <c r="I47" s="200"/>
      <c r="J47" s="200"/>
      <c r="K47" s="200"/>
      <c r="L47" s="200"/>
      <c r="M47" s="200"/>
      <c r="N47" s="200"/>
      <c r="O47" s="224"/>
      <c r="P47" s="224"/>
      <c r="Q47" s="224"/>
      <c r="R47" s="224">
        <v>7134</v>
      </c>
      <c r="S47" s="224"/>
      <c r="T47" s="224"/>
      <c r="U47" s="224">
        <v>2454</v>
      </c>
      <c r="V47" s="224"/>
      <c r="W47" s="224"/>
      <c r="X47" s="224"/>
      <c r="Y47" s="224"/>
      <c r="Z47" s="224">
        <v>518</v>
      </c>
      <c r="AA47" s="200"/>
      <c r="AB47" s="224"/>
      <c r="AC47" s="224"/>
      <c r="AD47" s="224"/>
      <c r="AE47" s="224"/>
      <c r="AF47" s="200"/>
      <c r="AG47" s="200"/>
      <c r="AH47" s="224"/>
      <c r="AI47" s="200"/>
      <c r="AJ47" s="200"/>
      <c r="AK47" s="200"/>
      <c r="AL47" s="200"/>
      <c r="AM47" s="200"/>
    </row>
    <row r="48" spans="1:39" s="7" customFormat="1" ht="16.5" thickBot="1" x14ac:dyDescent="0.3">
      <c r="A48" s="286"/>
      <c r="B48" s="287"/>
      <c r="C48" s="288"/>
      <c r="D48" s="289"/>
      <c r="E48" s="288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69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</row>
    <row r="49" spans="1:38" ht="16.5" thickBot="1" x14ac:dyDescent="0.3">
      <c r="A49" s="145" t="s">
        <v>575</v>
      </c>
      <c r="B49" s="145"/>
      <c r="C49" s="187">
        <f>SUM(C12:C47)</f>
        <v>516210</v>
      </c>
      <c r="D49" s="144"/>
      <c r="E49" s="187">
        <f t="shared" ref="E49:AL49" si="7">SUM(E12:E47)</f>
        <v>498828</v>
      </c>
      <c r="F49" s="187">
        <f t="shared" si="7"/>
        <v>359040.94</v>
      </c>
      <c r="G49" s="187">
        <f t="shared" si="7"/>
        <v>139787.06000000003</v>
      </c>
      <c r="H49" s="187">
        <f t="shared" si="7"/>
        <v>0</v>
      </c>
      <c r="I49" s="187">
        <f t="shared" si="7"/>
        <v>0</v>
      </c>
      <c r="J49" s="187">
        <f t="shared" si="7"/>
        <v>0</v>
      </c>
      <c r="K49" s="187">
        <f t="shared" si="7"/>
        <v>0</v>
      </c>
      <c r="L49" s="187">
        <f t="shared" si="7"/>
        <v>0</v>
      </c>
      <c r="M49" s="187">
        <f t="shared" si="7"/>
        <v>0</v>
      </c>
      <c r="N49" s="187">
        <f t="shared" si="7"/>
        <v>22773.45</v>
      </c>
      <c r="O49" s="187">
        <f t="shared" si="7"/>
        <v>9495.42</v>
      </c>
      <c r="P49" s="187">
        <f t="shared" si="7"/>
        <v>1269.0899999999999</v>
      </c>
      <c r="Q49" s="187">
        <f t="shared" si="7"/>
        <v>19808</v>
      </c>
      <c r="R49" s="187">
        <f t="shared" si="7"/>
        <v>15693.2</v>
      </c>
      <c r="S49" s="187">
        <f t="shared" si="7"/>
        <v>3941.01</v>
      </c>
      <c r="T49" s="187">
        <f t="shared" si="7"/>
        <v>9031.7200000000012</v>
      </c>
      <c r="U49" s="187">
        <f t="shared" si="7"/>
        <v>11573.8</v>
      </c>
      <c r="V49" s="187">
        <f t="shared" si="7"/>
        <v>267.55</v>
      </c>
      <c r="W49" s="187">
        <f t="shared" si="7"/>
        <v>25352.73</v>
      </c>
      <c r="X49" s="187">
        <f t="shared" si="7"/>
        <v>9929.64</v>
      </c>
      <c r="Y49" s="187">
        <f t="shared" si="7"/>
        <v>22493.17</v>
      </c>
      <c r="Z49" s="187">
        <f t="shared" si="7"/>
        <v>7320.82</v>
      </c>
      <c r="AA49" s="187">
        <f t="shared" si="7"/>
        <v>9097.65</v>
      </c>
      <c r="AB49" s="187">
        <f t="shared" si="7"/>
        <v>15134.94</v>
      </c>
      <c r="AC49" s="187">
        <f t="shared" si="7"/>
        <v>86254.39</v>
      </c>
      <c r="AD49" s="187">
        <f t="shared" si="7"/>
        <v>18810.900000000001</v>
      </c>
      <c r="AE49" s="187">
        <f t="shared" si="7"/>
        <v>37763.619999999995</v>
      </c>
      <c r="AF49" s="187">
        <f t="shared" si="7"/>
        <v>0</v>
      </c>
      <c r="AG49" s="187">
        <f t="shared" si="7"/>
        <v>29029.48</v>
      </c>
      <c r="AH49" s="187">
        <f t="shared" si="7"/>
        <v>4000.36</v>
      </c>
      <c r="AI49" s="187">
        <f t="shared" si="7"/>
        <v>0</v>
      </c>
      <c r="AJ49" s="187">
        <f t="shared" si="7"/>
        <v>0</v>
      </c>
      <c r="AK49" s="187">
        <f t="shared" si="7"/>
        <v>0</v>
      </c>
      <c r="AL49" s="187">
        <f t="shared" si="7"/>
        <v>0</v>
      </c>
    </row>
    <row r="50" spans="1:38" x14ac:dyDescent="0.25">
      <c r="E50" s="163"/>
    </row>
  </sheetData>
  <sheetProtection algorithmName="SHA-512" hashValue="cae+zs5KJUz8zUUY81+V/hoJ9433fXRmXresjciwvjM2maSjKK7qKN5suivMiAObvHsFBcDjy7UqqQ6LvQTAsA==" saltValue="HnV5AyFdrFraiAIyuC+RIw==" spinCount="100000" sheet="1" objects="1" scenarios="1"/>
  <autoFilter ref="A11:AM47" xr:uid="{00000000-0009-0000-0000-000006000000}">
    <filterColumn colId="3">
      <filters blank="1">
        <filter val="9025"/>
        <filter val="9035"/>
      </filters>
    </filterColumn>
  </autoFilter>
  <sortState xmlns:xlrd2="http://schemas.microsoft.com/office/spreadsheetml/2017/richdata2" ref="A169:AH202">
    <sortCondition ref="A12"/>
  </sortState>
  <pageMargins left="0.7" right="0.7" top="0.75" bottom="0.75" header="0.3" footer="0.3"/>
  <pageSetup scale="1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66CCFF"/>
  </sheetPr>
  <dimension ref="A1:AM233"/>
  <sheetViews>
    <sheetView zoomScaleNormal="100"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I14" sqref="AI14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6.7109375" style="7" customWidth="1"/>
    <col min="4" max="4" width="16.7109375" style="110" customWidth="1"/>
    <col min="5" max="5" width="19.5703125" style="7" customWidth="1"/>
    <col min="6" max="7" width="16.7109375" style="7" customWidth="1"/>
    <col min="8" max="15" width="15.7109375" style="7" customWidth="1"/>
    <col min="16" max="16" width="15.7109375" style="244" customWidth="1"/>
    <col min="17" max="17" width="15.7109375" style="94" customWidth="1"/>
    <col min="18" max="18" width="15.7109375" style="7" customWidth="1"/>
    <col min="19" max="19" width="15.7109375" style="258" customWidth="1"/>
    <col min="20" max="34" width="15.7109375" style="7" customWidth="1"/>
    <col min="35" max="39" width="16.28515625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668</v>
      </c>
      <c r="D1" s="103"/>
      <c r="E1" s="122"/>
      <c r="F1" s="63"/>
      <c r="G1" s="63"/>
      <c r="H1" s="66"/>
      <c r="I1" s="66"/>
      <c r="J1" s="122" t="str">
        <f>C1</f>
        <v>Title IV Formula (Revised Final)</v>
      </c>
      <c r="K1" s="122"/>
      <c r="L1" s="63"/>
      <c r="M1" s="63"/>
      <c r="N1" s="63"/>
      <c r="O1" s="63"/>
      <c r="P1" s="240" t="str">
        <f>C1</f>
        <v>Title IV Formula (Revised Final)</v>
      </c>
      <c r="Q1" s="97"/>
      <c r="R1" s="122"/>
      <c r="S1" s="255"/>
      <c r="T1" s="63"/>
      <c r="U1" s="63"/>
      <c r="V1" s="122" t="str">
        <f>C1</f>
        <v>Title IV Formula (Revised Final)</v>
      </c>
      <c r="W1" s="63"/>
      <c r="X1" s="66"/>
      <c r="Y1" s="66"/>
      <c r="Z1" s="122"/>
      <c r="AA1" s="122"/>
      <c r="AB1" s="122" t="str">
        <f>C1</f>
        <v>Title IV Formula (Revised Final)</v>
      </c>
      <c r="AC1" s="63"/>
      <c r="AD1" s="63"/>
      <c r="AE1" s="63"/>
      <c r="AF1" s="122" t="str">
        <f>C1</f>
        <v>Title IV Formula (Revised Final)</v>
      </c>
      <c r="AG1" s="66"/>
      <c r="AH1" s="122"/>
      <c r="AI1" s="120"/>
      <c r="AJ1" s="120"/>
      <c r="AK1" s="120"/>
      <c r="AL1" s="120"/>
      <c r="AM1" s="120"/>
    </row>
    <row r="2" spans="1:39" s="62" customFormat="1" ht="15.75" x14ac:dyDescent="0.25">
      <c r="A2" s="123" t="s">
        <v>1</v>
      </c>
      <c r="B2" s="64"/>
      <c r="C2" s="68" t="s">
        <v>611</v>
      </c>
      <c r="D2" s="104"/>
      <c r="E2" s="68"/>
      <c r="F2" s="67"/>
      <c r="G2" s="67"/>
      <c r="H2" s="66"/>
      <c r="I2" s="66"/>
      <c r="J2" s="67" t="str">
        <f>"FY"&amp;C4</f>
        <v>FY2020-2021</v>
      </c>
      <c r="K2" s="67"/>
      <c r="L2" s="123"/>
      <c r="M2" s="123"/>
      <c r="N2" s="67"/>
      <c r="O2" s="67"/>
      <c r="P2" s="241" t="str">
        <f>"FY"&amp;C4</f>
        <v>FY2020-2021</v>
      </c>
      <c r="Q2" s="98"/>
      <c r="R2" s="67"/>
      <c r="S2" s="256"/>
      <c r="T2" s="123"/>
      <c r="U2" s="123"/>
      <c r="V2" s="67" t="str">
        <f>"FY"&amp;C4</f>
        <v>FY2020-2021</v>
      </c>
      <c r="W2" s="67"/>
      <c r="X2" s="67"/>
      <c r="Y2" s="67"/>
      <c r="Z2" s="67"/>
      <c r="AA2" s="67"/>
      <c r="AB2" s="67" t="str">
        <f>"FY"&amp;C4</f>
        <v>FY2020-2021</v>
      </c>
      <c r="AC2" s="123"/>
      <c r="AD2" s="67"/>
      <c r="AE2" s="67"/>
      <c r="AF2" s="67" t="str">
        <f>"FY"&amp;C4</f>
        <v>FY2020-2021</v>
      </c>
      <c r="AG2" s="67"/>
      <c r="AH2" s="67"/>
      <c r="AI2" s="81"/>
      <c r="AJ2" s="81"/>
      <c r="AK2" s="81"/>
      <c r="AL2" s="81"/>
      <c r="AM2" s="81"/>
    </row>
    <row r="3" spans="1:39" s="62" customFormat="1" ht="15.75" x14ac:dyDescent="0.25">
      <c r="A3" s="123" t="s">
        <v>3</v>
      </c>
      <c r="B3" s="64"/>
      <c r="C3" s="123">
        <v>4424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242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</row>
    <row r="4" spans="1:39" s="62" customFormat="1" ht="21" x14ac:dyDescent="0.35">
      <c r="A4" s="123" t="s">
        <v>2</v>
      </c>
      <c r="B4" s="64"/>
      <c r="C4" s="122" t="s">
        <v>641</v>
      </c>
      <c r="D4" s="105"/>
      <c r="E4" s="122"/>
      <c r="F4" s="67"/>
      <c r="G4" s="67"/>
      <c r="H4" s="66"/>
      <c r="I4" s="66"/>
      <c r="J4" s="66"/>
      <c r="K4" s="66"/>
      <c r="L4" s="66"/>
      <c r="M4" s="66"/>
      <c r="N4" s="66"/>
      <c r="O4" s="66"/>
      <c r="P4" s="242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</row>
    <row r="5" spans="1:39" s="62" customFormat="1" ht="15.75" x14ac:dyDescent="0.25">
      <c r="A5" s="123" t="s">
        <v>392</v>
      </c>
      <c r="B5" s="64"/>
      <c r="C5" s="67" t="s">
        <v>619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242"/>
      <c r="Q5" s="99"/>
      <c r="R5" s="70"/>
      <c r="S5" s="66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</row>
    <row r="6" spans="1:39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242"/>
      <c r="Q6" s="99"/>
      <c r="R6" s="70"/>
      <c r="S6" s="66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</row>
    <row r="7" spans="1:39" s="62" customFormat="1" ht="15.75" x14ac:dyDescent="0.25">
      <c r="A7" s="123"/>
      <c r="B7" s="64"/>
      <c r="C7" s="67" t="s">
        <v>630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242"/>
      <c r="Q7" s="99"/>
      <c r="R7" s="70"/>
      <c r="S7" s="66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</row>
    <row r="8" spans="1:39" s="62" customFormat="1" ht="15.75" x14ac:dyDescent="0.25">
      <c r="A8" s="123" t="s">
        <v>378</v>
      </c>
      <c r="B8" s="64"/>
      <c r="C8" s="67" t="s">
        <v>585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242"/>
      <c r="Q8" s="99"/>
      <c r="R8" s="70"/>
      <c r="S8" s="66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</row>
    <row r="9" spans="1:39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242"/>
      <c r="Q9" s="99"/>
      <c r="R9" s="70"/>
      <c r="S9" s="66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</row>
    <row r="10" spans="1:39" s="62" customFormat="1" ht="16.5" thickBot="1" x14ac:dyDescent="0.3">
      <c r="A10" s="123" t="s">
        <v>393</v>
      </c>
      <c r="B10" s="64"/>
      <c r="C10" s="67" t="s">
        <v>656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242"/>
      <c r="Q10" s="99"/>
      <c r="R10" s="70"/>
      <c r="S10" s="66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s="3" customFormat="1" ht="19.5" thickBot="1" x14ac:dyDescent="0.35">
      <c r="A12" s="142" t="s">
        <v>6</v>
      </c>
      <c r="B12" s="145" t="s">
        <v>184</v>
      </c>
      <c r="C12" s="284">
        <v>81072</v>
      </c>
      <c r="D12" s="136"/>
      <c r="E12" s="221">
        <f>C12</f>
        <v>81072</v>
      </c>
      <c r="F12" s="187">
        <f>SUM(H12:AK12)</f>
        <v>81072</v>
      </c>
      <c r="G12" s="246">
        <f>E12-(F12+AL12+AM12)</f>
        <v>0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>
        <f>9307.42+5839.73</f>
        <v>15147.15</v>
      </c>
      <c r="T12" s="243">
        <v>9210.35</v>
      </c>
      <c r="U12" s="243"/>
      <c r="V12" s="239"/>
      <c r="W12" s="239">
        <v>15320.54</v>
      </c>
      <c r="X12" s="239">
        <v>1782.17</v>
      </c>
      <c r="Y12" s="239">
        <v>6841.08</v>
      </c>
      <c r="Z12" s="239"/>
      <c r="AA12" s="239">
        <f>6933.91+7109.88</f>
        <v>14043.79</v>
      </c>
      <c r="AB12" s="239">
        <v>6847.44</v>
      </c>
      <c r="AC12" s="239">
        <v>6847.98</v>
      </c>
      <c r="AD12" s="239">
        <v>5031.5</v>
      </c>
      <c r="AE12" s="239"/>
      <c r="AF12" s="239"/>
      <c r="AG12" s="239"/>
      <c r="AH12" s="239"/>
      <c r="AI12" s="239"/>
      <c r="AJ12" s="239"/>
      <c r="AK12" s="239"/>
      <c r="AL12" s="239"/>
      <c r="AM12" s="239"/>
    </row>
    <row r="13" spans="1:39" s="3" customFormat="1" ht="19.5" thickBot="1" x14ac:dyDescent="0.35">
      <c r="A13" s="142" t="s">
        <v>7</v>
      </c>
      <c r="B13" s="145" t="s">
        <v>413</v>
      </c>
      <c r="C13" s="284">
        <v>310869</v>
      </c>
      <c r="D13" s="136"/>
      <c r="E13" s="221">
        <f t="shared" ref="E13:E76" si="0">C13</f>
        <v>310869</v>
      </c>
      <c r="F13" s="187">
        <f t="shared" ref="F13:F76" si="1">SUM(H13:AK13)</f>
        <v>310869</v>
      </c>
      <c r="G13" s="246">
        <f t="shared" ref="G13:G76" si="2">E13-(F13+AL13+AM13)</f>
        <v>0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>
        <v>8553.36</v>
      </c>
      <c r="T13" s="239">
        <v>12933.42</v>
      </c>
      <c r="U13" s="239">
        <v>14493.18</v>
      </c>
      <c r="V13" s="239">
        <v>2391.38</v>
      </c>
      <c r="W13" s="239"/>
      <c r="X13" s="239">
        <f>915.52+38259.67</f>
        <v>39175.189999999995</v>
      </c>
      <c r="Y13" s="239">
        <v>13330.33</v>
      </c>
      <c r="Z13" s="239">
        <v>28066.01</v>
      </c>
      <c r="AA13" s="239">
        <v>145886.9</v>
      </c>
      <c r="AB13" s="239">
        <v>42265.440000000002</v>
      </c>
      <c r="AC13" s="239">
        <v>3773.79</v>
      </c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</row>
    <row r="14" spans="1:39" s="3" customFormat="1" ht="19.5" thickBot="1" x14ac:dyDescent="0.35">
      <c r="A14" s="142" t="s">
        <v>8</v>
      </c>
      <c r="B14" s="145" t="s">
        <v>186</v>
      </c>
      <c r="C14" s="284">
        <v>144379</v>
      </c>
      <c r="D14" s="136"/>
      <c r="E14" s="221">
        <f t="shared" si="0"/>
        <v>144379</v>
      </c>
      <c r="F14" s="187">
        <f t="shared" si="1"/>
        <v>144379</v>
      </c>
      <c r="G14" s="246">
        <f t="shared" si="2"/>
        <v>0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>
        <v>7805.47</v>
      </c>
      <c r="S14" s="239">
        <v>22407.41</v>
      </c>
      <c r="T14" s="239"/>
      <c r="U14" s="239">
        <v>29871.71</v>
      </c>
      <c r="V14" s="239">
        <v>11991.74</v>
      </c>
      <c r="W14" s="239"/>
      <c r="X14" s="239"/>
      <c r="Y14" s="239">
        <v>48667.44</v>
      </c>
      <c r="Z14" s="239"/>
      <c r="AA14" s="239">
        <v>19913.62</v>
      </c>
      <c r="AB14" s="239">
        <v>3721.61</v>
      </c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</row>
    <row r="15" spans="1:39" s="3" customFormat="1" ht="19.5" thickBot="1" x14ac:dyDescent="0.35">
      <c r="A15" s="142" t="s">
        <v>9</v>
      </c>
      <c r="B15" s="145" t="s">
        <v>396</v>
      </c>
      <c r="C15" s="284">
        <v>89591</v>
      </c>
      <c r="D15" s="136"/>
      <c r="E15" s="221">
        <f t="shared" si="0"/>
        <v>89591</v>
      </c>
      <c r="F15" s="187">
        <f t="shared" si="1"/>
        <v>87733.9</v>
      </c>
      <c r="G15" s="246">
        <f t="shared" si="2"/>
        <v>1857.1000000000058</v>
      </c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>
        <v>13250.86</v>
      </c>
      <c r="Z15" s="239"/>
      <c r="AA15" s="239"/>
      <c r="AB15" s="239">
        <v>19228</v>
      </c>
      <c r="AC15" s="239"/>
      <c r="AD15" s="239">
        <v>17563.22</v>
      </c>
      <c r="AE15" s="239"/>
      <c r="AF15" s="239">
        <v>25080.26</v>
      </c>
      <c r="AG15" s="239"/>
      <c r="AH15" s="239">
        <v>12611.56</v>
      </c>
      <c r="AI15" s="239"/>
      <c r="AJ15" s="239"/>
      <c r="AK15" s="239"/>
      <c r="AL15" s="239"/>
      <c r="AM15" s="239"/>
    </row>
    <row r="16" spans="1:39" s="3" customFormat="1" ht="19.5" thickBot="1" x14ac:dyDescent="0.35">
      <c r="A16" s="142" t="s">
        <v>10</v>
      </c>
      <c r="B16" s="145" t="s">
        <v>188</v>
      </c>
      <c r="C16" s="284">
        <v>10000</v>
      </c>
      <c r="D16" s="136">
        <v>9025</v>
      </c>
      <c r="E16" s="272">
        <v>0</v>
      </c>
      <c r="F16" s="187">
        <f t="shared" si="1"/>
        <v>0</v>
      </c>
      <c r="G16" s="246">
        <f t="shared" si="2"/>
        <v>0</v>
      </c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</row>
    <row r="17" spans="1:39" s="3" customFormat="1" ht="19.5" thickBot="1" x14ac:dyDescent="0.35">
      <c r="A17" s="142" t="s">
        <v>11</v>
      </c>
      <c r="B17" s="145" t="s">
        <v>189</v>
      </c>
      <c r="C17" s="284">
        <v>10000</v>
      </c>
      <c r="D17" s="136">
        <v>9025</v>
      </c>
      <c r="E17" s="272">
        <v>0</v>
      </c>
      <c r="F17" s="187">
        <f t="shared" si="1"/>
        <v>0</v>
      </c>
      <c r="G17" s="246">
        <f t="shared" si="2"/>
        <v>0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</row>
    <row r="18" spans="1:39" s="3" customFormat="1" ht="19.5" thickBot="1" x14ac:dyDescent="0.35">
      <c r="A18" s="142" t="s">
        <v>12</v>
      </c>
      <c r="B18" s="145" t="s">
        <v>589</v>
      </c>
      <c r="C18" s="284">
        <v>179844</v>
      </c>
      <c r="D18" s="136"/>
      <c r="E18" s="221">
        <f t="shared" si="0"/>
        <v>179844</v>
      </c>
      <c r="F18" s="187">
        <f t="shared" si="1"/>
        <v>179844</v>
      </c>
      <c r="G18" s="246">
        <f t="shared" si="2"/>
        <v>0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>
        <v>43061.14</v>
      </c>
      <c r="T18" s="239"/>
      <c r="U18" s="239"/>
      <c r="V18" s="239">
        <v>2024.11</v>
      </c>
      <c r="W18" s="239"/>
      <c r="X18" s="239"/>
      <c r="Y18" s="239">
        <v>17669.32</v>
      </c>
      <c r="Z18" s="239">
        <v>24726</v>
      </c>
      <c r="AA18" s="239">
        <v>847.91</v>
      </c>
      <c r="AB18" s="239">
        <v>3585.9</v>
      </c>
      <c r="AC18" s="239">
        <v>57649.94</v>
      </c>
      <c r="AD18" s="239">
        <v>4883.28</v>
      </c>
      <c r="AE18" s="239"/>
      <c r="AF18" s="239">
        <v>25396.400000000001</v>
      </c>
      <c r="AG18" s="239"/>
      <c r="AH18" s="239"/>
      <c r="AI18" s="239"/>
      <c r="AJ18" s="239"/>
      <c r="AK18" s="239"/>
      <c r="AL18" s="239"/>
      <c r="AM18" s="239"/>
    </row>
    <row r="19" spans="1:39" s="3" customFormat="1" ht="19.5" thickBot="1" x14ac:dyDescent="0.35">
      <c r="A19" s="142" t="s">
        <v>13</v>
      </c>
      <c r="B19" s="145" t="s">
        <v>414</v>
      </c>
      <c r="C19" s="284">
        <v>58779</v>
      </c>
      <c r="D19" s="136"/>
      <c r="E19" s="221">
        <f t="shared" si="0"/>
        <v>58779</v>
      </c>
      <c r="F19" s="187">
        <f t="shared" si="1"/>
        <v>58779</v>
      </c>
      <c r="G19" s="246">
        <f t="shared" si="2"/>
        <v>0</v>
      </c>
      <c r="H19" s="239"/>
      <c r="I19" s="239"/>
      <c r="J19" s="239"/>
      <c r="K19" s="239"/>
      <c r="L19" s="239"/>
      <c r="M19" s="239"/>
      <c r="N19" s="239">
        <v>8450.17</v>
      </c>
      <c r="O19" s="239">
        <v>3095.09</v>
      </c>
      <c r="P19" s="239">
        <v>3088.94</v>
      </c>
      <c r="Q19" s="239">
        <v>3073.19</v>
      </c>
      <c r="R19" s="239">
        <v>3073.16</v>
      </c>
      <c r="S19" s="239">
        <v>3473.32</v>
      </c>
      <c r="T19" s="239">
        <v>11609.16</v>
      </c>
      <c r="U19" s="239">
        <v>3113.19</v>
      </c>
      <c r="V19" s="239">
        <v>3113.15</v>
      </c>
      <c r="W19" s="239">
        <v>6854.07</v>
      </c>
      <c r="X19" s="239">
        <v>4539.53</v>
      </c>
      <c r="Y19" s="239">
        <v>4539.53</v>
      </c>
      <c r="Z19" s="239">
        <v>756.5</v>
      </c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</row>
    <row r="20" spans="1:39" s="3" customFormat="1" ht="19.5" thickBot="1" x14ac:dyDescent="0.35">
      <c r="A20" s="142" t="s">
        <v>14</v>
      </c>
      <c r="B20" s="145" t="s">
        <v>416</v>
      </c>
      <c r="C20" s="284">
        <v>10000</v>
      </c>
      <c r="D20" s="136"/>
      <c r="E20" s="221">
        <f t="shared" si="0"/>
        <v>10000</v>
      </c>
      <c r="F20" s="187">
        <f t="shared" si="1"/>
        <v>10000</v>
      </c>
      <c r="G20" s="246">
        <f t="shared" si="2"/>
        <v>0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>
        <v>5361</v>
      </c>
      <c r="T20" s="239"/>
      <c r="U20" s="239"/>
      <c r="V20" s="239"/>
      <c r="W20" s="239"/>
      <c r="X20" s="239"/>
      <c r="Y20" s="239">
        <v>4639</v>
      </c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</row>
    <row r="21" spans="1:39" s="3" customFormat="1" ht="19.5" thickBot="1" x14ac:dyDescent="0.35">
      <c r="A21" s="142" t="s">
        <v>15</v>
      </c>
      <c r="B21" s="145" t="s">
        <v>193</v>
      </c>
      <c r="C21" s="284">
        <v>42868</v>
      </c>
      <c r="D21" s="136"/>
      <c r="E21" s="221">
        <f t="shared" si="0"/>
        <v>42868</v>
      </c>
      <c r="F21" s="187">
        <f t="shared" si="1"/>
        <v>42868.000000000007</v>
      </c>
      <c r="G21" s="246">
        <f t="shared" si="2"/>
        <v>0</v>
      </c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>
        <v>9402</v>
      </c>
      <c r="Z21" s="239">
        <v>13125.76</v>
      </c>
      <c r="AA21" s="239"/>
      <c r="AB21" s="239">
        <v>1136.47</v>
      </c>
      <c r="AC21" s="239">
        <v>1384.4</v>
      </c>
      <c r="AD21" s="239">
        <v>4577.8100000000004</v>
      </c>
      <c r="AE21" s="239">
        <v>7817.32</v>
      </c>
      <c r="AF21" s="239">
        <v>5424.24</v>
      </c>
      <c r="AG21" s="239"/>
      <c r="AH21" s="239"/>
      <c r="AI21" s="239"/>
      <c r="AJ21" s="239"/>
      <c r="AK21" s="239"/>
      <c r="AL21" s="239"/>
      <c r="AM21" s="239"/>
    </row>
    <row r="22" spans="1:39" s="3" customFormat="1" ht="19.5" thickBot="1" x14ac:dyDescent="0.35">
      <c r="A22" s="142" t="s">
        <v>16</v>
      </c>
      <c r="B22" s="145" t="s">
        <v>194</v>
      </c>
      <c r="C22" s="284">
        <v>58435</v>
      </c>
      <c r="D22" s="136"/>
      <c r="E22" s="221">
        <f t="shared" si="0"/>
        <v>58435</v>
      </c>
      <c r="F22" s="187">
        <f t="shared" si="1"/>
        <v>58435</v>
      </c>
      <c r="G22" s="246">
        <f t="shared" si="2"/>
        <v>0</v>
      </c>
      <c r="H22" s="239"/>
      <c r="I22" s="239"/>
      <c r="J22" s="239"/>
      <c r="K22" s="239"/>
      <c r="L22" s="239"/>
      <c r="M22" s="239"/>
      <c r="N22" s="239"/>
      <c r="O22" s="239"/>
      <c r="P22" s="239"/>
      <c r="Q22" s="239">
        <v>20040.490000000002</v>
      </c>
      <c r="R22" s="239"/>
      <c r="S22" s="239">
        <v>15668.46</v>
      </c>
      <c r="T22" s="239"/>
      <c r="U22" s="239">
        <v>15462.94</v>
      </c>
      <c r="V22" s="239"/>
      <c r="W22" s="239">
        <v>7263.11</v>
      </c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</row>
    <row r="23" spans="1:39" s="3" customFormat="1" ht="19.5" thickBot="1" x14ac:dyDescent="0.35">
      <c r="A23" s="142" t="s">
        <v>17</v>
      </c>
      <c r="B23" s="145" t="s">
        <v>195</v>
      </c>
      <c r="C23" s="284">
        <v>300169</v>
      </c>
      <c r="D23" s="136"/>
      <c r="E23" s="221">
        <f t="shared" si="0"/>
        <v>300169</v>
      </c>
      <c r="F23" s="187">
        <f t="shared" si="1"/>
        <v>261184.59</v>
      </c>
      <c r="G23" s="246">
        <f t="shared" si="2"/>
        <v>38984.410000000003</v>
      </c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>
        <v>171766.74</v>
      </c>
      <c r="AG23" s="239"/>
      <c r="AH23" s="239">
        <v>89417.85</v>
      </c>
      <c r="AI23" s="239"/>
      <c r="AJ23" s="239"/>
      <c r="AK23" s="239"/>
      <c r="AL23" s="239"/>
      <c r="AM23" s="239"/>
    </row>
    <row r="24" spans="1:39" s="3" customFormat="1" ht="19.5" thickBot="1" x14ac:dyDescent="0.35">
      <c r="A24" s="142" t="s">
        <v>18</v>
      </c>
      <c r="B24" s="145" t="s">
        <v>196</v>
      </c>
      <c r="C24" s="284">
        <v>30743</v>
      </c>
      <c r="D24" s="136"/>
      <c r="E24" s="221">
        <f t="shared" si="0"/>
        <v>30743</v>
      </c>
      <c r="F24" s="187">
        <f t="shared" si="1"/>
        <v>19807.260000000006</v>
      </c>
      <c r="G24" s="246">
        <f t="shared" si="2"/>
        <v>10935.739999999994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>
        <v>3858.14</v>
      </c>
      <c r="W24" s="239">
        <v>2393.77</v>
      </c>
      <c r="X24" s="239">
        <v>4918.38</v>
      </c>
      <c r="Y24" s="239">
        <v>800</v>
      </c>
      <c r="Z24" s="239">
        <v>2215.36</v>
      </c>
      <c r="AA24" s="239">
        <v>476.52</v>
      </c>
      <c r="AB24" s="239">
        <v>1000</v>
      </c>
      <c r="AC24" s="239"/>
      <c r="AD24" s="239">
        <v>1040.9000000000001</v>
      </c>
      <c r="AE24" s="239"/>
      <c r="AF24" s="239">
        <v>1171.42</v>
      </c>
      <c r="AG24" s="239"/>
      <c r="AH24" s="239">
        <f>1819.9+112.87</f>
        <v>1932.77</v>
      </c>
      <c r="AI24" s="239"/>
      <c r="AJ24" s="239"/>
      <c r="AK24" s="239"/>
      <c r="AL24" s="239"/>
      <c r="AM24" s="239"/>
    </row>
    <row r="25" spans="1:39" s="3" customFormat="1" ht="19.5" thickBot="1" x14ac:dyDescent="0.35">
      <c r="A25" s="142" t="s">
        <v>19</v>
      </c>
      <c r="B25" s="145" t="s">
        <v>197</v>
      </c>
      <c r="C25" s="284">
        <v>10000</v>
      </c>
      <c r="D25" s="136">
        <v>9025</v>
      </c>
      <c r="E25" s="272">
        <v>0</v>
      </c>
      <c r="F25" s="187">
        <f t="shared" si="1"/>
        <v>0</v>
      </c>
      <c r="G25" s="246">
        <f t="shared" si="2"/>
        <v>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</row>
    <row r="26" spans="1:39" s="3" customFormat="1" ht="19.5" thickBot="1" x14ac:dyDescent="0.35">
      <c r="A26" s="142" t="s">
        <v>20</v>
      </c>
      <c r="B26" s="145" t="s">
        <v>198</v>
      </c>
      <c r="C26" s="284">
        <v>732036</v>
      </c>
      <c r="D26" s="136"/>
      <c r="E26" s="221">
        <f t="shared" si="0"/>
        <v>732036</v>
      </c>
      <c r="F26" s="187">
        <f t="shared" si="1"/>
        <v>732036</v>
      </c>
      <c r="G26" s="246">
        <f t="shared" si="2"/>
        <v>0</v>
      </c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>
        <v>115421.45</v>
      </c>
      <c r="X26" s="239"/>
      <c r="Y26" s="239"/>
      <c r="Z26" s="239">
        <f>2665.51+2547.03</f>
        <v>5212.5400000000009</v>
      </c>
      <c r="AA26" s="239">
        <v>135948.4</v>
      </c>
      <c r="AB26" s="239"/>
      <c r="AC26" s="239">
        <v>64051.6</v>
      </c>
      <c r="AD26" s="239">
        <v>220084.49</v>
      </c>
      <c r="AE26" s="239">
        <v>26672.07</v>
      </c>
      <c r="AF26" s="239"/>
      <c r="AG26" s="239"/>
      <c r="AH26" s="239">
        <v>164645.45000000001</v>
      </c>
      <c r="AI26" s="239"/>
      <c r="AJ26" s="239"/>
      <c r="AK26" s="239"/>
      <c r="AL26" s="239"/>
      <c r="AM26" s="239"/>
    </row>
    <row r="27" spans="1:39" s="3" customFormat="1" ht="19.5" thickBot="1" x14ac:dyDescent="0.35">
      <c r="A27" s="142" t="s">
        <v>21</v>
      </c>
      <c r="B27" s="145" t="s">
        <v>199</v>
      </c>
      <c r="C27" s="284">
        <v>26960</v>
      </c>
      <c r="D27" s="136"/>
      <c r="E27" s="221">
        <f t="shared" si="0"/>
        <v>26960</v>
      </c>
      <c r="F27" s="187">
        <f t="shared" si="1"/>
        <v>26960</v>
      </c>
      <c r="G27" s="246">
        <f t="shared" si="2"/>
        <v>0</v>
      </c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>
        <v>26960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</row>
    <row r="28" spans="1:39" s="3" customFormat="1" ht="19.5" thickBot="1" x14ac:dyDescent="0.35">
      <c r="A28" s="142" t="s">
        <v>22</v>
      </c>
      <c r="B28" s="145" t="s">
        <v>418</v>
      </c>
      <c r="C28" s="284">
        <v>26241</v>
      </c>
      <c r="D28" s="136"/>
      <c r="E28" s="221">
        <f t="shared" si="0"/>
        <v>26241</v>
      </c>
      <c r="F28" s="187">
        <f t="shared" si="1"/>
        <v>26241</v>
      </c>
      <c r="G28" s="246">
        <f t="shared" si="2"/>
        <v>0</v>
      </c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>
        <v>14846.77</v>
      </c>
      <c r="S28" s="239">
        <v>5574.2</v>
      </c>
      <c r="T28" s="239"/>
      <c r="U28" s="239"/>
      <c r="V28" s="239"/>
      <c r="W28" s="239"/>
      <c r="X28" s="239"/>
      <c r="Y28" s="239"/>
      <c r="Z28" s="239"/>
      <c r="AA28" s="239">
        <v>2584.1999999999998</v>
      </c>
      <c r="AB28" s="239"/>
      <c r="AC28" s="239">
        <v>2125</v>
      </c>
      <c r="AD28" s="239"/>
      <c r="AE28" s="239">
        <v>1110.83</v>
      </c>
      <c r="AF28" s="239"/>
      <c r="AG28" s="239"/>
      <c r="AH28" s="239"/>
      <c r="AI28" s="239"/>
      <c r="AJ28" s="239"/>
      <c r="AK28" s="239"/>
      <c r="AL28" s="239"/>
      <c r="AM28" s="239"/>
    </row>
    <row r="29" spans="1:39" s="3" customFormat="1" ht="19.5" thickBot="1" x14ac:dyDescent="0.35">
      <c r="A29" s="142" t="s">
        <v>23</v>
      </c>
      <c r="B29" s="145" t="s">
        <v>420</v>
      </c>
      <c r="C29" s="284">
        <v>10000</v>
      </c>
      <c r="D29" s="136"/>
      <c r="E29" s="221">
        <f t="shared" si="0"/>
        <v>10000</v>
      </c>
      <c r="F29" s="187">
        <f t="shared" si="1"/>
        <v>10000</v>
      </c>
      <c r="G29" s="246">
        <f t="shared" si="2"/>
        <v>0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>
        <v>10000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</row>
    <row r="30" spans="1:39" s="3" customFormat="1" ht="19.5" thickBot="1" x14ac:dyDescent="0.35">
      <c r="A30" s="142" t="s">
        <v>24</v>
      </c>
      <c r="B30" s="145" t="s">
        <v>422</v>
      </c>
      <c r="C30" s="284">
        <v>10000</v>
      </c>
      <c r="D30" s="136"/>
      <c r="E30" s="221">
        <f t="shared" si="0"/>
        <v>10000</v>
      </c>
      <c r="F30" s="187">
        <f t="shared" si="1"/>
        <v>0</v>
      </c>
      <c r="G30" s="246">
        <f t="shared" si="2"/>
        <v>10000</v>
      </c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</row>
    <row r="31" spans="1:39" s="3" customFormat="1" ht="19.5" thickBot="1" x14ac:dyDescent="0.35">
      <c r="A31" s="142" t="s">
        <v>25</v>
      </c>
      <c r="B31" s="145" t="s">
        <v>423</v>
      </c>
      <c r="C31" s="284">
        <v>10000</v>
      </c>
      <c r="D31" s="136"/>
      <c r="E31" s="221">
        <f t="shared" si="0"/>
        <v>10000</v>
      </c>
      <c r="F31" s="187">
        <f t="shared" si="1"/>
        <v>10000</v>
      </c>
      <c r="G31" s="246">
        <f t="shared" si="2"/>
        <v>0</v>
      </c>
      <c r="H31" s="239"/>
      <c r="I31" s="239"/>
      <c r="J31" s="239"/>
      <c r="K31" s="239"/>
      <c r="L31" s="239"/>
      <c r="M31" s="239"/>
      <c r="N31" s="239"/>
      <c r="O31" s="239"/>
      <c r="P31" s="239">
        <f>4457.17+1107.12</f>
        <v>5564.29</v>
      </c>
      <c r="Q31" s="239"/>
      <c r="R31" s="239">
        <v>2414.12</v>
      </c>
      <c r="S31" s="239">
        <v>2021.59</v>
      </c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</row>
    <row r="32" spans="1:39" s="3" customFormat="1" ht="19.5" thickBot="1" x14ac:dyDescent="0.35">
      <c r="A32" s="142" t="s">
        <v>26</v>
      </c>
      <c r="B32" s="145" t="s">
        <v>424</v>
      </c>
      <c r="C32" s="284">
        <v>10000</v>
      </c>
      <c r="D32" s="136"/>
      <c r="E32" s="221">
        <f t="shared" si="0"/>
        <v>10000</v>
      </c>
      <c r="F32" s="187">
        <f t="shared" si="1"/>
        <v>10000</v>
      </c>
      <c r="G32" s="246">
        <f t="shared" si="2"/>
        <v>0</v>
      </c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>
        <v>10000</v>
      </c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</row>
    <row r="33" spans="1:39" s="3" customFormat="1" ht="19.5" thickBot="1" x14ac:dyDescent="0.35">
      <c r="A33" s="142" t="s">
        <v>27</v>
      </c>
      <c r="B33" s="145" t="s">
        <v>425</v>
      </c>
      <c r="C33" s="284">
        <v>0</v>
      </c>
      <c r="D33" s="136"/>
      <c r="E33" s="272">
        <f t="shared" si="0"/>
        <v>0</v>
      </c>
      <c r="F33" s="187">
        <f t="shared" si="1"/>
        <v>0</v>
      </c>
      <c r="G33" s="246">
        <f t="shared" si="2"/>
        <v>0</v>
      </c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</row>
    <row r="34" spans="1:39" s="3" customFormat="1" ht="19.5" thickBot="1" x14ac:dyDescent="0.35">
      <c r="A34" s="142" t="s">
        <v>28</v>
      </c>
      <c r="B34" s="145" t="s">
        <v>426</v>
      </c>
      <c r="C34" s="284">
        <v>42166</v>
      </c>
      <c r="D34" s="136"/>
      <c r="E34" s="221">
        <f t="shared" si="0"/>
        <v>42166</v>
      </c>
      <c r="F34" s="187">
        <f t="shared" si="1"/>
        <v>34590.15</v>
      </c>
      <c r="G34" s="246">
        <f t="shared" si="2"/>
        <v>7575.8499999999985</v>
      </c>
      <c r="H34" s="239"/>
      <c r="I34" s="239"/>
      <c r="J34" s="239"/>
      <c r="K34" s="239"/>
      <c r="L34" s="239"/>
      <c r="M34" s="239"/>
      <c r="N34" s="239">
        <v>17563</v>
      </c>
      <c r="O34" s="239"/>
      <c r="P34" s="239"/>
      <c r="Q34" s="239"/>
      <c r="R34" s="239"/>
      <c r="S34" s="239"/>
      <c r="T34" s="239"/>
      <c r="U34" s="239">
        <v>17027.150000000001</v>
      </c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</row>
    <row r="35" spans="1:39" s="3" customFormat="1" ht="19.5" thickBot="1" x14ac:dyDescent="0.35">
      <c r="A35" s="142" t="s">
        <v>29</v>
      </c>
      <c r="B35" s="145" t="s">
        <v>428</v>
      </c>
      <c r="C35" s="284">
        <v>10000</v>
      </c>
      <c r="D35" s="136"/>
      <c r="E35" s="221">
        <f t="shared" si="0"/>
        <v>10000</v>
      </c>
      <c r="F35" s="187">
        <f t="shared" si="1"/>
        <v>10000</v>
      </c>
      <c r="G35" s="246">
        <f t="shared" si="2"/>
        <v>0</v>
      </c>
      <c r="H35" s="239"/>
      <c r="I35" s="239"/>
      <c r="J35" s="239"/>
      <c r="K35" s="239"/>
      <c r="L35" s="239">
        <v>4109</v>
      </c>
      <c r="M35" s="239"/>
      <c r="N35" s="239"/>
      <c r="O35" s="239"/>
      <c r="P35" s="239">
        <v>1891</v>
      </c>
      <c r="Q35" s="239"/>
      <c r="R35" s="239"/>
      <c r="S35" s="239"/>
      <c r="T35" s="239"/>
      <c r="U35" s="239">
        <v>4000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</row>
    <row r="36" spans="1:39" s="3" customFormat="1" ht="19.5" thickBot="1" x14ac:dyDescent="0.35">
      <c r="A36" s="142" t="s">
        <v>30</v>
      </c>
      <c r="B36" s="145" t="s">
        <v>208</v>
      </c>
      <c r="C36" s="284">
        <v>216995</v>
      </c>
      <c r="D36" s="136"/>
      <c r="E36" s="221">
        <f t="shared" si="0"/>
        <v>216995</v>
      </c>
      <c r="F36" s="187">
        <f t="shared" si="1"/>
        <v>125581.33000000002</v>
      </c>
      <c r="G36" s="246">
        <f t="shared" si="2"/>
        <v>91413.669999999984</v>
      </c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>
        <f>5488.86+13879.73</f>
        <v>19368.59</v>
      </c>
      <c r="X36" s="239">
        <v>26470.05</v>
      </c>
      <c r="Y36" s="239"/>
      <c r="Z36" s="239"/>
      <c r="AA36" s="239"/>
      <c r="AB36" s="239"/>
      <c r="AC36" s="239"/>
      <c r="AD36" s="239">
        <f>32175.11+44474.87</f>
        <v>76649.98000000001</v>
      </c>
      <c r="AE36" s="239">
        <v>3092.71</v>
      </c>
      <c r="AF36" s="239"/>
      <c r="AG36" s="239"/>
      <c r="AH36" s="239"/>
      <c r="AI36" s="239"/>
      <c r="AJ36" s="239"/>
      <c r="AK36" s="239"/>
      <c r="AL36" s="239"/>
      <c r="AM36" s="239"/>
    </row>
    <row r="37" spans="1:39" s="3" customFormat="1" ht="19.5" thickBot="1" x14ac:dyDescent="0.35">
      <c r="A37" s="142" t="s">
        <v>31</v>
      </c>
      <c r="B37" s="145" t="s">
        <v>209</v>
      </c>
      <c r="C37" s="284">
        <v>133178</v>
      </c>
      <c r="D37" s="136"/>
      <c r="E37" s="221">
        <f t="shared" si="0"/>
        <v>133178</v>
      </c>
      <c r="F37" s="187">
        <f t="shared" si="1"/>
        <v>133177.99999999997</v>
      </c>
      <c r="G37" s="246">
        <f t="shared" si="2"/>
        <v>0</v>
      </c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>
        <v>2647.06</v>
      </c>
      <c r="U37" s="239"/>
      <c r="V37" s="239"/>
      <c r="W37" s="239">
        <v>16239.35</v>
      </c>
      <c r="X37" s="239">
        <v>41171.65</v>
      </c>
      <c r="Y37" s="239">
        <v>9884.8700000000008</v>
      </c>
      <c r="Z37" s="239">
        <v>11799.4</v>
      </c>
      <c r="AA37" s="239">
        <v>14327.9</v>
      </c>
      <c r="AB37" s="239"/>
      <c r="AC37" s="239">
        <f>13297.26+13880.98</f>
        <v>27178.239999999998</v>
      </c>
      <c r="AD37" s="239"/>
      <c r="AE37" s="239">
        <v>9929.5300000000007</v>
      </c>
      <c r="AF37" s="239"/>
      <c r="AG37" s="239"/>
      <c r="AH37" s="239"/>
      <c r="AI37" s="239"/>
      <c r="AJ37" s="239"/>
      <c r="AK37" s="239"/>
      <c r="AL37" s="239"/>
      <c r="AM37" s="239"/>
    </row>
    <row r="38" spans="1:39" s="3" customFormat="1" ht="19.5" thickBot="1" x14ac:dyDescent="0.35">
      <c r="A38" s="142" t="s">
        <v>32</v>
      </c>
      <c r="B38" s="145" t="s">
        <v>210</v>
      </c>
      <c r="C38" s="284">
        <v>11990</v>
      </c>
      <c r="D38" s="136"/>
      <c r="E38" s="221">
        <f t="shared" si="0"/>
        <v>11990</v>
      </c>
      <c r="F38" s="187">
        <f t="shared" si="1"/>
        <v>11990</v>
      </c>
      <c r="G38" s="246">
        <f t="shared" si="2"/>
        <v>0</v>
      </c>
      <c r="H38" s="239"/>
      <c r="I38" s="239"/>
      <c r="J38" s="239"/>
      <c r="K38" s="239"/>
      <c r="L38" s="239"/>
      <c r="M38" s="239">
        <v>11990</v>
      </c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</row>
    <row r="39" spans="1:39" s="3" customFormat="1" ht="19.5" thickBot="1" x14ac:dyDescent="0.35">
      <c r="A39" s="142" t="s">
        <v>33</v>
      </c>
      <c r="B39" s="145" t="s">
        <v>211</v>
      </c>
      <c r="C39" s="284">
        <v>10992</v>
      </c>
      <c r="D39" s="136"/>
      <c r="E39" s="221">
        <f t="shared" si="0"/>
        <v>10992</v>
      </c>
      <c r="F39" s="187">
        <f t="shared" si="1"/>
        <v>10992</v>
      </c>
      <c r="G39" s="246">
        <f t="shared" si="2"/>
        <v>0</v>
      </c>
      <c r="H39" s="239"/>
      <c r="I39" s="239"/>
      <c r="J39" s="239"/>
      <c r="K39" s="239"/>
      <c r="L39" s="239"/>
      <c r="M39" s="239"/>
      <c r="N39" s="239">
        <v>188.69</v>
      </c>
      <c r="O39" s="239">
        <v>415.92</v>
      </c>
      <c r="P39" s="239">
        <v>120</v>
      </c>
      <c r="Q39" s="239">
        <v>299</v>
      </c>
      <c r="R39" s="239">
        <v>1222</v>
      </c>
      <c r="S39" s="239">
        <v>8746.39</v>
      </c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</row>
    <row r="40" spans="1:39" s="3" customFormat="1" ht="19.5" thickBot="1" x14ac:dyDescent="0.35">
      <c r="A40" s="142" t="s">
        <v>34</v>
      </c>
      <c r="B40" s="145" t="s">
        <v>212</v>
      </c>
      <c r="C40" s="284">
        <v>10000</v>
      </c>
      <c r="D40" s="136">
        <v>9025</v>
      </c>
      <c r="E40" s="272">
        <v>0</v>
      </c>
      <c r="F40" s="187">
        <f t="shared" si="1"/>
        <v>0</v>
      </c>
      <c r="G40" s="246">
        <f t="shared" si="2"/>
        <v>0</v>
      </c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</row>
    <row r="41" spans="1:39" s="3" customFormat="1" ht="19.5" thickBot="1" x14ac:dyDescent="0.35">
      <c r="A41" s="142" t="s">
        <v>35</v>
      </c>
      <c r="B41" s="145" t="s">
        <v>434</v>
      </c>
      <c r="C41" s="284">
        <v>10000</v>
      </c>
      <c r="D41" s="136">
        <v>9025</v>
      </c>
      <c r="E41" s="272">
        <v>0</v>
      </c>
      <c r="F41" s="187">
        <f t="shared" si="1"/>
        <v>0</v>
      </c>
      <c r="G41" s="246">
        <f t="shared" si="2"/>
        <v>0</v>
      </c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</row>
    <row r="42" spans="1:39" s="3" customFormat="1" ht="19.5" thickBot="1" x14ac:dyDescent="0.35">
      <c r="A42" s="142" t="s">
        <v>36</v>
      </c>
      <c r="B42" s="145" t="s">
        <v>435</v>
      </c>
      <c r="C42" s="284">
        <v>10000</v>
      </c>
      <c r="D42" s="136"/>
      <c r="E42" s="221">
        <f t="shared" si="0"/>
        <v>10000</v>
      </c>
      <c r="F42" s="187">
        <f t="shared" si="1"/>
        <v>10000</v>
      </c>
      <c r="G42" s="246">
        <f t="shared" si="2"/>
        <v>0</v>
      </c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>
        <v>1000</v>
      </c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>
        <v>9000</v>
      </c>
      <c r="AI42" s="239"/>
      <c r="AJ42" s="239"/>
      <c r="AK42" s="239"/>
      <c r="AL42" s="239"/>
      <c r="AM42" s="239"/>
    </row>
    <row r="43" spans="1:39" s="3" customFormat="1" ht="19.5" thickBot="1" x14ac:dyDescent="0.35">
      <c r="A43" s="142" t="s">
        <v>37</v>
      </c>
      <c r="B43" s="145" t="s">
        <v>437</v>
      </c>
      <c r="C43" s="284">
        <v>21512</v>
      </c>
      <c r="D43" s="136"/>
      <c r="E43" s="221">
        <f t="shared" si="0"/>
        <v>21512</v>
      </c>
      <c r="F43" s="187">
        <f t="shared" si="1"/>
        <v>21512</v>
      </c>
      <c r="G43" s="246">
        <f t="shared" si="2"/>
        <v>0</v>
      </c>
      <c r="H43" s="239"/>
      <c r="I43" s="239"/>
      <c r="J43" s="239"/>
      <c r="K43" s="239"/>
      <c r="L43" s="239"/>
      <c r="M43" s="239">
        <v>5378</v>
      </c>
      <c r="N43" s="239"/>
      <c r="O43" s="239"/>
      <c r="P43" s="239"/>
      <c r="Q43" s="239">
        <v>5480</v>
      </c>
      <c r="R43" s="239"/>
      <c r="S43" s="239"/>
      <c r="T43" s="239"/>
      <c r="U43" s="239"/>
      <c r="V43" s="239">
        <v>8048</v>
      </c>
      <c r="W43" s="239"/>
      <c r="X43" s="239"/>
      <c r="Y43" s="239">
        <v>2606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</row>
    <row r="44" spans="1:39" s="3" customFormat="1" ht="19.5" thickBot="1" x14ac:dyDescent="0.35">
      <c r="A44" s="142" t="s">
        <v>38</v>
      </c>
      <c r="B44" s="145" t="s">
        <v>216</v>
      </c>
      <c r="C44" s="284">
        <v>10000</v>
      </c>
      <c r="D44" s="136"/>
      <c r="E44" s="221">
        <f t="shared" si="0"/>
        <v>10000</v>
      </c>
      <c r="F44" s="187">
        <f t="shared" si="1"/>
        <v>10000</v>
      </c>
      <c r="G44" s="246">
        <f t="shared" si="2"/>
        <v>0</v>
      </c>
      <c r="H44" s="239"/>
      <c r="I44" s="239"/>
      <c r="J44" s="239"/>
      <c r="K44" s="239"/>
      <c r="L44" s="239"/>
      <c r="M44" s="239"/>
      <c r="N44" s="239"/>
      <c r="O44" s="239"/>
      <c r="P44" s="239"/>
      <c r="Q44" s="239">
        <v>4956</v>
      </c>
      <c r="R44" s="239"/>
      <c r="S44" s="239">
        <v>5044</v>
      </c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</row>
    <row r="45" spans="1:39" s="3" customFormat="1" ht="19.5" thickBot="1" x14ac:dyDescent="0.35">
      <c r="A45" s="142" t="s">
        <v>39</v>
      </c>
      <c r="B45" s="145" t="s">
        <v>439</v>
      </c>
      <c r="C45" s="284">
        <v>10781</v>
      </c>
      <c r="D45" s="136"/>
      <c r="E45" s="221">
        <f t="shared" si="0"/>
        <v>10781</v>
      </c>
      <c r="F45" s="187">
        <f t="shared" si="1"/>
        <v>8870.85</v>
      </c>
      <c r="G45" s="246">
        <f t="shared" si="2"/>
        <v>1910.1499999999996</v>
      </c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>
        <v>3517.89</v>
      </c>
      <c r="S45" s="239">
        <v>2178.6799999999998</v>
      </c>
      <c r="T45" s="239"/>
      <c r="U45" s="239"/>
      <c r="V45" s="239"/>
      <c r="W45" s="239">
        <v>221.63</v>
      </c>
      <c r="X45" s="239"/>
      <c r="Y45" s="239"/>
      <c r="Z45" s="239"/>
      <c r="AA45" s="239"/>
      <c r="AB45" s="239">
        <v>653.5</v>
      </c>
      <c r="AC45" s="239"/>
      <c r="AD45" s="239">
        <v>145</v>
      </c>
      <c r="AE45" s="239"/>
      <c r="AF45" s="239"/>
      <c r="AG45" s="239">
        <v>2154.15</v>
      </c>
      <c r="AH45" s="239"/>
      <c r="AI45" s="239"/>
      <c r="AJ45" s="239"/>
      <c r="AK45" s="239"/>
      <c r="AL45" s="239"/>
      <c r="AM45" s="239"/>
    </row>
    <row r="46" spans="1:39" s="3" customFormat="1" ht="19.5" thickBot="1" x14ac:dyDescent="0.35">
      <c r="A46" s="142" t="s">
        <v>40</v>
      </c>
      <c r="B46" s="145" t="s">
        <v>218</v>
      </c>
      <c r="C46" s="284">
        <v>11750</v>
      </c>
      <c r="D46" s="136"/>
      <c r="E46" s="221">
        <f t="shared" si="0"/>
        <v>11750</v>
      </c>
      <c r="F46" s="187">
        <f t="shared" si="1"/>
        <v>11750</v>
      </c>
      <c r="G46" s="246">
        <f t="shared" si="2"/>
        <v>0</v>
      </c>
      <c r="H46" s="239"/>
      <c r="I46" s="239"/>
      <c r="J46" s="239"/>
      <c r="K46" s="239"/>
      <c r="L46" s="239"/>
      <c r="M46" s="239"/>
      <c r="N46" s="239"/>
      <c r="O46" s="239"/>
      <c r="P46" s="239"/>
      <c r="Q46" s="239">
        <v>11750</v>
      </c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</row>
    <row r="47" spans="1:39" s="3" customFormat="1" ht="19.5" thickBot="1" x14ac:dyDescent="0.35">
      <c r="A47" s="142" t="s">
        <v>41</v>
      </c>
      <c r="B47" s="145" t="s">
        <v>219</v>
      </c>
      <c r="C47" s="284">
        <v>12478</v>
      </c>
      <c r="D47" s="136"/>
      <c r="E47" s="221">
        <f t="shared" si="0"/>
        <v>12478</v>
      </c>
      <c r="F47" s="187">
        <f t="shared" si="1"/>
        <v>12478</v>
      </c>
      <c r="G47" s="246">
        <f t="shared" si="2"/>
        <v>0</v>
      </c>
      <c r="H47" s="239"/>
      <c r="I47" s="239"/>
      <c r="J47" s="239"/>
      <c r="K47" s="239"/>
      <c r="L47" s="239"/>
      <c r="M47" s="239"/>
      <c r="N47" s="239"/>
      <c r="O47" s="239">
        <v>5354.29</v>
      </c>
      <c r="P47" s="239"/>
      <c r="Q47" s="239"/>
      <c r="R47" s="239">
        <v>2578.7199999999998</v>
      </c>
      <c r="S47" s="239">
        <v>4544.99</v>
      </c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1:39" s="3" customFormat="1" ht="19.5" thickBot="1" x14ac:dyDescent="0.35">
      <c r="A48" s="142" t="s">
        <v>42</v>
      </c>
      <c r="B48" s="145" t="s">
        <v>441</v>
      </c>
      <c r="C48" s="284">
        <v>16967</v>
      </c>
      <c r="D48" s="136"/>
      <c r="E48" s="221">
        <f t="shared" si="0"/>
        <v>16967</v>
      </c>
      <c r="F48" s="187">
        <f t="shared" si="1"/>
        <v>16967</v>
      </c>
      <c r="G48" s="246">
        <f t="shared" si="2"/>
        <v>0</v>
      </c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>
        <v>16967</v>
      </c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</row>
    <row r="49" spans="1:39" s="3" customFormat="1" ht="19.5" thickBot="1" x14ac:dyDescent="0.35">
      <c r="A49" s="142" t="s">
        <v>43</v>
      </c>
      <c r="B49" s="145" t="s">
        <v>443</v>
      </c>
      <c r="C49" s="284">
        <v>10000</v>
      </c>
      <c r="D49" s="136"/>
      <c r="E49" s="221">
        <f t="shared" si="0"/>
        <v>10000</v>
      </c>
      <c r="F49" s="187">
        <f t="shared" si="1"/>
        <v>10000</v>
      </c>
      <c r="G49" s="246">
        <f t="shared" si="2"/>
        <v>0</v>
      </c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>
        <v>10000</v>
      </c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</row>
    <row r="50" spans="1:39" s="3" customFormat="1" ht="19.5" thickBot="1" x14ac:dyDescent="0.35">
      <c r="A50" s="142" t="s">
        <v>44</v>
      </c>
      <c r="B50" s="145" t="s">
        <v>222</v>
      </c>
      <c r="C50" s="284">
        <v>69021</v>
      </c>
      <c r="D50" s="136"/>
      <c r="E50" s="221">
        <f t="shared" si="0"/>
        <v>69021</v>
      </c>
      <c r="F50" s="187">
        <f t="shared" si="1"/>
        <v>69021</v>
      </c>
      <c r="G50" s="246">
        <f t="shared" si="2"/>
        <v>0</v>
      </c>
      <c r="H50" s="239"/>
      <c r="I50" s="239"/>
      <c r="J50" s="239"/>
      <c r="K50" s="239"/>
      <c r="L50" s="239">
        <v>2358.83</v>
      </c>
      <c r="M50" s="239">
        <v>100.92</v>
      </c>
      <c r="N50" s="239"/>
      <c r="O50" s="239"/>
      <c r="P50" s="239"/>
      <c r="Q50" s="239"/>
      <c r="R50" s="239">
        <v>87.16</v>
      </c>
      <c r="S50" s="239">
        <v>6839.05</v>
      </c>
      <c r="T50" s="239"/>
      <c r="U50" s="239"/>
      <c r="V50" s="239">
        <f>10533.39-9385.96</f>
        <v>1147.4300000000003</v>
      </c>
      <c r="W50" s="239">
        <v>100.47</v>
      </c>
      <c r="X50" s="239"/>
      <c r="Y50" s="239">
        <v>30523.74</v>
      </c>
      <c r="Z50" s="239">
        <v>20973.360000000001</v>
      </c>
      <c r="AA50" s="239"/>
      <c r="AB50" s="239">
        <v>6890.04</v>
      </c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</row>
    <row r="51" spans="1:39" s="3" customFormat="1" ht="19.5" thickBot="1" x14ac:dyDescent="0.35">
      <c r="A51" s="142" t="s">
        <v>45</v>
      </c>
      <c r="B51" s="145" t="s">
        <v>223</v>
      </c>
      <c r="C51" s="284">
        <v>1988174</v>
      </c>
      <c r="D51" s="136"/>
      <c r="E51" s="221">
        <f t="shared" si="0"/>
        <v>1988174</v>
      </c>
      <c r="F51" s="187">
        <f t="shared" si="1"/>
        <v>1266403.19</v>
      </c>
      <c r="G51" s="246">
        <f t="shared" si="2"/>
        <v>721770.81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>
        <v>27256.18</v>
      </c>
      <c r="X51" s="239"/>
      <c r="Y51" s="239"/>
      <c r="Z51" s="239"/>
      <c r="AA51" s="239"/>
      <c r="AB51" s="239">
        <v>87322.16</v>
      </c>
      <c r="AC51" s="239">
        <f>95422.03+187891.21</f>
        <v>283313.24</v>
      </c>
      <c r="AD51" s="239"/>
      <c r="AE51" s="239">
        <f>57934.3+76836.98+205620.24</f>
        <v>340391.52</v>
      </c>
      <c r="AF51" s="239"/>
      <c r="AG51" s="239"/>
      <c r="AH51" s="239">
        <v>528120.09</v>
      </c>
      <c r="AI51" s="239"/>
      <c r="AJ51" s="239"/>
      <c r="AK51" s="239"/>
      <c r="AL51" s="239"/>
      <c r="AM51" s="239"/>
    </row>
    <row r="52" spans="1:39" s="3" customFormat="1" ht="19.5" thickBot="1" x14ac:dyDescent="0.35">
      <c r="A52" s="142" t="s">
        <v>46</v>
      </c>
      <c r="B52" s="145" t="s">
        <v>590</v>
      </c>
      <c r="C52" s="284">
        <v>10000</v>
      </c>
      <c r="D52" s="136"/>
      <c r="E52" s="221">
        <f t="shared" si="0"/>
        <v>10000</v>
      </c>
      <c r="F52" s="187">
        <f t="shared" si="1"/>
        <v>10000</v>
      </c>
      <c r="G52" s="246">
        <f t="shared" si="2"/>
        <v>0</v>
      </c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>
        <v>10000</v>
      </c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</row>
    <row r="53" spans="1:39" s="3" customFormat="1" ht="19.5" thickBot="1" x14ac:dyDescent="0.35">
      <c r="A53" s="142" t="s">
        <v>47</v>
      </c>
      <c r="B53" s="145" t="s">
        <v>449</v>
      </c>
      <c r="C53" s="284">
        <v>111691</v>
      </c>
      <c r="D53" s="136"/>
      <c r="E53" s="221">
        <f t="shared" si="0"/>
        <v>111691</v>
      </c>
      <c r="F53" s="187">
        <f t="shared" si="1"/>
        <v>56435.229999999996</v>
      </c>
      <c r="G53" s="246">
        <f t="shared" si="2"/>
        <v>55255.770000000004</v>
      </c>
      <c r="H53" s="239"/>
      <c r="I53" s="239"/>
      <c r="J53" s="239"/>
      <c r="K53" s="239"/>
      <c r="L53" s="239"/>
      <c r="M53" s="239"/>
      <c r="N53" s="239"/>
      <c r="O53" s="239">
        <v>7408.22</v>
      </c>
      <c r="P53" s="239">
        <v>4956.1499999999996</v>
      </c>
      <c r="Q53" s="239">
        <v>914.02</v>
      </c>
      <c r="R53" s="239"/>
      <c r="S53" s="239">
        <v>15695.68</v>
      </c>
      <c r="T53" s="239">
        <v>3493.3</v>
      </c>
      <c r="U53" s="239"/>
      <c r="V53" s="239">
        <v>2070.11</v>
      </c>
      <c r="W53" s="239"/>
      <c r="X53" s="239"/>
      <c r="Y53" s="239"/>
      <c r="Z53" s="239">
        <v>14333.33</v>
      </c>
      <c r="AA53" s="239"/>
      <c r="AB53" s="239"/>
      <c r="AC53" s="239"/>
      <c r="AD53" s="239"/>
      <c r="AE53" s="239">
        <v>1109.56</v>
      </c>
      <c r="AF53" s="239">
        <v>6454.86</v>
      </c>
      <c r="AG53" s="239"/>
      <c r="AH53" s="239"/>
      <c r="AI53" s="239"/>
      <c r="AJ53" s="239"/>
      <c r="AK53" s="239"/>
      <c r="AL53" s="239"/>
      <c r="AM53" s="239"/>
    </row>
    <row r="54" spans="1:39" s="3" customFormat="1" ht="19.5" thickBot="1" x14ac:dyDescent="0.35">
      <c r="A54" s="142" t="s">
        <v>48</v>
      </c>
      <c r="B54" s="145" t="s">
        <v>226</v>
      </c>
      <c r="C54" s="284">
        <v>43008</v>
      </c>
      <c r="D54" s="136"/>
      <c r="E54" s="221">
        <f t="shared" si="0"/>
        <v>43008</v>
      </c>
      <c r="F54" s="187">
        <f t="shared" si="1"/>
        <v>43008</v>
      </c>
      <c r="G54" s="246">
        <f t="shared" si="2"/>
        <v>0</v>
      </c>
      <c r="H54" s="239"/>
      <c r="I54" s="239"/>
      <c r="J54" s="239"/>
      <c r="K54" s="239"/>
      <c r="L54" s="239"/>
      <c r="M54" s="239"/>
      <c r="N54" s="239"/>
      <c r="O54" s="239">
        <v>1768</v>
      </c>
      <c r="P54" s="239"/>
      <c r="Q54" s="239"/>
      <c r="R54" s="239"/>
      <c r="S54" s="239">
        <v>41240</v>
      </c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</row>
    <row r="55" spans="1:39" s="3" customFormat="1" ht="19.5" thickBot="1" x14ac:dyDescent="0.35">
      <c r="A55" s="142" t="s">
        <v>49</v>
      </c>
      <c r="B55" s="145" t="s">
        <v>227</v>
      </c>
      <c r="C55" s="284">
        <v>11019</v>
      </c>
      <c r="D55" s="136"/>
      <c r="E55" s="221">
        <f t="shared" si="0"/>
        <v>11019</v>
      </c>
      <c r="F55" s="187">
        <f t="shared" si="1"/>
        <v>11019</v>
      </c>
      <c r="G55" s="246">
        <f t="shared" si="2"/>
        <v>0</v>
      </c>
      <c r="H55" s="239"/>
      <c r="I55" s="239"/>
      <c r="J55" s="239"/>
      <c r="K55" s="239"/>
      <c r="L55" s="239"/>
      <c r="M55" s="239"/>
      <c r="N55" s="239"/>
      <c r="O55" s="239">
        <v>7149.9</v>
      </c>
      <c r="P55" s="239"/>
      <c r="Q55" s="239">
        <v>825</v>
      </c>
      <c r="R55" s="239"/>
      <c r="S55" s="239">
        <v>1650</v>
      </c>
      <c r="T55" s="239">
        <v>1394.1</v>
      </c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</row>
    <row r="56" spans="1:39" s="3" customFormat="1" ht="19.5" thickBot="1" x14ac:dyDescent="0.35">
      <c r="A56" s="142" t="s">
        <v>50</v>
      </c>
      <c r="B56" s="145" t="s">
        <v>228</v>
      </c>
      <c r="C56" s="284">
        <v>10000</v>
      </c>
      <c r="D56" s="136">
        <v>9025</v>
      </c>
      <c r="E56" s="272">
        <v>0</v>
      </c>
      <c r="F56" s="187">
        <f t="shared" si="1"/>
        <v>0</v>
      </c>
      <c r="G56" s="246">
        <f t="shared" si="2"/>
        <v>0</v>
      </c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</row>
    <row r="57" spans="1:39" s="3" customFormat="1" ht="19.5" thickBot="1" x14ac:dyDescent="0.35">
      <c r="A57" s="142" t="s">
        <v>51</v>
      </c>
      <c r="B57" s="145" t="s">
        <v>229</v>
      </c>
      <c r="C57" s="284">
        <v>10000</v>
      </c>
      <c r="D57" s="136"/>
      <c r="E57" s="221">
        <f t="shared" si="0"/>
        <v>10000</v>
      </c>
      <c r="F57" s="187">
        <f t="shared" si="1"/>
        <v>10000</v>
      </c>
      <c r="G57" s="246">
        <f t="shared" si="2"/>
        <v>0</v>
      </c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>
        <v>10000</v>
      </c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</row>
    <row r="58" spans="1:39" s="3" customFormat="1" ht="19.5" thickBot="1" x14ac:dyDescent="0.35">
      <c r="A58" s="142" t="s">
        <v>52</v>
      </c>
      <c r="B58" s="145" t="s">
        <v>230</v>
      </c>
      <c r="C58" s="284">
        <v>10000</v>
      </c>
      <c r="D58" s="136"/>
      <c r="E58" s="221">
        <f t="shared" si="0"/>
        <v>10000</v>
      </c>
      <c r="F58" s="187">
        <f t="shared" si="1"/>
        <v>10000</v>
      </c>
      <c r="G58" s="246">
        <f t="shared" si="2"/>
        <v>0</v>
      </c>
      <c r="H58" s="239"/>
      <c r="I58" s="239"/>
      <c r="J58" s="239"/>
      <c r="K58" s="239"/>
      <c r="L58" s="239"/>
      <c r="M58" s="239"/>
      <c r="N58" s="239">
        <v>5000</v>
      </c>
      <c r="O58" s="239"/>
      <c r="P58" s="239"/>
      <c r="Q58" s="239"/>
      <c r="R58" s="239"/>
      <c r="S58" s="239">
        <v>5000</v>
      </c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</row>
    <row r="59" spans="1:39" s="3" customFormat="1" ht="19.5" thickBot="1" x14ac:dyDescent="0.35">
      <c r="A59" s="142" t="s">
        <v>53</v>
      </c>
      <c r="B59" s="145" t="s">
        <v>231</v>
      </c>
      <c r="C59" s="284">
        <v>10000</v>
      </c>
      <c r="D59" s="136">
        <v>9025</v>
      </c>
      <c r="E59" s="272">
        <v>0</v>
      </c>
      <c r="F59" s="187">
        <f t="shared" si="1"/>
        <v>0</v>
      </c>
      <c r="G59" s="246">
        <f t="shared" si="2"/>
        <v>0</v>
      </c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</row>
    <row r="60" spans="1:39" s="3" customFormat="1" ht="19.5" thickBot="1" x14ac:dyDescent="0.35">
      <c r="A60" s="142" t="s">
        <v>54</v>
      </c>
      <c r="B60" s="145" t="s">
        <v>232</v>
      </c>
      <c r="C60" s="284">
        <v>10000</v>
      </c>
      <c r="D60" s="136"/>
      <c r="E60" s="221">
        <f t="shared" si="0"/>
        <v>10000</v>
      </c>
      <c r="F60" s="187">
        <f t="shared" si="1"/>
        <v>10000</v>
      </c>
      <c r="G60" s="246">
        <f t="shared" si="2"/>
        <v>0</v>
      </c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>
        <v>10000</v>
      </c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</row>
    <row r="61" spans="1:39" s="3" customFormat="1" ht="19.5" thickBot="1" x14ac:dyDescent="0.35">
      <c r="A61" s="142" t="s">
        <v>55</v>
      </c>
      <c r="B61" s="145" t="s">
        <v>233</v>
      </c>
      <c r="C61" s="284">
        <v>293282</v>
      </c>
      <c r="D61" s="136"/>
      <c r="E61" s="221">
        <f t="shared" si="0"/>
        <v>293282</v>
      </c>
      <c r="F61" s="187">
        <f t="shared" si="1"/>
        <v>293282</v>
      </c>
      <c r="G61" s="246">
        <f t="shared" si="2"/>
        <v>0</v>
      </c>
      <c r="H61" s="239"/>
      <c r="I61" s="239"/>
      <c r="J61" s="239"/>
      <c r="K61" s="239"/>
      <c r="L61" s="239"/>
      <c r="M61" s="239"/>
      <c r="N61" s="239"/>
      <c r="O61" s="239"/>
      <c r="P61" s="239">
        <v>16604.240000000002</v>
      </c>
      <c r="Q61" s="239"/>
      <c r="R61" s="239"/>
      <c r="S61" s="239">
        <v>26688.73</v>
      </c>
      <c r="T61" s="239"/>
      <c r="U61" s="239"/>
      <c r="V61" s="239"/>
      <c r="W61" s="239"/>
      <c r="X61" s="239"/>
      <c r="Y61" s="239"/>
      <c r="Z61" s="239"/>
      <c r="AA61" s="239"/>
      <c r="AB61" s="239"/>
      <c r="AC61" s="239">
        <f>75399.27+86141.08</f>
        <v>161540.35</v>
      </c>
      <c r="AD61" s="239"/>
      <c r="AE61" s="239">
        <v>88448.68</v>
      </c>
      <c r="AF61" s="239"/>
      <c r="AG61" s="239"/>
      <c r="AH61" s="239"/>
      <c r="AI61" s="239"/>
      <c r="AJ61" s="239"/>
      <c r="AK61" s="239"/>
      <c r="AL61" s="239"/>
      <c r="AM61" s="239"/>
    </row>
    <row r="62" spans="1:39" s="3" customFormat="1" ht="19.5" thickBot="1" x14ac:dyDescent="0.35">
      <c r="A62" s="142" t="s">
        <v>56</v>
      </c>
      <c r="B62" s="145" t="s">
        <v>234</v>
      </c>
      <c r="C62" s="284">
        <v>106613</v>
      </c>
      <c r="D62" s="136"/>
      <c r="E62" s="221">
        <f t="shared" si="0"/>
        <v>106613</v>
      </c>
      <c r="F62" s="187">
        <f t="shared" si="1"/>
        <v>106613</v>
      </c>
      <c r="G62" s="246">
        <f t="shared" si="2"/>
        <v>0</v>
      </c>
      <c r="H62" s="239"/>
      <c r="I62" s="239"/>
      <c r="J62" s="239"/>
      <c r="K62" s="239"/>
      <c r="L62" s="239"/>
      <c r="M62" s="239">
        <v>1471.5</v>
      </c>
      <c r="N62" s="239"/>
      <c r="O62" s="239">
        <v>22564.66</v>
      </c>
      <c r="P62" s="239"/>
      <c r="Q62" s="239">
        <v>6207.5</v>
      </c>
      <c r="R62" s="239"/>
      <c r="S62" s="239"/>
      <c r="T62" s="239"/>
      <c r="U62" s="239"/>
      <c r="V62" s="239"/>
      <c r="W62" s="239">
        <v>68324.289999999994</v>
      </c>
      <c r="X62" s="239"/>
      <c r="Y62" s="239">
        <v>8045.05</v>
      </c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</row>
    <row r="63" spans="1:39" s="3" customFormat="1" ht="19.5" thickBot="1" x14ac:dyDescent="0.35">
      <c r="A63" s="142" t="s">
        <v>57</v>
      </c>
      <c r="B63" s="145" t="s">
        <v>235</v>
      </c>
      <c r="C63" s="284">
        <v>94934</v>
      </c>
      <c r="D63" s="136"/>
      <c r="E63" s="221">
        <f t="shared" si="0"/>
        <v>94934</v>
      </c>
      <c r="F63" s="187">
        <f t="shared" si="1"/>
        <v>94934</v>
      </c>
      <c r="G63" s="246">
        <f t="shared" si="2"/>
        <v>0</v>
      </c>
      <c r="H63" s="239"/>
      <c r="I63" s="239"/>
      <c r="J63" s="239"/>
      <c r="K63" s="239"/>
      <c r="L63" s="239"/>
      <c r="M63" s="239"/>
      <c r="N63" s="266"/>
      <c r="O63" s="239"/>
      <c r="P63" s="239"/>
      <c r="Q63" s="239"/>
      <c r="R63" s="239"/>
      <c r="S63" s="239"/>
      <c r="T63" s="239">
        <f>33269.36+18597</f>
        <v>51866.36</v>
      </c>
      <c r="U63" s="239"/>
      <c r="V63" s="239"/>
      <c r="W63" s="239"/>
      <c r="X63" s="239">
        <f>9029+221</f>
        <v>9250</v>
      </c>
      <c r="Y63" s="239">
        <v>21904</v>
      </c>
      <c r="Z63" s="239">
        <v>10935</v>
      </c>
      <c r="AA63" s="239">
        <v>978.64</v>
      </c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</row>
    <row r="64" spans="1:39" s="3" customFormat="1" ht="19.5" thickBot="1" x14ac:dyDescent="0.35">
      <c r="A64" s="142" t="s">
        <v>58</v>
      </c>
      <c r="B64" s="145" t="s">
        <v>236</v>
      </c>
      <c r="C64" s="284">
        <v>514901</v>
      </c>
      <c r="D64" s="136"/>
      <c r="E64" s="221">
        <f t="shared" si="0"/>
        <v>514901</v>
      </c>
      <c r="F64" s="187">
        <f t="shared" si="1"/>
        <v>514900.99999999994</v>
      </c>
      <c r="G64" s="246">
        <f t="shared" si="2"/>
        <v>0</v>
      </c>
      <c r="H64" s="239"/>
      <c r="I64" s="239"/>
      <c r="J64" s="239"/>
      <c r="K64" s="239"/>
      <c r="L64" s="239"/>
      <c r="M64" s="239"/>
      <c r="N64" s="239">
        <f>12253.59+18866.87</f>
        <v>31120.46</v>
      </c>
      <c r="O64" s="239">
        <v>11519.02</v>
      </c>
      <c r="P64" s="239">
        <v>1539.5</v>
      </c>
      <c r="Q64" s="266">
        <v>78277.09</v>
      </c>
      <c r="R64" s="239">
        <v>28353.35</v>
      </c>
      <c r="S64" s="239">
        <v>27620.240000000002</v>
      </c>
      <c r="T64" s="239">
        <v>32284.53</v>
      </c>
      <c r="U64" s="239"/>
      <c r="V64" s="239">
        <v>90096.37</v>
      </c>
      <c r="W64" s="239">
        <v>7599.67</v>
      </c>
      <c r="X64" s="239">
        <v>52721.19</v>
      </c>
      <c r="Y64" s="239">
        <v>28617.56</v>
      </c>
      <c r="Z64" s="239">
        <v>4274.8100000000004</v>
      </c>
      <c r="AA64" s="239">
        <v>17619.59</v>
      </c>
      <c r="AB64" s="239">
        <v>9666.27</v>
      </c>
      <c r="AC64" s="239">
        <v>16994.36</v>
      </c>
      <c r="AD64" s="239">
        <v>44447.71</v>
      </c>
      <c r="AE64" s="239">
        <v>14095.12</v>
      </c>
      <c r="AF64" s="239"/>
      <c r="AG64" s="239"/>
      <c r="AH64" s="239">
        <v>18054.16</v>
      </c>
      <c r="AI64" s="239"/>
      <c r="AJ64" s="239"/>
      <c r="AK64" s="239"/>
      <c r="AL64" s="239"/>
      <c r="AM64" s="239"/>
    </row>
    <row r="65" spans="1:39" s="3" customFormat="1" ht="19.5" thickBot="1" x14ac:dyDescent="0.35">
      <c r="A65" s="142" t="s">
        <v>59</v>
      </c>
      <c r="B65" s="145" t="s">
        <v>237</v>
      </c>
      <c r="C65" s="284">
        <v>19179</v>
      </c>
      <c r="D65" s="136"/>
      <c r="E65" s="221">
        <f t="shared" si="0"/>
        <v>19179</v>
      </c>
      <c r="F65" s="187">
        <f t="shared" si="1"/>
        <v>19179</v>
      </c>
      <c r="G65" s="246">
        <f t="shared" si="2"/>
        <v>0</v>
      </c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>
        <v>19179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</row>
    <row r="66" spans="1:39" s="3" customFormat="1" ht="19.5" thickBot="1" x14ac:dyDescent="0.35">
      <c r="A66" s="142" t="s">
        <v>60</v>
      </c>
      <c r="B66" s="145" t="s">
        <v>238</v>
      </c>
      <c r="C66" s="284">
        <v>11438</v>
      </c>
      <c r="D66" s="136"/>
      <c r="E66" s="221">
        <f t="shared" si="0"/>
        <v>11438</v>
      </c>
      <c r="F66" s="187">
        <f t="shared" si="1"/>
        <v>0</v>
      </c>
      <c r="G66" s="246">
        <f t="shared" si="2"/>
        <v>11438</v>
      </c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</row>
    <row r="67" spans="1:39" s="3" customFormat="1" ht="19.5" thickBot="1" x14ac:dyDescent="0.35">
      <c r="A67" s="142" t="s">
        <v>61</v>
      </c>
      <c r="B67" s="145" t="s">
        <v>239</v>
      </c>
      <c r="C67" s="284">
        <v>75431</v>
      </c>
      <c r="D67" s="136"/>
      <c r="E67" s="221">
        <f t="shared" si="0"/>
        <v>75431</v>
      </c>
      <c r="F67" s="187">
        <f t="shared" si="1"/>
        <v>75431</v>
      </c>
      <c r="G67" s="246">
        <f t="shared" si="2"/>
        <v>0</v>
      </c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>
        <v>2770.29</v>
      </c>
      <c r="T67" s="239">
        <v>14988.02</v>
      </c>
      <c r="U67" s="239"/>
      <c r="V67" s="239">
        <v>19233.689999999999</v>
      </c>
      <c r="W67" s="239"/>
      <c r="X67" s="239">
        <v>18874.68</v>
      </c>
      <c r="Y67" s="239"/>
      <c r="Z67" s="239"/>
      <c r="AA67" s="239">
        <v>10076.459999999999</v>
      </c>
      <c r="AB67" s="239"/>
      <c r="AC67" s="239"/>
      <c r="AD67" s="239">
        <v>9487.86</v>
      </c>
      <c r="AE67" s="239"/>
      <c r="AF67" s="239"/>
      <c r="AG67" s="239"/>
      <c r="AH67" s="239"/>
      <c r="AI67" s="239"/>
      <c r="AJ67" s="239"/>
      <c r="AK67" s="239"/>
      <c r="AL67" s="239"/>
      <c r="AM67" s="239"/>
    </row>
    <row r="68" spans="1:39" s="3" customFormat="1" ht="19.5" thickBot="1" x14ac:dyDescent="0.35">
      <c r="A68" s="142" t="s">
        <v>62</v>
      </c>
      <c r="B68" s="145" t="s">
        <v>240</v>
      </c>
      <c r="C68" s="284">
        <v>13139</v>
      </c>
      <c r="D68" s="136"/>
      <c r="E68" s="221">
        <f t="shared" si="0"/>
        <v>13139</v>
      </c>
      <c r="F68" s="187">
        <f t="shared" si="1"/>
        <v>13139</v>
      </c>
      <c r="G68" s="246">
        <f t="shared" si="2"/>
        <v>0</v>
      </c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>
        <v>13139</v>
      </c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</row>
    <row r="69" spans="1:39" s="3" customFormat="1" ht="19.5" thickBot="1" x14ac:dyDescent="0.35">
      <c r="A69" s="142" t="s">
        <v>63</v>
      </c>
      <c r="B69" s="145" t="s">
        <v>456</v>
      </c>
      <c r="C69" s="284">
        <v>10000</v>
      </c>
      <c r="D69" s="136"/>
      <c r="E69" s="221">
        <f t="shared" si="0"/>
        <v>10000</v>
      </c>
      <c r="F69" s="187">
        <f t="shared" si="1"/>
        <v>1566.96</v>
      </c>
      <c r="G69" s="246">
        <f t="shared" si="2"/>
        <v>8433.0400000000009</v>
      </c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>
        <v>1566.96</v>
      </c>
      <c r="AI69" s="239"/>
      <c r="AJ69" s="239"/>
      <c r="AK69" s="239"/>
      <c r="AL69" s="239"/>
      <c r="AM69" s="239"/>
    </row>
    <row r="70" spans="1:39" s="3" customFormat="1" ht="19.5" thickBot="1" x14ac:dyDescent="0.35">
      <c r="A70" s="142" t="s">
        <v>64</v>
      </c>
      <c r="B70" s="145" t="s">
        <v>242</v>
      </c>
      <c r="C70" s="284">
        <v>10000</v>
      </c>
      <c r="D70" s="136"/>
      <c r="E70" s="221">
        <f t="shared" si="0"/>
        <v>10000</v>
      </c>
      <c r="F70" s="187">
        <f t="shared" si="1"/>
        <v>10000</v>
      </c>
      <c r="G70" s="246">
        <f t="shared" si="2"/>
        <v>0</v>
      </c>
      <c r="H70" s="239"/>
      <c r="I70" s="239"/>
      <c r="J70" s="239"/>
      <c r="K70" s="239"/>
      <c r="L70" s="239"/>
      <c r="M70" s="239"/>
      <c r="N70" s="239"/>
      <c r="O70" s="239">
        <v>5000</v>
      </c>
      <c r="P70" s="239"/>
      <c r="Q70" s="239"/>
      <c r="R70" s="239"/>
      <c r="S70" s="239">
        <v>5000</v>
      </c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</row>
    <row r="71" spans="1:39" s="3" customFormat="1" ht="19.5" thickBot="1" x14ac:dyDescent="0.35">
      <c r="A71" s="142" t="s">
        <v>65</v>
      </c>
      <c r="B71" s="145" t="s">
        <v>243</v>
      </c>
      <c r="C71" s="284">
        <v>25857</v>
      </c>
      <c r="D71" s="136"/>
      <c r="E71" s="221">
        <f t="shared" si="0"/>
        <v>25857</v>
      </c>
      <c r="F71" s="187">
        <f t="shared" si="1"/>
        <v>25857</v>
      </c>
      <c r="G71" s="246">
        <f t="shared" si="2"/>
        <v>0</v>
      </c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>
        <v>1340.91</v>
      </c>
      <c r="S71" s="239">
        <v>9978.69</v>
      </c>
      <c r="T71" s="239"/>
      <c r="U71" s="239"/>
      <c r="V71" s="239"/>
      <c r="W71" s="239"/>
      <c r="X71" s="239"/>
      <c r="Y71" s="239"/>
      <c r="Z71" s="239"/>
      <c r="AA71" s="239"/>
      <c r="AB71" s="239"/>
      <c r="AC71" s="239">
        <f>1814.68+12722.72</f>
        <v>14537.4</v>
      </c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</row>
    <row r="72" spans="1:39" s="3" customFormat="1" ht="19.5" thickBot="1" x14ac:dyDescent="0.35">
      <c r="A72" s="142" t="s">
        <v>66</v>
      </c>
      <c r="B72" s="145" t="s">
        <v>244</v>
      </c>
      <c r="C72" s="284">
        <v>112070</v>
      </c>
      <c r="D72" s="136"/>
      <c r="E72" s="221">
        <f t="shared" si="0"/>
        <v>112070</v>
      </c>
      <c r="F72" s="187">
        <f t="shared" si="1"/>
        <v>112070</v>
      </c>
      <c r="G72" s="246">
        <f t="shared" si="2"/>
        <v>0</v>
      </c>
      <c r="H72" s="239"/>
      <c r="I72" s="239"/>
      <c r="J72" s="239"/>
      <c r="K72" s="239"/>
      <c r="L72" s="239"/>
      <c r="M72" s="239"/>
      <c r="N72" s="239"/>
      <c r="O72" s="239"/>
      <c r="P72" s="239">
        <v>16728</v>
      </c>
      <c r="Q72" s="239"/>
      <c r="R72" s="239">
        <v>30101</v>
      </c>
      <c r="S72" s="239">
        <v>7728</v>
      </c>
      <c r="T72" s="239"/>
      <c r="U72" s="239">
        <v>2978</v>
      </c>
      <c r="V72" s="239"/>
      <c r="W72" s="239"/>
      <c r="X72" s="239"/>
      <c r="Y72" s="239">
        <v>31015</v>
      </c>
      <c r="Z72" s="239"/>
      <c r="AA72" s="239">
        <v>11364</v>
      </c>
      <c r="AB72" s="239"/>
      <c r="AC72" s="239">
        <v>12156</v>
      </c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</row>
    <row r="73" spans="1:39" s="3" customFormat="1" ht="19.5" thickBot="1" x14ac:dyDescent="0.35">
      <c r="A73" s="142" t="s">
        <v>67</v>
      </c>
      <c r="B73" s="145" t="s">
        <v>457</v>
      </c>
      <c r="C73" s="284">
        <v>10000</v>
      </c>
      <c r="D73" s="136"/>
      <c r="E73" s="221">
        <f t="shared" si="0"/>
        <v>10000</v>
      </c>
      <c r="F73" s="187">
        <f t="shared" si="1"/>
        <v>10000</v>
      </c>
      <c r="G73" s="246">
        <f t="shared" si="2"/>
        <v>0</v>
      </c>
      <c r="H73" s="239"/>
      <c r="I73" s="239"/>
      <c r="J73" s="239"/>
      <c r="K73" s="239"/>
      <c r="L73" s="239"/>
      <c r="M73" s="239"/>
      <c r="N73" s="239"/>
      <c r="O73" s="239"/>
      <c r="P73" s="239">
        <v>8000</v>
      </c>
      <c r="Q73" s="239"/>
      <c r="R73" s="239">
        <v>1000</v>
      </c>
      <c r="S73" s="239"/>
      <c r="T73" s="239"/>
      <c r="U73" s="239"/>
      <c r="V73" s="239"/>
      <c r="W73" s="239"/>
      <c r="X73" s="239"/>
      <c r="Y73" s="239"/>
      <c r="Z73" s="239"/>
      <c r="AA73" s="239">
        <v>1000</v>
      </c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</row>
    <row r="74" spans="1:39" s="3" customFormat="1" ht="19.5" thickBot="1" x14ac:dyDescent="0.35">
      <c r="A74" s="142" t="s">
        <v>68</v>
      </c>
      <c r="B74" s="145" t="s">
        <v>591</v>
      </c>
      <c r="C74" s="284">
        <v>10000</v>
      </c>
      <c r="D74" s="136"/>
      <c r="E74" s="221">
        <f t="shared" si="0"/>
        <v>10000</v>
      </c>
      <c r="F74" s="187">
        <f t="shared" si="1"/>
        <v>10000</v>
      </c>
      <c r="G74" s="246">
        <f t="shared" si="2"/>
        <v>0</v>
      </c>
      <c r="H74" s="239"/>
      <c r="I74" s="239"/>
      <c r="J74" s="239"/>
      <c r="K74" s="239"/>
      <c r="L74" s="239"/>
      <c r="M74" s="239"/>
      <c r="N74" s="239"/>
      <c r="O74" s="239"/>
      <c r="P74" s="239"/>
      <c r="Q74" s="239">
        <v>10000</v>
      </c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</row>
    <row r="75" spans="1:39" s="3" customFormat="1" ht="19.5" thickBot="1" x14ac:dyDescent="0.35">
      <c r="A75" s="142" t="s">
        <v>69</v>
      </c>
      <c r="B75" s="145" t="s">
        <v>459</v>
      </c>
      <c r="C75" s="284">
        <v>64178</v>
      </c>
      <c r="D75" s="136"/>
      <c r="E75" s="221">
        <f t="shared" si="0"/>
        <v>64178</v>
      </c>
      <c r="F75" s="187">
        <f t="shared" si="1"/>
        <v>64178</v>
      </c>
      <c r="G75" s="246">
        <f t="shared" si="2"/>
        <v>0</v>
      </c>
      <c r="H75" s="239"/>
      <c r="I75" s="239"/>
      <c r="J75" s="239"/>
      <c r="K75" s="239"/>
      <c r="L75" s="239">
        <v>22124</v>
      </c>
      <c r="M75" s="239"/>
      <c r="N75" s="239"/>
      <c r="O75" s="239"/>
      <c r="P75" s="239">
        <v>5452</v>
      </c>
      <c r="Q75" s="239"/>
      <c r="R75" s="239"/>
      <c r="S75" s="239">
        <f>16217+4870</f>
        <v>21087</v>
      </c>
      <c r="T75" s="239"/>
      <c r="U75" s="239">
        <v>13702</v>
      </c>
      <c r="V75" s="239"/>
      <c r="W75" s="239"/>
      <c r="X75" s="239"/>
      <c r="Y75" s="239"/>
      <c r="Z75" s="239"/>
      <c r="AA75" s="239"/>
      <c r="AB75" s="239"/>
      <c r="AC75" s="239"/>
      <c r="AD75" s="239"/>
      <c r="AE75" s="239">
        <v>1813</v>
      </c>
      <c r="AF75" s="239"/>
      <c r="AG75" s="239"/>
      <c r="AH75" s="239"/>
      <c r="AI75" s="239"/>
      <c r="AJ75" s="239"/>
      <c r="AK75" s="239"/>
      <c r="AL75" s="239"/>
      <c r="AM75" s="239"/>
    </row>
    <row r="76" spans="1:39" s="3" customFormat="1" ht="19.5" thickBot="1" x14ac:dyDescent="0.35">
      <c r="A76" s="142" t="s">
        <v>70</v>
      </c>
      <c r="B76" s="145" t="s">
        <v>461</v>
      </c>
      <c r="C76" s="284">
        <v>25164</v>
      </c>
      <c r="D76" s="136"/>
      <c r="E76" s="221">
        <f t="shared" si="0"/>
        <v>25164</v>
      </c>
      <c r="F76" s="187">
        <f t="shared" si="1"/>
        <v>25164.000000000004</v>
      </c>
      <c r="G76" s="246">
        <f t="shared" si="2"/>
        <v>0</v>
      </c>
      <c r="H76" s="239"/>
      <c r="I76" s="239"/>
      <c r="J76" s="239"/>
      <c r="K76" s="239">
        <v>6649.81</v>
      </c>
      <c r="L76" s="239"/>
      <c r="M76" s="239"/>
      <c r="N76" s="239"/>
      <c r="O76" s="239"/>
      <c r="P76" s="239"/>
      <c r="Q76" s="239"/>
      <c r="R76" s="239">
        <v>6911.97</v>
      </c>
      <c r="S76" s="239">
        <v>6711.01</v>
      </c>
      <c r="T76" s="239">
        <v>3195.15</v>
      </c>
      <c r="U76" s="239"/>
      <c r="V76" s="239"/>
      <c r="W76" s="239"/>
      <c r="X76" s="239"/>
      <c r="Y76" s="239"/>
      <c r="Z76" s="239"/>
      <c r="AA76" s="239">
        <v>1696.06</v>
      </c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</row>
    <row r="77" spans="1:39" s="3" customFormat="1" ht="19.5" thickBot="1" x14ac:dyDescent="0.35">
      <c r="A77" s="142" t="s">
        <v>71</v>
      </c>
      <c r="B77" s="145" t="s">
        <v>462</v>
      </c>
      <c r="C77" s="284">
        <v>10000</v>
      </c>
      <c r="D77" s="136"/>
      <c r="E77" s="221">
        <f t="shared" ref="E77:E140" si="3">C77</f>
        <v>10000</v>
      </c>
      <c r="F77" s="187">
        <f t="shared" ref="F77:F140" si="4">SUM(H77:AK77)</f>
        <v>10000</v>
      </c>
      <c r="G77" s="246">
        <f t="shared" ref="G77:G140" si="5">E77-(F77+AL77+AM77)</f>
        <v>0</v>
      </c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>
        <v>10000</v>
      </c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</row>
    <row r="78" spans="1:39" s="3" customFormat="1" ht="19.5" thickBot="1" x14ac:dyDescent="0.35">
      <c r="A78" s="142" t="s">
        <v>72</v>
      </c>
      <c r="B78" s="145" t="s">
        <v>463</v>
      </c>
      <c r="C78" s="284">
        <v>36244</v>
      </c>
      <c r="D78" s="136"/>
      <c r="E78" s="221">
        <f t="shared" si="3"/>
        <v>36244</v>
      </c>
      <c r="F78" s="187">
        <f t="shared" si="4"/>
        <v>36244</v>
      </c>
      <c r="G78" s="246">
        <f t="shared" si="5"/>
        <v>0</v>
      </c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>
        <v>36244</v>
      </c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</row>
    <row r="79" spans="1:39" s="3" customFormat="1" ht="19.5" thickBot="1" x14ac:dyDescent="0.35">
      <c r="A79" s="142" t="s">
        <v>73</v>
      </c>
      <c r="B79" s="145" t="s">
        <v>465</v>
      </c>
      <c r="C79" s="284">
        <v>43495</v>
      </c>
      <c r="D79" s="136"/>
      <c r="E79" s="221">
        <f t="shared" si="3"/>
        <v>43495</v>
      </c>
      <c r="F79" s="187">
        <f t="shared" si="4"/>
        <v>20993.040000000001</v>
      </c>
      <c r="G79" s="246">
        <f t="shared" si="5"/>
        <v>22501.96</v>
      </c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>
        <v>20993.040000000001</v>
      </c>
      <c r="AI79" s="239"/>
      <c r="AJ79" s="239"/>
      <c r="AK79" s="239"/>
      <c r="AL79" s="239"/>
      <c r="AM79" s="239"/>
    </row>
    <row r="80" spans="1:39" s="3" customFormat="1" ht="19.5" thickBot="1" x14ac:dyDescent="0.35">
      <c r="A80" s="142" t="s">
        <v>74</v>
      </c>
      <c r="B80" s="145" t="s">
        <v>252</v>
      </c>
      <c r="C80" s="284">
        <v>11965</v>
      </c>
      <c r="D80" s="136"/>
      <c r="E80" s="221">
        <f t="shared" si="3"/>
        <v>11965</v>
      </c>
      <c r="F80" s="187">
        <f t="shared" si="4"/>
        <v>11965</v>
      </c>
      <c r="G80" s="246">
        <f t="shared" si="5"/>
        <v>0</v>
      </c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>
        <v>11097</v>
      </c>
      <c r="AF80" s="239"/>
      <c r="AG80" s="239"/>
      <c r="AH80" s="239">
        <v>868</v>
      </c>
      <c r="AI80" s="239"/>
      <c r="AJ80" s="239"/>
      <c r="AK80" s="239"/>
      <c r="AL80" s="239"/>
      <c r="AM80" s="239"/>
    </row>
    <row r="81" spans="1:39" s="3" customFormat="1" ht="19.5" thickBot="1" x14ac:dyDescent="0.35">
      <c r="A81" s="142" t="s">
        <v>75</v>
      </c>
      <c r="B81" s="145" t="s">
        <v>466</v>
      </c>
      <c r="C81" s="284">
        <v>10000</v>
      </c>
      <c r="D81" s="136"/>
      <c r="E81" s="221">
        <f t="shared" si="3"/>
        <v>10000</v>
      </c>
      <c r="F81" s="187">
        <f t="shared" si="4"/>
        <v>8508</v>
      </c>
      <c r="G81" s="246">
        <f t="shared" si="5"/>
        <v>1492</v>
      </c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>
        <v>8508</v>
      </c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</row>
    <row r="82" spans="1:39" s="3" customFormat="1" ht="19.5" thickBot="1" x14ac:dyDescent="0.35">
      <c r="A82" s="142" t="s">
        <v>76</v>
      </c>
      <c r="B82" s="145" t="s">
        <v>468</v>
      </c>
      <c r="C82" s="284">
        <v>10000</v>
      </c>
      <c r="D82" s="136"/>
      <c r="E82" s="221">
        <f t="shared" si="3"/>
        <v>10000</v>
      </c>
      <c r="F82" s="187">
        <f t="shared" si="4"/>
        <v>10000</v>
      </c>
      <c r="G82" s="246">
        <f t="shared" si="5"/>
        <v>0</v>
      </c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>
        <v>10000</v>
      </c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</row>
    <row r="83" spans="1:39" s="3" customFormat="1" ht="19.5" thickBot="1" x14ac:dyDescent="0.35">
      <c r="A83" s="142" t="s">
        <v>77</v>
      </c>
      <c r="B83" s="145" t="s">
        <v>255</v>
      </c>
      <c r="C83" s="284">
        <v>10000</v>
      </c>
      <c r="D83" s="136"/>
      <c r="E83" s="221">
        <f t="shared" si="3"/>
        <v>10000</v>
      </c>
      <c r="F83" s="187">
        <f t="shared" si="4"/>
        <v>10000</v>
      </c>
      <c r="G83" s="246">
        <f t="shared" si="5"/>
        <v>0</v>
      </c>
      <c r="H83" s="239"/>
      <c r="I83" s="239"/>
      <c r="J83" s="239"/>
      <c r="K83" s="239"/>
      <c r="L83" s="239"/>
      <c r="M83" s="239">
        <v>2026.96</v>
      </c>
      <c r="N83" s="239"/>
      <c r="O83" s="239">
        <v>1814.6</v>
      </c>
      <c r="P83" s="239"/>
      <c r="Q83" s="239"/>
      <c r="R83" s="239">
        <v>3630.04</v>
      </c>
      <c r="S83" s="239"/>
      <c r="T83" s="239"/>
      <c r="U83" s="239"/>
      <c r="V83" s="239">
        <v>2528.4</v>
      </c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</row>
    <row r="84" spans="1:39" s="3" customFormat="1" ht="19.5" thickBot="1" x14ac:dyDescent="0.35">
      <c r="A84" s="142" t="s">
        <v>78</v>
      </c>
      <c r="B84" s="145" t="s">
        <v>256</v>
      </c>
      <c r="C84" s="284">
        <v>16658</v>
      </c>
      <c r="D84" s="136"/>
      <c r="E84" s="221">
        <f t="shared" si="3"/>
        <v>16658</v>
      </c>
      <c r="F84" s="187">
        <f t="shared" si="4"/>
        <v>16658</v>
      </c>
      <c r="G84" s="246">
        <f t="shared" si="5"/>
        <v>0</v>
      </c>
      <c r="H84" s="239"/>
      <c r="I84" s="239"/>
      <c r="J84" s="239"/>
      <c r="K84" s="239"/>
      <c r="L84" s="239"/>
      <c r="M84" s="239"/>
      <c r="N84" s="266"/>
      <c r="O84" s="239">
        <v>8326</v>
      </c>
      <c r="P84" s="239"/>
      <c r="Q84" s="239"/>
      <c r="R84" s="239">
        <v>8329</v>
      </c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>
        <v>3</v>
      </c>
      <c r="AE84" s="239"/>
      <c r="AF84" s="239"/>
      <c r="AG84" s="239"/>
      <c r="AH84" s="239"/>
      <c r="AI84" s="239"/>
      <c r="AJ84" s="239"/>
      <c r="AK84" s="239"/>
      <c r="AL84" s="239"/>
      <c r="AM84" s="239"/>
    </row>
    <row r="85" spans="1:39" s="3" customFormat="1" ht="19.5" thickBot="1" x14ac:dyDescent="0.35">
      <c r="A85" s="142" t="s">
        <v>79</v>
      </c>
      <c r="B85" s="145" t="s">
        <v>257</v>
      </c>
      <c r="C85" s="284">
        <v>10000</v>
      </c>
      <c r="D85" s="136"/>
      <c r="E85" s="221">
        <f t="shared" si="3"/>
        <v>10000</v>
      </c>
      <c r="F85" s="187">
        <f t="shared" si="4"/>
        <v>10000</v>
      </c>
      <c r="G85" s="246">
        <f t="shared" si="5"/>
        <v>0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>
        <v>10000</v>
      </c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</row>
    <row r="86" spans="1:39" s="3" customFormat="1" ht="19.5" thickBot="1" x14ac:dyDescent="0.35">
      <c r="A86" s="142" t="s">
        <v>80</v>
      </c>
      <c r="B86" s="145" t="s">
        <v>474</v>
      </c>
      <c r="C86" s="284">
        <v>19011</v>
      </c>
      <c r="D86" s="136"/>
      <c r="E86" s="221">
        <f t="shared" si="3"/>
        <v>19011</v>
      </c>
      <c r="F86" s="187">
        <f t="shared" si="4"/>
        <v>0</v>
      </c>
      <c r="G86" s="246">
        <f t="shared" si="5"/>
        <v>19011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66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</row>
    <row r="87" spans="1:39" s="3" customFormat="1" ht="19.5" thickBot="1" x14ac:dyDescent="0.35">
      <c r="A87" s="142" t="s">
        <v>81</v>
      </c>
      <c r="B87" s="145" t="s">
        <v>476</v>
      </c>
      <c r="C87" s="284">
        <v>10000</v>
      </c>
      <c r="D87" s="136"/>
      <c r="E87" s="221">
        <f t="shared" si="3"/>
        <v>10000</v>
      </c>
      <c r="F87" s="187">
        <f t="shared" si="4"/>
        <v>10000</v>
      </c>
      <c r="G87" s="246">
        <f t="shared" si="5"/>
        <v>0</v>
      </c>
      <c r="H87" s="239"/>
      <c r="I87" s="239"/>
      <c r="J87" s="239"/>
      <c r="K87" s="239">
        <v>2257</v>
      </c>
      <c r="L87" s="239"/>
      <c r="M87" s="239">
        <v>1702</v>
      </c>
      <c r="N87" s="239">
        <v>851</v>
      </c>
      <c r="O87" s="239"/>
      <c r="P87" s="239">
        <v>1702</v>
      </c>
      <c r="Q87" s="239">
        <v>851</v>
      </c>
      <c r="R87" s="239"/>
      <c r="S87" s="239">
        <f>1702+851</f>
        <v>2553</v>
      </c>
      <c r="T87" s="239"/>
      <c r="U87" s="239"/>
      <c r="V87" s="239">
        <v>8</v>
      </c>
      <c r="W87" s="239">
        <v>76</v>
      </c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</row>
    <row r="88" spans="1:39" s="3" customFormat="1" ht="19.5" thickBot="1" x14ac:dyDescent="0.35">
      <c r="A88" s="142" t="s">
        <v>82</v>
      </c>
      <c r="B88" s="145" t="s">
        <v>260</v>
      </c>
      <c r="C88" s="284">
        <v>10000</v>
      </c>
      <c r="D88" s="136"/>
      <c r="E88" s="221">
        <f t="shared" si="3"/>
        <v>10000</v>
      </c>
      <c r="F88" s="187">
        <f t="shared" si="4"/>
        <v>10000</v>
      </c>
      <c r="G88" s="246">
        <f t="shared" si="5"/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66"/>
      <c r="R88" s="239"/>
      <c r="S88" s="239"/>
      <c r="T88" s="239"/>
      <c r="U88" s="239"/>
      <c r="V88" s="239"/>
      <c r="W88" s="239">
        <v>10000</v>
      </c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</row>
    <row r="89" spans="1:39" s="3" customFormat="1" ht="19.5" thickBot="1" x14ac:dyDescent="0.35">
      <c r="A89" s="142" t="s">
        <v>83</v>
      </c>
      <c r="B89" s="145" t="s">
        <v>261</v>
      </c>
      <c r="C89" s="284">
        <v>611135</v>
      </c>
      <c r="D89" s="136"/>
      <c r="E89" s="221">
        <f t="shared" si="3"/>
        <v>611135</v>
      </c>
      <c r="F89" s="187">
        <f t="shared" si="4"/>
        <v>611135</v>
      </c>
      <c r="G89" s="246">
        <f t="shared" si="5"/>
        <v>0</v>
      </c>
      <c r="H89" s="239"/>
      <c r="I89" s="239"/>
      <c r="J89" s="239"/>
      <c r="K89" s="239"/>
      <c r="L89" s="239"/>
      <c r="M89" s="239"/>
      <c r="N89" s="239"/>
      <c r="O89" s="239">
        <v>50497.88</v>
      </c>
      <c r="P89" s="239"/>
      <c r="Q89" s="239">
        <f>48868.22+46379.14</f>
        <v>95247.360000000001</v>
      </c>
      <c r="R89" s="239">
        <v>56801.84</v>
      </c>
      <c r="S89" s="239">
        <v>44881.47</v>
      </c>
      <c r="T89" s="239">
        <v>46497.18</v>
      </c>
      <c r="U89" s="239"/>
      <c r="V89" s="239"/>
      <c r="W89" s="239">
        <v>77687.7</v>
      </c>
      <c r="X89" s="239"/>
      <c r="Y89" s="239"/>
      <c r="Z89" s="239"/>
      <c r="AA89" s="239"/>
      <c r="AB89" s="239">
        <v>239521.57</v>
      </c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</row>
    <row r="90" spans="1:39" s="3" customFormat="1" ht="19.5" thickBot="1" x14ac:dyDescent="0.35">
      <c r="A90" s="142" t="s">
        <v>84</v>
      </c>
      <c r="B90" s="145" t="s">
        <v>479</v>
      </c>
      <c r="C90" s="284">
        <v>10000</v>
      </c>
      <c r="D90" s="136"/>
      <c r="E90" s="221">
        <f t="shared" si="3"/>
        <v>10000</v>
      </c>
      <c r="F90" s="187">
        <f t="shared" si="4"/>
        <v>10000</v>
      </c>
      <c r="G90" s="246">
        <f t="shared" si="5"/>
        <v>0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>
        <v>10000</v>
      </c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</row>
    <row r="91" spans="1:39" s="3" customFormat="1" ht="19.5" thickBot="1" x14ac:dyDescent="0.35">
      <c r="A91" s="142" t="s">
        <v>85</v>
      </c>
      <c r="B91" s="145" t="s">
        <v>481</v>
      </c>
      <c r="C91" s="284">
        <v>10000</v>
      </c>
      <c r="D91" s="136"/>
      <c r="E91" s="221">
        <f t="shared" si="3"/>
        <v>10000</v>
      </c>
      <c r="F91" s="187">
        <f t="shared" si="4"/>
        <v>10000</v>
      </c>
      <c r="G91" s="246">
        <f t="shared" si="5"/>
        <v>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>
        <v>10000</v>
      </c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</row>
    <row r="92" spans="1:39" s="3" customFormat="1" ht="19.5" thickBot="1" x14ac:dyDescent="0.35">
      <c r="A92" s="142" t="s">
        <v>86</v>
      </c>
      <c r="B92" s="145" t="s">
        <v>264</v>
      </c>
      <c r="C92" s="284">
        <v>10000</v>
      </c>
      <c r="D92" s="136">
        <v>9025</v>
      </c>
      <c r="E92" s="272">
        <v>0</v>
      </c>
      <c r="F92" s="187">
        <f t="shared" si="4"/>
        <v>0</v>
      </c>
      <c r="G92" s="246">
        <f t="shared" si="5"/>
        <v>0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</row>
    <row r="93" spans="1:39" s="3" customFormat="1" ht="19.5" thickBot="1" x14ac:dyDescent="0.35">
      <c r="A93" s="142" t="s">
        <v>87</v>
      </c>
      <c r="B93" s="145" t="s">
        <v>265</v>
      </c>
      <c r="C93" s="284">
        <v>10000</v>
      </c>
      <c r="D93" s="136">
        <v>9025</v>
      </c>
      <c r="E93" s="272">
        <v>0</v>
      </c>
      <c r="F93" s="187">
        <f t="shared" si="4"/>
        <v>0</v>
      </c>
      <c r="G93" s="246">
        <f t="shared" si="5"/>
        <v>0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</row>
    <row r="94" spans="1:39" s="3" customFormat="1" ht="19.5" thickBot="1" x14ac:dyDescent="0.35">
      <c r="A94" s="142" t="s">
        <v>88</v>
      </c>
      <c r="B94" s="145" t="s">
        <v>266</v>
      </c>
      <c r="C94" s="284">
        <v>10000</v>
      </c>
      <c r="D94" s="136">
        <v>9025</v>
      </c>
      <c r="E94" s="272">
        <v>0</v>
      </c>
      <c r="F94" s="187">
        <f t="shared" si="4"/>
        <v>0</v>
      </c>
      <c r="G94" s="246">
        <f t="shared" si="5"/>
        <v>0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</row>
    <row r="95" spans="1:39" s="3" customFormat="1" ht="19.5" thickBot="1" x14ac:dyDescent="0.35">
      <c r="A95" s="142" t="s">
        <v>89</v>
      </c>
      <c r="B95" s="145" t="s">
        <v>267</v>
      </c>
      <c r="C95" s="284">
        <v>10000</v>
      </c>
      <c r="D95" s="136">
        <v>9025</v>
      </c>
      <c r="E95" s="272">
        <v>0</v>
      </c>
      <c r="F95" s="187">
        <f t="shared" si="4"/>
        <v>0</v>
      </c>
      <c r="G95" s="246">
        <f t="shared" si="5"/>
        <v>0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</row>
    <row r="96" spans="1:39" s="3" customFormat="1" ht="19.5" thickBot="1" x14ac:dyDescent="0.35">
      <c r="A96" s="142" t="s">
        <v>90</v>
      </c>
      <c r="B96" s="145" t="s">
        <v>483</v>
      </c>
      <c r="C96" s="284">
        <v>11920</v>
      </c>
      <c r="D96" s="136">
        <v>9025</v>
      </c>
      <c r="E96" s="272">
        <v>0</v>
      </c>
      <c r="F96" s="187">
        <f t="shared" si="4"/>
        <v>0</v>
      </c>
      <c r="G96" s="246">
        <f t="shared" si="5"/>
        <v>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</row>
    <row r="97" spans="1:39" s="3" customFormat="1" ht="19.5" thickBot="1" x14ac:dyDescent="0.35">
      <c r="A97" s="142" t="s">
        <v>91</v>
      </c>
      <c r="B97" s="145" t="s">
        <v>269</v>
      </c>
      <c r="C97" s="284">
        <v>17098</v>
      </c>
      <c r="D97" s="136"/>
      <c r="E97" s="221">
        <f t="shared" si="3"/>
        <v>17098</v>
      </c>
      <c r="F97" s="187">
        <f t="shared" si="4"/>
        <v>17098</v>
      </c>
      <c r="G97" s="246">
        <f t="shared" si="5"/>
        <v>0</v>
      </c>
      <c r="H97" s="239"/>
      <c r="I97" s="239"/>
      <c r="J97" s="239"/>
      <c r="K97" s="239"/>
      <c r="L97" s="239"/>
      <c r="M97" s="239"/>
      <c r="N97" s="239">
        <f>6077+1561.02</f>
        <v>7638.02</v>
      </c>
      <c r="O97" s="239">
        <v>1561.08</v>
      </c>
      <c r="P97" s="239">
        <v>1561.08</v>
      </c>
      <c r="Q97" s="239">
        <v>1562.04</v>
      </c>
      <c r="R97" s="239">
        <v>1561.08</v>
      </c>
      <c r="S97" s="239">
        <v>3214.7</v>
      </c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</row>
    <row r="98" spans="1:39" s="3" customFormat="1" ht="19.5" thickBot="1" x14ac:dyDescent="0.35">
      <c r="A98" s="142" t="s">
        <v>92</v>
      </c>
      <c r="B98" s="145" t="s">
        <v>270</v>
      </c>
      <c r="C98" s="284">
        <v>38647</v>
      </c>
      <c r="D98" s="136"/>
      <c r="E98" s="221">
        <f t="shared" si="3"/>
        <v>38647</v>
      </c>
      <c r="F98" s="187">
        <f t="shared" si="4"/>
        <v>38647</v>
      </c>
      <c r="G98" s="246">
        <f t="shared" si="5"/>
        <v>0</v>
      </c>
      <c r="H98" s="239"/>
      <c r="I98" s="239"/>
      <c r="J98" s="239"/>
      <c r="K98" s="239"/>
      <c r="L98" s="239"/>
      <c r="M98" s="239"/>
      <c r="N98" s="239"/>
      <c r="O98" s="239"/>
      <c r="P98" s="239">
        <v>10458.1</v>
      </c>
      <c r="Q98" s="239"/>
      <c r="R98" s="239"/>
      <c r="S98" s="239">
        <f>7303.69+1619.09</f>
        <v>8922.7799999999988</v>
      </c>
      <c r="T98" s="239"/>
      <c r="U98" s="239"/>
      <c r="V98" s="239">
        <v>12933.33</v>
      </c>
      <c r="W98" s="239"/>
      <c r="X98" s="239"/>
      <c r="Y98" s="239"/>
      <c r="Z98" s="239"/>
      <c r="AA98" s="239"/>
      <c r="AB98" s="239"/>
      <c r="AC98" s="239"/>
      <c r="AD98" s="239"/>
      <c r="AE98" s="239">
        <v>6332.79</v>
      </c>
      <c r="AF98" s="239"/>
      <c r="AG98" s="239"/>
      <c r="AH98" s="239"/>
      <c r="AI98" s="239"/>
      <c r="AJ98" s="239"/>
      <c r="AK98" s="239"/>
      <c r="AL98" s="239"/>
      <c r="AM98" s="239"/>
    </row>
    <row r="99" spans="1:39" s="3" customFormat="1" ht="19.5" thickBot="1" x14ac:dyDescent="0.35">
      <c r="A99" s="142" t="s">
        <v>93</v>
      </c>
      <c r="B99" s="145" t="s">
        <v>271</v>
      </c>
      <c r="C99" s="284">
        <v>10000</v>
      </c>
      <c r="D99" s="136"/>
      <c r="E99" s="221">
        <f t="shared" si="3"/>
        <v>10000</v>
      </c>
      <c r="F99" s="187">
        <f t="shared" si="4"/>
        <v>10000</v>
      </c>
      <c r="G99" s="246">
        <f t="shared" si="5"/>
        <v>0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>
        <v>9582</v>
      </c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>
        <v>418</v>
      </c>
      <c r="AF99" s="239"/>
      <c r="AG99" s="239"/>
      <c r="AH99" s="239"/>
      <c r="AI99" s="239"/>
      <c r="AJ99" s="239"/>
      <c r="AK99" s="239"/>
      <c r="AL99" s="239"/>
      <c r="AM99" s="239"/>
    </row>
    <row r="100" spans="1:39" s="3" customFormat="1" ht="19.5" thickBot="1" x14ac:dyDescent="0.35">
      <c r="A100" s="142" t="s">
        <v>94</v>
      </c>
      <c r="B100" s="145" t="s">
        <v>487</v>
      </c>
      <c r="C100" s="284">
        <v>10000</v>
      </c>
      <c r="D100" s="136"/>
      <c r="E100" s="221">
        <f t="shared" si="3"/>
        <v>10000</v>
      </c>
      <c r="F100" s="187">
        <f t="shared" si="4"/>
        <v>3740.95</v>
      </c>
      <c r="G100" s="246">
        <f t="shared" si="5"/>
        <v>6259.05</v>
      </c>
      <c r="H100" s="239"/>
      <c r="I100" s="239"/>
      <c r="J100" s="239"/>
      <c r="K100" s="239"/>
      <c r="L100" s="239"/>
      <c r="M100" s="239"/>
      <c r="N100" s="239"/>
      <c r="O100" s="239"/>
      <c r="P100" s="239">
        <v>57</v>
      </c>
      <c r="Q100" s="239"/>
      <c r="R100" s="239"/>
      <c r="S100" s="239">
        <v>3683.95</v>
      </c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</row>
    <row r="101" spans="1:39" s="3" customFormat="1" ht="19.5" thickBot="1" x14ac:dyDescent="0.35">
      <c r="A101" s="142" t="s">
        <v>95</v>
      </c>
      <c r="B101" s="145" t="s">
        <v>273</v>
      </c>
      <c r="C101" s="284">
        <v>188116</v>
      </c>
      <c r="D101" s="136"/>
      <c r="E101" s="221">
        <f t="shared" si="3"/>
        <v>188116</v>
      </c>
      <c r="F101" s="187">
        <f t="shared" si="4"/>
        <v>23268.36</v>
      </c>
      <c r="G101" s="246">
        <f t="shared" si="5"/>
        <v>164847.64000000001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>
        <v>23268.36</v>
      </c>
      <c r="AH101" s="239"/>
      <c r="AI101" s="239"/>
      <c r="AJ101" s="239"/>
      <c r="AK101" s="239"/>
      <c r="AL101" s="239"/>
      <c r="AM101" s="239"/>
    </row>
    <row r="102" spans="1:39" s="3" customFormat="1" ht="19.5" thickBot="1" x14ac:dyDescent="0.35">
      <c r="A102" s="142" t="s">
        <v>96</v>
      </c>
      <c r="B102" s="145" t="s">
        <v>489</v>
      </c>
      <c r="C102" s="284">
        <v>112634</v>
      </c>
      <c r="D102" s="136"/>
      <c r="E102" s="221">
        <f t="shared" si="3"/>
        <v>112634</v>
      </c>
      <c r="F102" s="187">
        <f t="shared" si="4"/>
        <v>99686.23000000001</v>
      </c>
      <c r="G102" s="246">
        <f t="shared" si="5"/>
        <v>12947.76999999999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>
        <v>19192.77</v>
      </c>
      <c r="X102" s="239"/>
      <c r="Y102" s="239"/>
      <c r="Z102" s="239"/>
      <c r="AA102" s="239"/>
      <c r="AB102" s="239"/>
      <c r="AC102" s="239"/>
      <c r="AD102" s="239"/>
      <c r="AE102" s="239">
        <v>80493.460000000006</v>
      </c>
      <c r="AF102" s="239"/>
      <c r="AG102" s="239"/>
      <c r="AH102" s="239"/>
      <c r="AI102" s="239"/>
      <c r="AJ102" s="239"/>
      <c r="AK102" s="239"/>
      <c r="AL102" s="239"/>
      <c r="AM102" s="239"/>
    </row>
    <row r="103" spans="1:39" s="3" customFormat="1" ht="19.5" thickBot="1" x14ac:dyDescent="0.35">
      <c r="A103" s="142" t="s">
        <v>97</v>
      </c>
      <c r="B103" s="145" t="s">
        <v>490</v>
      </c>
      <c r="C103" s="284">
        <v>20546</v>
      </c>
      <c r="D103" s="136"/>
      <c r="E103" s="221">
        <f t="shared" si="3"/>
        <v>20546</v>
      </c>
      <c r="F103" s="187">
        <f t="shared" si="4"/>
        <v>0</v>
      </c>
      <c r="G103" s="246">
        <f t="shared" si="5"/>
        <v>20546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</row>
    <row r="104" spans="1:39" s="3" customFormat="1" ht="19.5" thickBot="1" x14ac:dyDescent="0.35">
      <c r="A104" s="142" t="s">
        <v>98</v>
      </c>
      <c r="B104" s="145" t="s">
        <v>276</v>
      </c>
      <c r="C104" s="284">
        <v>26523</v>
      </c>
      <c r="D104" s="136"/>
      <c r="E104" s="221">
        <f t="shared" si="3"/>
        <v>26523</v>
      </c>
      <c r="F104" s="187">
        <f t="shared" si="4"/>
        <v>26523</v>
      </c>
      <c r="G104" s="246">
        <f t="shared" si="5"/>
        <v>0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39">
        <v>26523</v>
      </c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</row>
    <row r="105" spans="1:39" s="3" customFormat="1" ht="19.5" thickBot="1" x14ac:dyDescent="0.35">
      <c r="A105" s="142" t="s">
        <v>99</v>
      </c>
      <c r="B105" s="145" t="s">
        <v>277</v>
      </c>
      <c r="C105" s="284">
        <v>10000</v>
      </c>
      <c r="D105" s="136"/>
      <c r="E105" s="221">
        <f t="shared" si="3"/>
        <v>10000</v>
      </c>
      <c r="F105" s="187">
        <f t="shared" si="4"/>
        <v>10000</v>
      </c>
      <c r="G105" s="246">
        <f t="shared" si="5"/>
        <v>0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>
        <v>10000</v>
      </c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</row>
    <row r="106" spans="1:39" s="3" customFormat="1" ht="19.5" thickBot="1" x14ac:dyDescent="0.35">
      <c r="A106" s="142" t="s">
        <v>100</v>
      </c>
      <c r="B106" s="145" t="s">
        <v>278</v>
      </c>
      <c r="C106" s="284">
        <v>10000</v>
      </c>
      <c r="D106" s="136"/>
      <c r="E106" s="221">
        <f t="shared" si="3"/>
        <v>10000</v>
      </c>
      <c r="F106" s="187">
        <f t="shared" si="4"/>
        <v>10000</v>
      </c>
      <c r="G106" s="246">
        <f t="shared" si="5"/>
        <v>0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>
        <v>8000</v>
      </c>
      <c r="S106" s="239">
        <v>2000</v>
      </c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</row>
    <row r="107" spans="1:39" s="3" customFormat="1" ht="19.5" thickBot="1" x14ac:dyDescent="0.35">
      <c r="A107" s="142" t="s">
        <v>101</v>
      </c>
      <c r="B107" s="145" t="s">
        <v>492</v>
      </c>
      <c r="C107" s="284">
        <v>10000</v>
      </c>
      <c r="D107" s="136"/>
      <c r="E107" s="221">
        <f t="shared" si="3"/>
        <v>10000</v>
      </c>
      <c r="F107" s="187">
        <f t="shared" si="4"/>
        <v>10000</v>
      </c>
      <c r="G107" s="246">
        <f t="shared" si="5"/>
        <v>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>
        <v>10000</v>
      </c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</row>
    <row r="108" spans="1:39" s="3" customFormat="1" ht="19.5" thickBot="1" x14ac:dyDescent="0.35">
      <c r="A108" s="142" t="s">
        <v>102</v>
      </c>
      <c r="B108" s="145" t="s">
        <v>280</v>
      </c>
      <c r="C108" s="284">
        <v>10000</v>
      </c>
      <c r="D108" s="136"/>
      <c r="E108" s="221">
        <f t="shared" si="3"/>
        <v>10000</v>
      </c>
      <c r="F108" s="187">
        <f t="shared" si="4"/>
        <v>10000</v>
      </c>
      <c r="G108" s="246">
        <f t="shared" si="5"/>
        <v>0</v>
      </c>
      <c r="H108" s="239"/>
      <c r="I108" s="239"/>
      <c r="J108" s="239"/>
      <c r="K108" s="239"/>
      <c r="L108" s="239">
        <v>3210.59</v>
      </c>
      <c r="M108" s="239">
        <v>1014.92</v>
      </c>
      <c r="N108" s="239">
        <v>1014.97</v>
      </c>
      <c r="O108" s="239">
        <v>1014.96</v>
      </c>
      <c r="P108" s="239">
        <v>1014.97</v>
      </c>
      <c r="Q108" s="239">
        <v>2029.78</v>
      </c>
      <c r="R108" s="239">
        <v>699.81</v>
      </c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</row>
    <row r="109" spans="1:39" s="3" customFormat="1" ht="19.5" thickBot="1" x14ac:dyDescent="0.35">
      <c r="A109" s="142" t="s">
        <v>103</v>
      </c>
      <c r="B109" s="145" t="s">
        <v>281</v>
      </c>
      <c r="C109" s="284">
        <v>10000</v>
      </c>
      <c r="D109" s="136"/>
      <c r="E109" s="221">
        <f t="shared" si="3"/>
        <v>10000</v>
      </c>
      <c r="F109" s="187">
        <f t="shared" si="4"/>
        <v>10000</v>
      </c>
      <c r="G109" s="246">
        <f t="shared" si="5"/>
        <v>0</v>
      </c>
      <c r="H109" s="239"/>
      <c r="I109" s="239"/>
      <c r="J109" s="239"/>
      <c r="K109" s="239"/>
      <c r="L109" s="239"/>
      <c r="M109" s="239"/>
      <c r="N109" s="239"/>
      <c r="O109" s="239">
        <v>10000</v>
      </c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</row>
    <row r="110" spans="1:39" s="3" customFormat="1" ht="19.5" thickBot="1" x14ac:dyDescent="0.35">
      <c r="A110" s="142" t="s">
        <v>104</v>
      </c>
      <c r="B110" s="145" t="s">
        <v>282</v>
      </c>
      <c r="C110" s="284">
        <v>10000</v>
      </c>
      <c r="D110" s="136">
        <v>9025</v>
      </c>
      <c r="E110" s="272">
        <v>0</v>
      </c>
      <c r="F110" s="187">
        <f t="shared" si="4"/>
        <v>0</v>
      </c>
      <c r="G110" s="246">
        <f t="shared" si="5"/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</row>
    <row r="111" spans="1:39" s="3" customFormat="1" ht="19.5" thickBot="1" x14ac:dyDescent="0.35">
      <c r="A111" s="142" t="s">
        <v>105</v>
      </c>
      <c r="B111" s="145" t="s">
        <v>494</v>
      </c>
      <c r="C111" s="284">
        <v>10000</v>
      </c>
      <c r="D111" s="136">
        <v>9025</v>
      </c>
      <c r="E111" s="272">
        <v>0</v>
      </c>
      <c r="F111" s="187">
        <f t="shared" si="4"/>
        <v>0</v>
      </c>
      <c r="G111" s="246">
        <f t="shared" si="5"/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</row>
    <row r="112" spans="1:39" s="3" customFormat="1" ht="19.5" thickBot="1" x14ac:dyDescent="0.35">
      <c r="A112" s="142" t="s">
        <v>106</v>
      </c>
      <c r="B112" s="145" t="s">
        <v>495</v>
      </c>
      <c r="C112" s="284">
        <v>10000</v>
      </c>
      <c r="D112" s="136">
        <v>9025</v>
      </c>
      <c r="E112" s="272">
        <v>0</v>
      </c>
      <c r="F112" s="187">
        <f t="shared" si="4"/>
        <v>0</v>
      </c>
      <c r="G112" s="246">
        <f t="shared" si="5"/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</row>
    <row r="113" spans="1:39" s="3" customFormat="1" ht="19.5" thickBot="1" x14ac:dyDescent="0.35">
      <c r="A113" s="142" t="s">
        <v>107</v>
      </c>
      <c r="B113" s="145" t="s">
        <v>496</v>
      </c>
      <c r="C113" s="284">
        <v>30315</v>
      </c>
      <c r="D113" s="136">
        <v>9035</v>
      </c>
      <c r="E113" s="272">
        <v>0</v>
      </c>
      <c r="F113" s="187">
        <f t="shared" si="4"/>
        <v>0</v>
      </c>
      <c r="G113" s="246">
        <f t="shared" si="5"/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</row>
    <row r="114" spans="1:39" s="3" customFormat="1" ht="18" customHeight="1" thickBot="1" x14ac:dyDescent="0.35">
      <c r="A114" s="142" t="s">
        <v>108</v>
      </c>
      <c r="B114" s="145" t="s">
        <v>498</v>
      </c>
      <c r="C114" s="284">
        <v>10000</v>
      </c>
      <c r="D114" s="136">
        <v>9040</v>
      </c>
      <c r="E114" s="272">
        <v>0</v>
      </c>
      <c r="F114" s="187">
        <f t="shared" si="4"/>
        <v>0</v>
      </c>
      <c r="G114" s="246">
        <f t="shared" si="5"/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</row>
    <row r="115" spans="1:39" s="3" customFormat="1" ht="18" customHeight="1" thickBot="1" x14ac:dyDescent="0.35">
      <c r="A115" s="142" t="s">
        <v>109</v>
      </c>
      <c r="B115" s="145" t="s">
        <v>499</v>
      </c>
      <c r="C115" s="284">
        <v>10000</v>
      </c>
      <c r="D115" s="136">
        <v>9040</v>
      </c>
      <c r="E115" s="272">
        <v>0</v>
      </c>
      <c r="F115" s="187">
        <f t="shared" si="4"/>
        <v>0</v>
      </c>
      <c r="G115" s="246">
        <f t="shared" si="5"/>
        <v>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</row>
    <row r="116" spans="1:39" s="3" customFormat="1" ht="18" customHeight="1" thickBot="1" x14ac:dyDescent="0.35">
      <c r="A116" s="142" t="s">
        <v>110</v>
      </c>
      <c r="B116" s="145" t="s">
        <v>500</v>
      </c>
      <c r="C116" s="284">
        <v>10000</v>
      </c>
      <c r="D116" s="136">
        <v>9040</v>
      </c>
      <c r="E116" s="272">
        <v>0</v>
      </c>
      <c r="F116" s="187">
        <f t="shared" si="4"/>
        <v>0</v>
      </c>
      <c r="G116" s="246">
        <f t="shared" si="5"/>
        <v>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</row>
    <row r="117" spans="1:39" s="3" customFormat="1" ht="18" customHeight="1" thickBot="1" x14ac:dyDescent="0.35">
      <c r="A117" s="142" t="s">
        <v>111</v>
      </c>
      <c r="B117" s="145" t="s">
        <v>501</v>
      </c>
      <c r="C117" s="284">
        <v>10000</v>
      </c>
      <c r="D117" s="136"/>
      <c r="E117" s="221">
        <f t="shared" si="3"/>
        <v>10000</v>
      </c>
      <c r="F117" s="187">
        <f t="shared" si="4"/>
        <v>10000</v>
      </c>
      <c r="G117" s="246">
        <f t="shared" si="5"/>
        <v>0</v>
      </c>
      <c r="H117" s="239"/>
      <c r="I117" s="239"/>
      <c r="J117" s="239"/>
      <c r="K117" s="239"/>
      <c r="L117" s="239"/>
      <c r="M117" s="239">
        <v>10000</v>
      </c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</row>
    <row r="118" spans="1:39" s="3" customFormat="1" ht="18" customHeight="1" thickBot="1" x14ac:dyDescent="0.35">
      <c r="A118" s="142" t="s">
        <v>112</v>
      </c>
      <c r="B118" s="145" t="s">
        <v>290</v>
      </c>
      <c r="C118" s="284">
        <v>10000</v>
      </c>
      <c r="D118" s="136"/>
      <c r="E118" s="221">
        <f t="shared" si="3"/>
        <v>10000</v>
      </c>
      <c r="F118" s="187">
        <f t="shared" si="4"/>
        <v>10000</v>
      </c>
      <c r="G118" s="246">
        <f t="shared" si="5"/>
        <v>0</v>
      </c>
      <c r="H118" s="239"/>
      <c r="I118" s="239"/>
      <c r="J118" s="239"/>
      <c r="K118" s="239"/>
      <c r="L118" s="239"/>
      <c r="M118" s="239"/>
      <c r="N118" s="239"/>
      <c r="O118" s="239"/>
      <c r="P118" s="239">
        <v>4162.3500000000004</v>
      </c>
      <c r="Q118" s="239"/>
      <c r="R118" s="239"/>
      <c r="S118" s="239">
        <f>2494.09+831.46</f>
        <v>3325.55</v>
      </c>
      <c r="T118" s="239">
        <v>2512.1</v>
      </c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</row>
    <row r="119" spans="1:39" s="3" customFormat="1" ht="18" customHeight="1" thickBot="1" x14ac:dyDescent="0.35">
      <c r="A119" s="142" t="s">
        <v>113</v>
      </c>
      <c r="B119" s="145" t="s">
        <v>291</v>
      </c>
      <c r="C119" s="284">
        <v>296454</v>
      </c>
      <c r="D119" s="136"/>
      <c r="E119" s="221">
        <f t="shared" si="3"/>
        <v>296454</v>
      </c>
      <c r="F119" s="187">
        <f t="shared" si="4"/>
        <v>296454</v>
      </c>
      <c r="G119" s="246">
        <f t="shared" si="5"/>
        <v>0</v>
      </c>
      <c r="H119" s="239"/>
      <c r="I119" s="239"/>
      <c r="J119" s="239"/>
      <c r="K119" s="239"/>
      <c r="L119" s="239"/>
      <c r="M119" s="239"/>
      <c r="N119" s="239">
        <v>49039.28</v>
      </c>
      <c r="O119" s="239">
        <v>54714.87</v>
      </c>
      <c r="P119" s="239">
        <v>14860.06</v>
      </c>
      <c r="Q119" s="239">
        <v>20766.849999999999</v>
      </c>
      <c r="R119" s="239">
        <v>17042.93</v>
      </c>
      <c r="S119" s="239">
        <v>21822.51</v>
      </c>
      <c r="T119" s="239"/>
      <c r="U119" s="239"/>
      <c r="V119" s="239">
        <v>57841.9</v>
      </c>
      <c r="W119" s="239"/>
      <c r="X119" s="239"/>
      <c r="Y119" s="239">
        <v>58853.57</v>
      </c>
      <c r="Z119" s="239"/>
      <c r="AA119" s="239">
        <v>1512.03</v>
      </c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</row>
    <row r="120" spans="1:39" s="3" customFormat="1" ht="18" customHeight="1" thickBot="1" x14ac:dyDescent="0.35">
      <c r="A120" s="142" t="s">
        <v>114</v>
      </c>
      <c r="B120" s="145" t="s">
        <v>503</v>
      </c>
      <c r="C120" s="284">
        <v>10000</v>
      </c>
      <c r="D120" s="136"/>
      <c r="E120" s="221">
        <f t="shared" si="3"/>
        <v>10000</v>
      </c>
      <c r="F120" s="187">
        <f t="shared" si="4"/>
        <v>10000</v>
      </c>
      <c r="G120" s="246">
        <f t="shared" si="5"/>
        <v>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>
        <v>10000</v>
      </c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</row>
    <row r="121" spans="1:39" s="3" customFormat="1" ht="18" customHeight="1" thickBot="1" x14ac:dyDescent="0.35">
      <c r="A121" s="142" t="s">
        <v>115</v>
      </c>
      <c r="B121" s="145" t="s">
        <v>592</v>
      </c>
      <c r="C121" s="284">
        <v>23325</v>
      </c>
      <c r="D121" s="136"/>
      <c r="E121" s="221">
        <f t="shared" si="3"/>
        <v>23325</v>
      </c>
      <c r="F121" s="187">
        <f t="shared" si="4"/>
        <v>23325</v>
      </c>
      <c r="G121" s="246">
        <f t="shared" si="5"/>
        <v>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>
        <v>23325</v>
      </c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</row>
    <row r="122" spans="1:39" s="3" customFormat="1" ht="18" customHeight="1" thickBot="1" x14ac:dyDescent="0.35">
      <c r="A122" s="142" t="s">
        <v>116</v>
      </c>
      <c r="B122" s="145" t="s">
        <v>507</v>
      </c>
      <c r="C122" s="284">
        <v>62973</v>
      </c>
      <c r="D122" s="136"/>
      <c r="E122" s="221">
        <f t="shared" si="3"/>
        <v>62973</v>
      </c>
      <c r="F122" s="187">
        <f t="shared" si="4"/>
        <v>48365.11</v>
      </c>
      <c r="G122" s="246">
        <f t="shared" si="5"/>
        <v>14607.89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>
        <v>94.55</v>
      </c>
      <c r="T122" s="239">
        <v>2247.42</v>
      </c>
      <c r="U122" s="239"/>
      <c r="V122" s="239"/>
      <c r="W122" s="239">
        <v>8125.09</v>
      </c>
      <c r="X122" s="239">
        <v>2561.37</v>
      </c>
      <c r="Y122" s="239">
        <v>17027.740000000002</v>
      </c>
      <c r="Z122" s="239">
        <v>6370.49</v>
      </c>
      <c r="AA122" s="239">
        <v>6460.45</v>
      </c>
      <c r="AB122" s="239"/>
      <c r="AC122" s="239">
        <v>5390</v>
      </c>
      <c r="AD122" s="239"/>
      <c r="AE122" s="239"/>
      <c r="AF122" s="239">
        <v>88</v>
      </c>
      <c r="AG122" s="239"/>
      <c r="AH122" s="239"/>
      <c r="AI122" s="239"/>
      <c r="AJ122" s="239"/>
      <c r="AK122" s="239"/>
      <c r="AL122" s="239"/>
      <c r="AM122" s="239"/>
    </row>
    <row r="123" spans="1:39" s="3" customFormat="1" ht="18" customHeight="1" thickBot="1" x14ac:dyDescent="0.35">
      <c r="A123" s="142" t="s">
        <v>117</v>
      </c>
      <c r="B123" s="145" t="s">
        <v>593</v>
      </c>
      <c r="C123" s="284">
        <v>10000</v>
      </c>
      <c r="D123" s="136"/>
      <c r="E123" s="221">
        <f t="shared" si="3"/>
        <v>10000</v>
      </c>
      <c r="F123" s="187">
        <f t="shared" si="4"/>
        <v>10000</v>
      </c>
      <c r="G123" s="246">
        <f t="shared" si="5"/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>
        <v>590.12</v>
      </c>
      <c r="V123" s="239"/>
      <c r="W123" s="239"/>
      <c r="X123" s="239"/>
      <c r="Y123" s="239"/>
      <c r="Z123" s="239"/>
      <c r="AA123" s="239"/>
      <c r="AB123" s="239"/>
      <c r="AC123" s="239"/>
      <c r="AD123" s="239">
        <v>9409.8799999999992</v>
      </c>
      <c r="AE123" s="239"/>
      <c r="AF123" s="239"/>
      <c r="AG123" s="239"/>
      <c r="AH123" s="239"/>
      <c r="AI123" s="239"/>
      <c r="AJ123" s="239"/>
      <c r="AK123" s="239"/>
      <c r="AL123" s="239"/>
      <c r="AM123" s="239"/>
    </row>
    <row r="124" spans="1:39" s="3" customFormat="1" ht="18" customHeight="1" thickBot="1" x14ac:dyDescent="0.35">
      <c r="A124" s="142" t="s">
        <v>118</v>
      </c>
      <c r="B124" s="145" t="s">
        <v>510</v>
      </c>
      <c r="C124" s="284">
        <v>10000</v>
      </c>
      <c r="D124" s="136"/>
      <c r="E124" s="221">
        <f t="shared" si="3"/>
        <v>10000</v>
      </c>
      <c r="F124" s="187">
        <f t="shared" si="4"/>
        <v>10000</v>
      </c>
      <c r="G124" s="246">
        <f t="shared" si="5"/>
        <v>0</v>
      </c>
      <c r="H124" s="239"/>
      <c r="I124" s="239"/>
      <c r="J124" s="239"/>
      <c r="K124" s="239"/>
      <c r="L124" s="239"/>
      <c r="M124" s="239">
        <v>8500</v>
      </c>
      <c r="N124" s="239">
        <v>492.71</v>
      </c>
      <c r="O124" s="239"/>
      <c r="P124" s="239"/>
      <c r="Q124" s="239"/>
      <c r="R124" s="239"/>
      <c r="S124" s="239">
        <v>1007.29</v>
      </c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</row>
    <row r="125" spans="1:39" s="3" customFormat="1" ht="18" customHeight="1" thickBot="1" x14ac:dyDescent="0.35">
      <c r="A125" s="142" t="s">
        <v>119</v>
      </c>
      <c r="B125" s="145" t="s">
        <v>511</v>
      </c>
      <c r="C125" s="284">
        <v>88046</v>
      </c>
      <c r="D125" s="136"/>
      <c r="E125" s="221">
        <f t="shared" si="3"/>
        <v>88046</v>
      </c>
      <c r="F125" s="187">
        <f t="shared" si="4"/>
        <v>88046</v>
      </c>
      <c r="G125" s="246">
        <f t="shared" si="5"/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>
        <v>3936.61</v>
      </c>
      <c r="U125" s="239"/>
      <c r="V125" s="239"/>
      <c r="W125" s="239">
        <v>200</v>
      </c>
      <c r="X125" s="239">
        <v>74424.09</v>
      </c>
      <c r="Y125" s="239">
        <v>9485.2999999999993</v>
      </c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</row>
    <row r="126" spans="1:39" s="3" customFormat="1" ht="18" customHeight="1" thickBot="1" x14ac:dyDescent="0.35">
      <c r="A126" s="142" t="s">
        <v>120</v>
      </c>
      <c r="B126" s="145" t="s">
        <v>513</v>
      </c>
      <c r="C126" s="284">
        <v>10000</v>
      </c>
      <c r="D126" s="136"/>
      <c r="E126" s="221">
        <f t="shared" si="3"/>
        <v>10000</v>
      </c>
      <c r="F126" s="187">
        <f t="shared" si="4"/>
        <v>10000</v>
      </c>
      <c r="G126" s="246">
        <f t="shared" si="5"/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>
        <v>10000</v>
      </c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</row>
    <row r="127" spans="1:39" s="3" customFormat="1" ht="18" customHeight="1" thickBot="1" x14ac:dyDescent="0.35">
      <c r="A127" s="142" t="s">
        <v>121</v>
      </c>
      <c r="B127" s="145" t="s">
        <v>514</v>
      </c>
      <c r="C127" s="284">
        <v>13195</v>
      </c>
      <c r="D127" s="136">
        <v>9035</v>
      </c>
      <c r="E127" s="272">
        <v>0</v>
      </c>
      <c r="F127" s="187">
        <f t="shared" si="4"/>
        <v>0</v>
      </c>
      <c r="G127" s="246">
        <f t="shared" si="5"/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</row>
    <row r="128" spans="1:39" s="3" customFormat="1" ht="18" customHeight="1" thickBot="1" x14ac:dyDescent="0.35">
      <c r="A128" s="142" t="s">
        <v>122</v>
      </c>
      <c r="B128" s="145" t="s">
        <v>516</v>
      </c>
      <c r="C128" s="284">
        <v>35556</v>
      </c>
      <c r="D128" s="136"/>
      <c r="E128" s="221">
        <f t="shared" si="3"/>
        <v>35556</v>
      </c>
      <c r="F128" s="187">
        <f t="shared" si="4"/>
        <v>35556.000000000007</v>
      </c>
      <c r="G128" s="246">
        <f t="shared" si="5"/>
        <v>0</v>
      </c>
      <c r="H128" s="239"/>
      <c r="I128" s="239"/>
      <c r="J128" s="239"/>
      <c r="K128" s="239"/>
      <c r="L128" s="239">
        <v>4824.51</v>
      </c>
      <c r="M128" s="239">
        <v>1626.71</v>
      </c>
      <c r="N128" s="239">
        <v>1626.68</v>
      </c>
      <c r="O128" s="239">
        <v>1623.39</v>
      </c>
      <c r="P128" s="239">
        <v>1623.67</v>
      </c>
      <c r="Q128" s="239">
        <v>1623.43</v>
      </c>
      <c r="R128" s="239">
        <v>1623.43</v>
      </c>
      <c r="S128" s="239">
        <v>1623.43</v>
      </c>
      <c r="T128" s="239"/>
      <c r="U128" s="239">
        <v>3249.07</v>
      </c>
      <c r="V128" s="239">
        <v>1623.42</v>
      </c>
      <c r="W128" s="239">
        <v>14488.26</v>
      </c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</row>
    <row r="129" spans="1:39" s="3" customFormat="1" ht="18" customHeight="1" thickBot="1" x14ac:dyDescent="0.35">
      <c r="A129" s="142" t="s">
        <v>123</v>
      </c>
      <c r="B129" s="145" t="s">
        <v>517</v>
      </c>
      <c r="C129" s="284">
        <v>10000</v>
      </c>
      <c r="D129" s="136">
        <v>9035</v>
      </c>
      <c r="E129" s="272">
        <v>0</v>
      </c>
      <c r="F129" s="187">
        <f t="shared" si="4"/>
        <v>0</v>
      </c>
      <c r="G129" s="246">
        <f t="shared" si="5"/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</row>
    <row r="130" spans="1:39" s="3" customFormat="1" ht="19.5" thickBot="1" x14ac:dyDescent="0.35">
      <c r="A130" s="142" t="s">
        <v>124</v>
      </c>
      <c r="B130" s="145" t="s">
        <v>518</v>
      </c>
      <c r="C130" s="284">
        <v>10000</v>
      </c>
      <c r="D130" s="136">
        <v>9035</v>
      </c>
      <c r="E130" s="272">
        <v>0</v>
      </c>
      <c r="F130" s="187">
        <f t="shared" si="4"/>
        <v>0</v>
      </c>
      <c r="G130" s="246">
        <f t="shared" si="5"/>
        <v>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</row>
    <row r="131" spans="1:39" s="3" customFormat="1" ht="19.5" thickBot="1" x14ac:dyDescent="0.35">
      <c r="A131" s="142" t="s">
        <v>125</v>
      </c>
      <c r="B131" s="145" t="s">
        <v>303</v>
      </c>
      <c r="C131" s="284">
        <v>40151</v>
      </c>
      <c r="D131" s="136"/>
      <c r="E131" s="221">
        <f t="shared" si="3"/>
        <v>40151</v>
      </c>
      <c r="F131" s="187">
        <f t="shared" si="4"/>
        <v>11776.43</v>
      </c>
      <c r="G131" s="246">
        <f t="shared" si="5"/>
        <v>28374.57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>
        <v>3239.48</v>
      </c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>
        <v>8536.9500000000007</v>
      </c>
      <c r="AG131" s="239"/>
      <c r="AH131" s="239"/>
      <c r="AI131" s="239"/>
      <c r="AJ131" s="239"/>
      <c r="AK131" s="239"/>
      <c r="AL131" s="239"/>
      <c r="AM131" s="239"/>
    </row>
    <row r="132" spans="1:39" s="3" customFormat="1" ht="19.5" thickBot="1" x14ac:dyDescent="0.35">
      <c r="A132" s="142" t="s">
        <v>126</v>
      </c>
      <c r="B132" s="145" t="s">
        <v>304</v>
      </c>
      <c r="C132" s="284">
        <v>28374</v>
      </c>
      <c r="D132" s="136"/>
      <c r="E132" s="221">
        <f t="shared" si="3"/>
        <v>28374</v>
      </c>
      <c r="F132" s="187">
        <f t="shared" si="4"/>
        <v>28374</v>
      </c>
      <c r="G132" s="246">
        <f t="shared" si="5"/>
        <v>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39">
        <v>28374</v>
      </c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</row>
    <row r="133" spans="1:39" s="3" customFormat="1" ht="19.5" thickBot="1" x14ac:dyDescent="0.35">
      <c r="A133" s="142" t="s">
        <v>127</v>
      </c>
      <c r="B133" s="145" t="s">
        <v>305</v>
      </c>
      <c r="C133" s="284">
        <v>10000</v>
      </c>
      <c r="D133" s="136"/>
      <c r="E133" s="221">
        <f t="shared" si="3"/>
        <v>10000</v>
      </c>
      <c r="F133" s="187">
        <f t="shared" si="4"/>
        <v>10000</v>
      </c>
      <c r="G133" s="246">
        <f t="shared" si="5"/>
        <v>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>
        <v>10000</v>
      </c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</row>
    <row r="134" spans="1:39" s="3" customFormat="1" ht="19.5" thickBot="1" x14ac:dyDescent="0.35">
      <c r="A134" s="142" t="s">
        <v>128</v>
      </c>
      <c r="B134" s="145" t="s">
        <v>306</v>
      </c>
      <c r="C134" s="284">
        <v>10000</v>
      </c>
      <c r="D134" s="136"/>
      <c r="E134" s="221">
        <f t="shared" si="3"/>
        <v>10000</v>
      </c>
      <c r="F134" s="187">
        <f t="shared" si="4"/>
        <v>10000</v>
      </c>
      <c r="G134" s="246">
        <f t="shared" si="5"/>
        <v>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>
        <v>10000</v>
      </c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</row>
    <row r="135" spans="1:39" s="3" customFormat="1" ht="19.5" thickBot="1" x14ac:dyDescent="0.35">
      <c r="A135" s="142" t="s">
        <v>129</v>
      </c>
      <c r="B135" s="145" t="s">
        <v>307</v>
      </c>
      <c r="C135" s="284">
        <v>10000</v>
      </c>
      <c r="D135" s="136"/>
      <c r="E135" s="221">
        <f t="shared" si="3"/>
        <v>10000</v>
      </c>
      <c r="F135" s="187">
        <f t="shared" si="4"/>
        <v>10000</v>
      </c>
      <c r="G135" s="246">
        <f t="shared" si="5"/>
        <v>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>
        <v>10000</v>
      </c>
      <c r="AF135" s="239"/>
      <c r="AG135" s="239"/>
      <c r="AH135" s="239"/>
      <c r="AI135" s="239"/>
      <c r="AJ135" s="239"/>
      <c r="AK135" s="239"/>
      <c r="AL135" s="239"/>
      <c r="AM135" s="239"/>
    </row>
    <row r="136" spans="1:39" s="3" customFormat="1" ht="19.5" thickBot="1" x14ac:dyDescent="0.35">
      <c r="A136" s="142" t="s">
        <v>130</v>
      </c>
      <c r="B136" s="145" t="s">
        <v>308</v>
      </c>
      <c r="C136" s="284">
        <v>10000</v>
      </c>
      <c r="D136" s="136"/>
      <c r="E136" s="221">
        <f t="shared" si="3"/>
        <v>10000</v>
      </c>
      <c r="F136" s="187">
        <f t="shared" si="4"/>
        <v>10000</v>
      </c>
      <c r="G136" s="246">
        <f t="shared" si="5"/>
        <v>0</v>
      </c>
      <c r="H136" s="239"/>
      <c r="I136" s="239"/>
      <c r="J136" s="239"/>
      <c r="K136" s="239">
        <v>1000</v>
      </c>
      <c r="L136" s="239">
        <v>1000</v>
      </c>
      <c r="M136" s="239">
        <v>1000</v>
      </c>
      <c r="N136" s="239"/>
      <c r="O136" s="239">
        <v>1000</v>
      </c>
      <c r="P136" s="239">
        <v>1000</v>
      </c>
      <c r="Q136" s="239">
        <v>1000</v>
      </c>
      <c r="R136" s="239">
        <v>2000</v>
      </c>
      <c r="S136" s="239">
        <v>2000</v>
      </c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</row>
    <row r="137" spans="1:39" s="3" customFormat="1" ht="19.5" thickBot="1" x14ac:dyDescent="0.35">
      <c r="A137" s="142" t="s">
        <v>131</v>
      </c>
      <c r="B137" s="145" t="s">
        <v>309</v>
      </c>
      <c r="C137" s="284">
        <v>10000</v>
      </c>
      <c r="D137" s="136"/>
      <c r="E137" s="221">
        <f t="shared" si="3"/>
        <v>10000</v>
      </c>
      <c r="F137" s="187">
        <f t="shared" si="4"/>
        <v>6969.51</v>
      </c>
      <c r="G137" s="246">
        <f t="shared" si="5"/>
        <v>3030.49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>
        <v>1385.21</v>
      </c>
      <c r="AD137" s="239"/>
      <c r="AE137" s="239"/>
      <c r="AF137" s="239">
        <v>2761.99</v>
      </c>
      <c r="AG137" s="239">
        <v>2822.31</v>
      </c>
      <c r="AH137" s="239"/>
      <c r="AI137" s="239"/>
      <c r="AJ137" s="239"/>
      <c r="AK137" s="239"/>
      <c r="AL137" s="239"/>
      <c r="AM137" s="239"/>
    </row>
    <row r="138" spans="1:39" s="3" customFormat="1" ht="19.5" thickBot="1" x14ac:dyDescent="0.35">
      <c r="A138" s="142" t="s">
        <v>132</v>
      </c>
      <c r="B138" s="145" t="s">
        <v>310</v>
      </c>
      <c r="C138" s="284">
        <v>10000</v>
      </c>
      <c r="D138" s="136"/>
      <c r="E138" s="221">
        <f t="shared" si="3"/>
        <v>10000</v>
      </c>
      <c r="F138" s="187">
        <f t="shared" si="4"/>
        <v>10000</v>
      </c>
      <c r="G138" s="246">
        <f t="shared" si="5"/>
        <v>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>
        <v>10000</v>
      </c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</row>
    <row r="139" spans="1:39" s="3" customFormat="1" ht="19.5" thickBot="1" x14ac:dyDescent="0.35">
      <c r="A139" s="142" t="s">
        <v>133</v>
      </c>
      <c r="B139" s="145" t="s">
        <v>311</v>
      </c>
      <c r="C139" s="284">
        <v>10000</v>
      </c>
      <c r="D139" s="136"/>
      <c r="E139" s="221">
        <f t="shared" si="3"/>
        <v>10000</v>
      </c>
      <c r="F139" s="187">
        <f t="shared" si="4"/>
        <v>10000</v>
      </c>
      <c r="G139" s="246">
        <f t="shared" si="5"/>
        <v>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>
        <v>10000</v>
      </c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</row>
    <row r="140" spans="1:39" s="3" customFormat="1" ht="19.5" thickBot="1" x14ac:dyDescent="0.35">
      <c r="A140" s="142" t="s">
        <v>134</v>
      </c>
      <c r="B140" s="145" t="s">
        <v>522</v>
      </c>
      <c r="C140" s="284">
        <v>10000</v>
      </c>
      <c r="D140" s="136"/>
      <c r="E140" s="221">
        <f t="shared" si="3"/>
        <v>10000</v>
      </c>
      <c r="F140" s="187">
        <f t="shared" si="4"/>
        <v>10000</v>
      </c>
      <c r="G140" s="246">
        <f t="shared" si="5"/>
        <v>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>
        <v>10000</v>
      </c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</row>
    <row r="141" spans="1:39" s="3" customFormat="1" ht="19.5" thickBot="1" x14ac:dyDescent="0.35">
      <c r="A141" s="142" t="s">
        <v>135</v>
      </c>
      <c r="B141" s="145" t="s">
        <v>523</v>
      </c>
      <c r="C141" s="284">
        <v>10000</v>
      </c>
      <c r="D141" s="136"/>
      <c r="E141" s="221">
        <f t="shared" ref="E141:E187" si="6">C141</f>
        <v>10000</v>
      </c>
      <c r="F141" s="187">
        <f t="shared" ref="F141:F194" si="7">SUM(H141:AK141)</f>
        <v>10000</v>
      </c>
      <c r="G141" s="246">
        <f t="shared" ref="G141:G194" si="8">E141-(F141+AL141+AM141)</f>
        <v>0</v>
      </c>
      <c r="H141" s="239"/>
      <c r="I141" s="239"/>
      <c r="J141" s="239"/>
      <c r="K141" s="239"/>
      <c r="L141" s="239"/>
      <c r="M141" s="239"/>
      <c r="N141" s="239">
        <v>7583.99</v>
      </c>
      <c r="O141" s="239"/>
      <c r="P141" s="239"/>
      <c r="Q141" s="239"/>
      <c r="R141" s="239">
        <v>2116.0100000000002</v>
      </c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>
        <v>300</v>
      </c>
      <c r="AE141" s="239"/>
      <c r="AF141" s="239"/>
      <c r="AG141" s="239"/>
      <c r="AH141" s="239"/>
      <c r="AI141" s="239"/>
      <c r="AJ141" s="239"/>
      <c r="AK141" s="239"/>
      <c r="AL141" s="239"/>
      <c r="AM141" s="239"/>
    </row>
    <row r="142" spans="1:39" s="3" customFormat="1" ht="19.5" thickBot="1" x14ac:dyDescent="0.35">
      <c r="A142" s="142" t="s">
        <v>136</v>
      </c>
      <c r="B142" s="145" t="s">
        <v>525</v>
      </c>
      <c r="C142" s="284">
        <v>10000</v>
      </c>
      <c r="D142" s="136">
        <v>9040</v>
      </c>
      <c r="E142" s="272">
        <v>0</v>
      </c>
      <c r="F142" s="187">
        <f t="shared" si="7"/>
        <v>0</v>
      </c>
      <c r="G142" s="246">
        <f t="shared" si="8"/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</row>
    <row r="143" spans="1:39" s="3" customFormat="1" ht="19.5" thickBot="1" x14ac:dyDescent="0.35">
      <c r="A143" s="142" t="s">
        <v>137</v>
      </c>
      <c r="B143" s="145" t="s">
        <v>315</v>
      </c>
      <c r="C143" s="284">
        <v>10000</v>
      </c>
      <c r="D143" s="136"/>
      <c r="E143" s="221">
        <f t="shared" si="6"/>
        <v>10000</v>
      </c>
      <c r="F143" s="187">
        <f t="shared" si="7"/>
        <v>10000</v>
      </c>
      <c r="G143" s="246">
        <f t="shared" si="8"/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>
        <v>10000</v>
      </c>
      <c r="AI143" s="239"/>
      <c r="AJ143" s="239"/>
      <c r="AK143" s="239"/>
      <c r="AL143" s="239"/>
      <c r="AM143" s="239"/>
    </row>
    <row r="144" spans="1:39" s="3" customFormat="1" ht="19.5" thickBot="1" x14ac:dyDescent="0.35">
      <c r="A144" s="142" t="s">
        <v>138</v>
      </c>
      <c r="B144" s="145" t="s">
        <v>527</v>
      </c>
      <c r="C144" s="284">
        <v>10000</v>
      </c>
      <c r="D144" s="136"/>
      <c r="E144" s="221">
        <f t="shared" si="6"/>
        <v>10000</v>
      </c>
      <c r="F144" s="187">
        <f t="shared" si="7"/>
        <v>10000</v>
      </c>
      <c r="G144" s="246">
        <f t="shared" si="8"/>
        <v>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>
        <v>10000</v>
      </c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</row>
    <row r="145" spans="1:39" s="3" customFormat="1" ht="19.5" thickBot="1" x14ac:dyDescent="0.35">
      <c r="A145" s="142" t="s">
        <v>139</v>
      </c>
      <c r="B145" s="145" t="s">
        <v>529</v>
      </c>
      <c r="C145" s="284">
        <v>32740</v>
      </c>
      <c r="D145" s="136"/>
      <c r="E145" s="221">
        <f t="shared" si="6"/>
        <v>32740</v>
      </c>
      <c r="F145" s="187">
        <f t="shared" si="7"/>
        <v>32740</v>
      </c>
      <c r="G145" s="246">
        <f t="shared" si="8"/>
        <v>0</v>
      </c>
      <c r="H145" s="239"/>
      <c r="I145" s="239"/>
      <c r="J145" s="239"/>
      <c r="K145" s="239"/>
      <c r="L145" s="239">
        <v>1803</v>
      </c>
      <c r="M145" s="239">
        <f>2730+2730</f>
        <v>5460</v>
      </c>
      <c r="N145" s="239"/>
      <c r="O145" s="239">
        <v>2649</v>
      </c>
      <c r="P145" s="239">
        <f>2730*2</f>
        <v>5460</v>
      </c>
      <c r="Q145" s="239">
        <v>2731</v>
      </c>
      <c r="R145" s="239">
        <v>2731</v>
      </c>
      <c r="S145" s="239">
        <v>2733</v>
      </c>
      <c r="T145" s="239"/>
      <c r="U145" s="239">
        <v>8191</v>
      </c>
      <c r="V145" s="239"/>
      <c r="W145" s="239"/>
      <c r="X145" s="239">
        <v>982</v>
      </c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</row>
    <row r="146" spans="1:39" s="3" customFormat="1" ht="19.5" thickBot="1" x14ac:dyDescent="0.35">
      <c r="A146" s="142" t="s">
        <v>140</v>
      </c>
      <c r="B146" s="145" t="s">
        <v>530</v>
      </c>
      <c r="C146" s="284">
        <v>10000</v>
      </c>
      <c r="D146" s="136"/>
      <c r="E146" s="221">
        <f t="shared" si="6"/>
        <v>10000</v>
      </c>
      <c r="F146" s="187">
        <f t="shared" si="7"/>
        <v>10000</v>
      </c>
      <c r="G146" s="246">
        <f t="shared" si="8"/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39">
        <v>10000</v>
      </c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</row>
    <row r="147" spans="1:39" s="3" customFormat="1" ht="19.5" thickBot="1" x14ac:dyDescent="0.35">
      <c r="A147" s="142" t="s">
        <v>141</v>
      </c>
      <c r="B147" s="145" t="s">
        <v>531</v>
      </c>
      <c r="C147" s="284">
        <v>10000</v>
      </c>
      <c r="D147" s="136"/>
      <c r="E147" s="221">
        <f t="shared" si="6"/>
        <v>10000</v>
      </c>
      <c r="F147" s="187">
        <f t="shared" si="7"/>
        <v>9999.6</v>
      </c>
      <c r="G147" s="246">
        <f t="shared" si="8"/>
        <v>0.3999999999996362</v>
      </c>
      <c r="H147" s="239"/>
      <c r="I147" s="239"/>
      <c r="J147" s="239"/>
      <c r="K147" s="239"/>
      <c r="L147" s="239"/>
      <c r="M147" s="239"/>
      <c r="N147" s="239">
        <v>2380.0500000000002</v>
      </c>
      <c r="O147" s="239"/>
      <c r="P147" s="239"/>
      <c r="Q147" s="239">
        <v>1782.55</v>
      </c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>
        <v>5837</v>
      </c>
      <c r="AE147" s="239"/>
      <c r="AF147" s="239"/>
      <c r="AG147" s="239"/>
      <c r="AH147" s="239"/>
      <c r="AI147" s="239"/>
      <c r="AJ147" s="239"/>
      <c r="AK147" s="239"/>
      <c r="AL147" s="239"/>
      <c r="AM147" s="239"/>
    </row>
    <row r="148" spans="1:39" s="3" customFormat="1" ht="19.5" thickBot="1" x14ac:dyDescent="0.35">
      <c r="A148" s="142" t="s">
        <v>142</v>
      </c>
      <c r="B148" s="145" t="s">
        <v>320</v>
      </c>
      <c r="C148" s="284">
        <v>408204</v>
      </c>
      <c r="D148" s="136"/>
      <c r="E148" s="221">
        <f t="shared" si="6"/>
        <v>408204</v>
      </c>
      <c r="F148" s="187">
        <f t="shared" si="7"/>
        <v>408204</v>
      </c>
      <c r="G148" s="246">
        <f t="shared" si="8"/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39">
        <v>34046.01</v>
      </c>
      <c r="R148" s="239">
        <v>28512.01</v>
      </c>
      <c r="S148" s="239">
        <v>55851.77</v>
      </c>
      <c r="T148" s="239"/>
      <c r="U148" s="239"/>
      <c r="V148" s="239">
        <v>169415.79</v>
      </c>
      <c r="W148" s="239"/>
      <c r="X148" s="239">
        <v>120378.42</v>
      </c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</row>
    <row r="149" spans="1:39" s="3" customFormat="1" ht="18" customHeight="1" thickBot="1" x14ac:dyDescent="0.35">
      <c r="A149" s="142" t="s">
        <v>143</v>
      </c>
      <c r="B149" s="145" t="s">
        <v>533</v>
      </c>
      <c r="C149" s="284">
        <v>75691</v>
      </c>
      <c r="D149" s="136"/>
      <c r="E149" s="221">
        <f t="shared" si="6"/>
        <v>75691</v>
      </c>
      <c r="F149" s="187">
        <f t="shared" si="7"/>
        <v>75691</v>
      </c>
      <c r="G149" s="246">
        <f t="shared" si="8"/>
        <v>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39">
        <f>5897.25+3647.44</f>
        <v>9544.69</v>
      </c>
      <c r="R149" s="239">
        <v>244.7</v>
      </c>
      <c r="S149" s="239"/>
      <c r="T149" s="239">
        <v>28842.16</v>
      </c>
      <c r="U149" s="239">
        <v>22880.51</v>
      </c>
      <c r="V149" s="239">
        <v>336.35</v>
      </c>
      <c r="W149" s="239"/>
      <c r="X149" s="239"/>
      <c r="Y149" s="239"/>
      <c r="Z149" s="239"/>
      <c r="AA149" s="239"/>
      <c r="AB149" s="239"/>
      <c r="AC149" s="239"/>
      <c r="AD149" s="239"/>
      <c r="AE149" s="239">
        <v>13842.59</v>
      </c>
      <c r="AF149" s="239"/>
      <c r="AG149" s="239"/>
      <c r="AH149" s="239"/>
      <c r="AI149" s="239"/>
      <c r="AJ149" s="239"/>
      <c r="AK149" s="239"/>
      <c r="AL149" s="239"/>
      <c r="AM149" s="239"/>
    </row>
    <row r="150" spans="1:39" s="3" customFormat="1" ht="19.5" thickBot="1" x14ac:dyDescent="0.35">
      <c r="A150" s="142" t="s">
        <v>144</v>
      </c>
      <c r="B150" s="145" t="s">
        <v>322</v>
      </c>
      <c r="C150" s="284">
        <v>10000</v>
      </c>
      <c r="D150" s="136"/>
      <c r="E150" s="221">
        <f t="shared" si="6"/>
        <v>10000</v>
      </c>
      <c r="F150" s="187">
        <f t="shared" si="7"/>
        <v>10000</v>
      </c>
      <c r="G150" s="246">
        <f t="shared" si="8"/>
        <v>0</v>
      </c>
      <c r="H150" s="239"/>
      <c r="I150" s="239"/>
      <c r="J150" s="239"/>
      <c r="K150" s="239"/>
      <c r="L150" s="239">
        <v>4017</v>
      </c>
      <c r="M150" s="239"/>
      <c r="N150" s="239">
        <v>1994</v>
      </c>
      <c r="O150" s="239"/>
      <c r="P150" s="239"/>
      <c r="Q150" s="239">
        <v>1994</v>
      </c>
      <c r="R150" s="239"/>
      <c r="S150" s="239">
        <v>1995</v>
      </c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</row>
    <row r="151" spans="1:39" s="3" customFormat="1" ht="19.5" thickBot="1" x14ac:dyDescent="0.35">
      <c r="A151" s="142" t="s">
        <v>145</v>
      </c>
      <c r="B151" s="145" t="s">
        <v>536</v>
      </c>
      <c r="C151" s="284">
        <v>10000</v>
      </c>
      <c r="D151" s="136"/>
      <c r="E151" s="221">
        <f t="shared" si="6"/>
        <v>10000</v>
      </c>
      <c r="F151" s="187">
        <f t="shared" si="7"/>
        <v>10000</v>
      </c>
      <c r="G151" s="246">
        <f t="shared" si="8"/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>
        <v>10000</v>
      </c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</row>
    <row r="152" spans="1:39" s="3" customFormat="1" ht="19.5" thickBot="1" x14ac:dyDescent="0.35">
      <c r="A152" s="142" t="s">
        <v>146</v>
      </c>
      <c r="B152" s="145" t="s">
        <v>324</v>
      </c>
      <c r="C152" s="284">
        <v>15968</v>
      </c>
      <c r="D152" s="136"/>
      <c r="E152" s="221">
        <f t="shared" si="6"/>
        <v>15968</v>
      </c>
      <c r="F152" s="187">
        <f t="shared" si="7"/>
        <v>15968</v>
      </c>
      <c r="G152" s="246">
        <f t="shared" si="8"/>
        <v>0</v>
      </c>
      <c r="H152" s="239"/>
      <c r="I152" s="239"/>
      <c r="J152" s="239"/>
      <c r="K152" s="239"/>
      <c r="L152" s="239"/>
      <c r="M152" s="239"/>
      <c r="N152" s="239"/>
      <c r="O152" s="239"/>
      <c r="P152" s="239">
        <v>15952.11</v>
      </c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>
        <v>15.89</v>
      </c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</row>
    <row r="153" spans="1:39" s="3" customFormat="1" ht="19.5" thickBot="1" x14ac:dyDescent="0.35">
      <c r="A153" s="142" t="s">
        <v>147</v>
      </c>
      <c r="B153" s="145" t="s">
        <v>325</v>
      </c>
      <c r="C153" s="284">
        <v>20479</v>
      </c>
      <c r="D153" s="136"/>
      <c r="E153" s="221">
        <f t="shared" si="6"/>
        <v>20479</v>
      </c>
      <c r="F153" s="187">
        <f t="shared" si="7"/>
        <v>20479</v>
      </c>
      <c r="G153" s="246">
        <f t="shared" si="8"/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>
        <v>3582</v>
      </c>
      <c r="T153" s="239"/>
      <c r="U153" s="239"/>
      <c r="V153" s="239"/>
      <c r="W153" s="239">
        <v>128</v>
      </c>
      <c r="X153" s="239">
        <v>700</v>
      </c>
      <c r="Y153" s="239">
        <v>698</v>
      </c>
      <c r="Z153" s="239">
        <v>2182</v>
      </c>
      <c r="AA153" s="239">
        <v>114</v>
      </c>
      <c r="AB153" s="239">
        <v>255</v>
      </c>
      <c r="AC153" s="239">
        <v>243</v>
      </c>
      <c r="AD153" s="239">
        <v>242</v>
      </c>
      <c r="AE153" s="239">
        <v>12335</v>
      </c>
      <c r="AF153" s="239"/>
      <c r="AG153" s="239"/>
      <c r="AH153" s="239"/>
      <c r="AI153" s="239"/>
      <c r="AJ153" s="239"/>
      <c r="AK153" s="239"/>
      <c r="AL153" s="239"/>
      <c r="AM153" s="239"/>
    </row>
    <row r="154" spans="1:39" s="3" customFormat="1" ht="19.5" thickBot="1" x14ac:dyDescent="0.35">
      <c r="A154" s="142" t="s">
        <v>148</v>
      </c>
      <c r="B154" s="145" t="s">
        <v>538</v>
      </c>
      <c r="C154" s="284">
        <v>10000</v>
      </c>
      <c r="D154" s="136"/>
      <c r="E154" s="221">
        <f t="shared" si="6"/>
        <v>10000</v>
      </c>
      <c r="F154" s="187">
        <f t="shared" si="7"/>
        <v>10000</v>
      </c>
      <c r="G154" s="246">
        <f t="shared" si="8"/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>
        <v>8254</v>
      </c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>
        <v>1746</v>
      </c>
      <c r="AF154" s="239"/>
      <c r="AG154" s="239"/>
      <c r="AH154" s="239"/>
      <c r="AI154" s="239"/>
      <c r="AJ154" s="239"/>
      <c r="AK154" s="239"/>
      <c r="AL154" s="239"/>
      <c r="AM154" s="239"/>
    </row>
    <row r="155" spans="1:39" s="3" customFormat="1" ht="19.5" thickBot="1" x14ac:dyDescent="0.35">
      <c r="A155" s="142" t="s">
        <v>149</v>
      </c>
      <c r="B155" s="145" t="s">
        <v>539</v>
      </c>
      <c r="C155" s="284">
        <v>10000</v>
      </c>
      <c r="D155" s="136"/>
      <c r="E155" s="221">
        <f t="shared" si="6"/>
        <v>10000</v>
      </c>
      <c r="F155" s="187">
        <f t="shared" si="7"/>
        <v>10000</v>
      </c>
      <c r="G155" s="246">
        <f t="shared" si="8"/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>
        <v>10000</v>
      </c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</row>
    <row r="156" spans="1:39" s="3" customFormat="1" ht="19.5" thickBot="1" x14ac:dyDescent="0.35">
      <c r="A156" s="142" t="s">
        <v>150</v>
      </c>
      <c r="B156" s="145" t="s">
        <v>541</v>
      </c>
      <c r="C156" s="284">
        <v>10000</v>
      </c>
      <c r="D156" s="136"/>
      <c r="E156" s="221">
        <f t="shared" si="6"/>
        <v>10000</v>
      </c>
      <c r="F156" s="187">
        <f t="shared" si="7"/>
        <v>10000</v>
      </c>
      <c r="G156" s="246">
        <f t="shared" si="8"/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>
        <v>10000</v>
      </c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</row>
    <row r="157" spans="1:39" s="3" customFormat="1" ht="19.5" thickBot="1" x14ac:dyDescent="0.35">
      <c r="A157" s="142" t="s">
        <v>151</v>
      </c>
      <c r="B157" s="145" t="s">
        <v>329</v>
      </c>
      <c r="C157" s="284">
        <v>10000</v>
      </c>
      <c r="D157" s="136"/>
      <c r="E157" s="221">
        <f t="shared" si="6"/>
        <v>10000</v>
      </c>
      <c r="F157" s="187">
        <f t="shared" si="7"/>
        <v>10000</v>
      </c>
      <c r="G157" s="246">
        <f t="shared" si="8"/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>
        <v>10000</v>
      </c>
      <c r="AF157" s="239"/>
      <c r="AG157" s="239"/>
      <c r="AH157" s="239"/>
      <c r="AI157" s="239"/>
      <c r="AJ157" s="239"/>
      <c r="AK157" s="239"/>
      <c r="AL157" s="239"/>
      <c r="AM157" s="239"/>
    </row>
    <row r="158" spans="1:39" s="3" customFormat="1" ht="19.5" thickBot="1" x14ac:dyDescent="0.35">
      <c r="A158" s="142" t="s">
        <v>152</v>
      </c>
      <c r="B158" s="145" t="s">
        <v>330</v>
      </c>
      <c r="C158" s="284">
        <v>10000</v>
      </c>
      <c r="D158" s="136"/>
      <c r="E158" s="221">
        <f t="shared" si="6"/>
        <v>10000</v>
      </c>
      <c r="F158" s="187">
        <f t="shared" si="7"/>
        <v>10000</v>
      </c>
      <c r="G158" s="246">
        <f t="shared" si="8"/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39">
        <v>10000</v>
      </c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</row>
    <row r="159" spans="1:39" s="3" customFormat="1" ht="19.5" thickBot="1" x14ac:dyDescent="0.35">
      <c r="A159" s="142" t="s">
        <v>153</v>
      </c>
      <c r="B159" s="145" t="s">
        <v>331</v>
      </c>
      <c r="C159" s="284">
        <v>10000</v>
      </c>
      <c r="D159" s="136"/>
      <c r="E159" s="221">
        <f t="shared" si="6"/>
        <v>10000</v>
      </c>
      <c r="F159" s="187">
        <f t="shared" si="7"/>
        <v>10000</v>
      </c>
      <c r="G159" s="246">
        <f t="shared" si="8"/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>
        <v>5468.57</v>
      </c>
      <c r="T159" s="239"/>
      <c r="U159" s="239">
        <v>130.61000000000001</v>
      </c>
      <c r="V159" s="239">
        <v>50.55</v>
      </c>
      <c r="W159" s="239">
        <v>99.81</v>
      </c>
      <c r="X159" s="239"/>
      <c r="Y159" s="239">
        <v>2498.92</v>
      </c>
      <c r="Z159" s="239">
        <v>456.7</v>
      </c>
      <c r="AA159" s="239">
        <v>1115.53</v>
      </c>
      <c r="AB159" s="239">
        <v>179.31</v>
      </c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</row>
    <row r="160" spans="1:39" s="3" customFormat="1" ht="19.5" thickBot="1" x14ac:dyDescent="0.35">
      <c r="A160" s="142" t="s">
        <v>154</v>
      </c>
      <c r="B160" s="145" t="s">
        <v>545</v>
      </c>
      <c r="C160" s="284">
        <v>27950</v>
      </c>
      <c r="D160" s="136"/>
      <c r="E160" s="221">
        <f t="shared" si="6"/>
        <v>27950</v>
      </c>
      <c r="F160" s="187">
        <f t="shared" si="7"/>
        <v>27950</v>
      </c>
      <c r="G160" s="246">
        <f t="shared" si="8"/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>
        <v>27950</v>
      </c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</row>
    <row r="161" spans="1:39" s="3" customFormat="1" ht="19.5" thickBot="1" x14ac:dyDescent="0.35">
      <c r="A161" s="142" t="s">
        <v>155</v>
      </c>
      <c r="B161" s="145" t="s">
        <v>333</v>
      </c>
      <c r="C161" s="284">
        <v>10000</v>
      </c>
      <c r="D161" s="136"/>
      <c r="E161" s="221">
        <f t="shared" si="6"/>
        <v>10000</v>
      </c>
      <c r="F161" s="187">
        <f t="shared" si="7"/>
        <v>10000</v>
      </c>
      <c r="G161" s="246">
        <f t="shared" si="8"/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>
        <v>10000</v>
      </c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</row>
    <row r="162" spans="1:39" s="3" customFormat="1" ht="19.5" thickBot="1" x14ac:dyDescent="0.35">
      <c r="A162" s="142" t="s">
        <v>156</v>
      </c>
      <c r="B162" s="145" t="s">
        <v>334</v>
      </c>
      <c r="C162" s="284">
        <v>10000</v>
      </c>
      <c r="D162" s="136"/>
      <c r="E162" s="221">
        <f t="shared" si="6"/>
        <v>10000</v>
      </c>
      <c r="F162" s="187">
        <f t="shared" si="7"/>
        <v>10000</v>
      </c>
      <c r="G162" s="246">
        <f t="shared" si="8"/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>
        <v>5000</v>
      </c>
      <c r="T162" s="239">
        <v>5000</v>
      </c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</row>
    <row r="163" spans="1:39" s="3" customFormat="1" ht="19.5" thickBot="1" x14ac:dyDescent="0.35">
      <c r="A163" s="142" t="s">
        <v>157</v>
      </c>
      <c r="B163" s="145" t="s">
        <v>335</v>
      </c>
      <c r="C163" s="284">
        <v>10000</v>
      </c>
      <c r="D163" s="136"/>
      <c r="E163" s="221">
        <f t="shared" si="6"/>
        <v>10000</v>
      </c>
      <c r="F163" s="187">
        <f t="shared" si="7"/>
        <v>10000</v>
      </c>
      <c r="G163" s="246">
        <f t="shared" si="8"/>
        <v>0</v>
      </c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>
        <v>10000</v>
      </c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</row>
    <row r="164" spans="1:39" s="3" customFormat="1" ht="19.5" thickBot="1" x14ac:dyDescent="0.35">
      <c r="A164" s="142" t="s">
        <v>158</v>
      </c>
      <c r="B164" s="145" t="s">
        <v>548</v>
      </c>
      <c r="C164" s="284">
        <v>10000</v>
      </c>
      <c r="D164" s="136">
        <v>9040</v>
      </c>
      <c r="E164" s="272">
        <v>0</v>
      </c>
      <c r="F164" s="187">
        <f t="shared" si="7"/>
        <v>0</v>
      </c>
      <c r="G164" s="246">
        <f t="shared" si="8"/>
        <v>0</v>
      </c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</row>
    <row r="165" spans="1:39" s="3" customFormat="1" ht="19.5" thickBot="1" x14ac:dyDescent="0.35">
      <c r="A165" s="142" t="s">
        <v>159</v>
      </c>
      <c r="B165" s="145" t="s">
        <v>397</v>
      </c>
      <c r="C165" s="284">
        <v>10000</v>
      </c>
      <c r="D165" s="136">
        <v>9040</v>
      </c>
      <c r="E165" s="272">
        <v>0</v>
      </c>
      <c r="F165" s="187">
        <f t="shared" si="7"/>
        <v>0</v>
      </c>
      <c r="G165" s="246">
        <f t="shared" si="8"/>
        <v>0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</row>
    <row r="166" spans="1:39" s="3" customFormat="1" ht="19.5" thickBot="1" x14ac:dyDescent="0.35">
      <c r="A166" s="142" t="s">
        <v>160</v>
      </c>
      <c r="B166" s="145" t="s">
        <v>551</v>
      </c>
      <c r="C166" s="284">
        <v>16501</v>
      </c>
      <c r="D166" s="136"/>
      <c r="E166" s="221">
        <f t="shared" si="6"/>
        <v>16501</v>
      </c>
      <c r="F166" s="187">
        <f t="shared" si="7"/>
        <v>16501</v>
      </c>
      <c r="G166" s="246">
        <f t="shared" si="8"/>
        <v>0</v>
      </c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>
        <v>938.84</v>
      </c>
      <c r="U166" s="239"/>
      <c r="V166" s="239"/>
      <c r="W166" s="239">
        <v>13025.24</v>
      </c>
      <c r="X166" s="239"/>
      <c r="Y166" s="239"/>
      <c r="Z166" s="239"/>
      <c r="AA166" s="239"/>
      <c r="AB166" s="239"/>
      <c r="AC166" s="239"/>
      <c r="AD166" s="239">
        <v>2536.92</v>
      </c>
      <c r="AE166" s="239"/>
      <c r="AF166" s="239"/>
      <c r="AG166" s="239"/>
      <c r="AH166" s="239"/>
      <c r="AI166" s="239"/>
      <c r="AJ166" s="239"/>
      <c r="AK166" s="239"/>
      <c r="AL166" s="239"/>
      <c r="AM166" s="239"/>
    </row>
    <row r="167" spans="1:39" s="3" customFormat="1" ht="19.5" thickBot="1" x14ac:dyDescent="0.35">
      <c r="A167" s="142" t="s">
        <v>161</v>
      </c>
      <c r="B167" s="145" t="s">
        <v>553</v>
      </c>
      <c r="C167" s="284">
        <v>10000</v>
      </c>
      <c r="D167" s="136"/>
      <c r="E167" s="221">
        <f t="shared" si="6"/>
        <v>10000</v>
      </c>
      <c r="F167" s="187">
        <f t="shared" si="7"/>
        <v>8603.2100000000009</v>
      </c>
      <c r="G167" s="246">
        <f t="shared" si="8"/>
        <v>1396.7899999999991</v>
      </c>
      <c r="H167" s="239"/>
      <c r="I167" s="239"/>
      <c r="J167" s="239"/>
      <c r="K167" s="239"/>
      <c r="L167" s="239"/>
      <c r="M167" s="239"/>
      <c r="N167" s="239"/>
      <c r="O167" s="239"/>
      <c r="P167" s="239">
        <v>144.51</v>
      </c>
      <c r="Q167" s="239"/>
      <c r="R167" s="239"/>
      <c r="S167" s="239">
        <v>8458.7000000000007</v>
      </c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</row>
    <row r="168" spans="1:39" s="3" customFormat="1" ht="19.5" thickBot="1" x14ac:dyDescent="0.35">
      <c r="A168" s="142" t="s">
        <v>162</v>
      </c>
      <c r="B168" s="145" t="s">
        <v>555</v>
      </c>
      <c r="C168" s="284">
        <v>19593</v>
      </c>
      <c r="D168" s="136"/>
      <c r="E168" s="221">
        <f t="shared" si="6"/>
        <v>19593</v>
      </c>
      <c r="F168" s="187">
        <f t="shared" si="7"/>
        <v>19593</v>
      </c>
      <c r="G168" s="246">
        <f t="shared" si="8"/>
        <v>0</v>
      </c>
      <c r="H168" s="239"/>
      <c r="I168" s="239"/>
      <c r="J168" s="239"/>
      <c r="K168" s="239"/>
      <c r="L168" s="239"/>
      <c r="M168" s="239"/>
      <c r="N168" s="239">
        <v>19593</v>
      </c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</row>
    <row r="169" spans="1:39" s="3" customFormat="1" ht="19.5" thickBot="1" x14ac:dyDescent="0.35">
      <c r="A169" s="142" t="s">
        <v>163</v>
      </c>
      <c r="B169" s="145" t="s">
        <v>340</v>
      </c>
      <c r="C169" s="284">
        <v>10000</v>
      </c>
      <c r="D169" s="136">
        <v>9040</v>
      </c>
      <c r="E169" s="272">
        <v>0</v>
      </c>
      <c r="F169" s="187">
        <f t="shared" si="7"/>
        <v>0</v>
      </c>
      <c r="G169" s="246">
        <f t="shared" si="8"/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</row>
    <row r="170" spans="1:39" s="3" customFormat="1" ht="19.5" thickBot="1" x14ac:dyDescent="0.35">
      <c r="A170" s="142" t="s">
        <v>164</v>
      </c>
      <c r="B170" s="145" t="s">
        <v>341</v>
      </c>
      <c r="C170" s="284">
        <v>10000</v>
      </c>
      <c r="D170" s="136">
        <v>9025</v>
      </c>
      <c r="E170" s="272">
        <v>0</v>
      </c>
      <c r="F170" s="187">
        <f t="shared" si="7"/>
        <v>0</v>
      </c>
      <c r="G170" s="246">
        <f t="shared" si="8"/>
        <v>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</row>
    <row r="171" spans="1:39" s="3" customFormat="1" ht="19.5" thickBot="1" x14ac:dyDescent="0.35">
      <c r="A171" s="142" t="s">
        <v>165</v>
      </c>
      <c r="B171" s="145" t="s">
        <v>342</v>
      </c>
      <c r="C171" s="284">
        <v>10000</v>
      </c>
      <c r="D171" s="136">
        <v>9040</v>
      </c>
      <c r="E171" s="272">
        <v>0</v>
      </c>
      <c r="F171" s="187">
        <f t="shared" si="7"/>
        <v>0</v>
      </c>
      <c r="G171" s="246">
        <f t="shared" si="8"/>
        <v>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</row>
    <row r="172" spans="1:39" s="3" customFormat="1" ht="19.5" thickBot="1" x14ac:dyDescent="0.35">
      <c r="A172" s="142" t="s">
        <v>166</v>
      </c>
      <c r="B172" s="145" t="s">
        <v>343</v>
      </c>
      <c r="C172" s="284">
        <v>10000</v>
      </c>
      <c r="D172" s="136">
        <v>9040</v>
      </c>
      <c r="E172" s="272">
        <v>0</v>
      </c>
      <c r="F172" s="187">
        <f t="shared" si="7"/>
        <v>0</v>
      </c>
      <c r="G172" s="246">
        <f t="shared" si="8"/>
        <v>0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</row>
    <row r="173" spans="1:39" s="3" customFormat="1" ht="19.5" thickBot="1" x14ac:dyDescent="0.35">
      <c r="A173" s="142" t="s">
        <v>167</v>
      </c>
      <c r="B173" s="145" t="s">
        <v>344</v>
      </c>
      <c r="C173" s="284">
        <v>10000</v>
      </c>
      <c r="D173" s="136">
        <v>9025</v>
      </c>
      <c r="E173" s="272">
        <v>0</v>
      </c>
      <c r="F173" s="187">
        <f t="shared" si="7"/>
        <v>0</v>
      </c>
      <c r="G173" s="246">
        <f t="shared" si="8"/>
        <v>0</v>
      </c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</row>
    <row r="174" spans="1:39" s="3" customFormat="1" ht="19.5" thickBot="1" x14ac:dyDescent="0.35">
      <c r="A174" s="142" t="s">
        <v>168</v>
      </c>
      <c r="B174" s="145" t="s">
        <v>557</v>
      </c>
      <c r="C174" s="284">
        <v>21316</v>
      </c>
      <c r="D174" s="136">
        <v>9035</v>
      </c>
      <c r="E174" s="272">
        <v>0</v>
      </c>
      <c r="F174" s="187">
        <f t="shared" si="7"/>
        <v>0</v>
      </c>
      <c r="G174" s="246">
        <f t="shared" si="8"/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</row>
    <row r="175" spans="1:39" s="3" customFormat="1" ht="18" customHeight="1" thickBot="1" x14ac:dyDescent="0.35">
      <c r="A175" s="142" t="s">
        <v>169</v>
      </c>
      <c r="B175" s="145" t="s">
        <v>559</v>
      </c>
      <c r="C175" s="284">
        <v>10078</v>
      </c>
      <c r="D175" s="136"/>
      <c r="E175" s="221">
        <f t="shared" si="6"/>
        <v>10078</v>
      </c>
      <c r="F175" s="187">
        <f t="shared" si="7"/>
        <v>10078</v>
      </c>
      <c r="G175" s="246">
        <f t="shared" si="8"/>
        <v>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>
        <v>3145</v>
      </c>
      <c r="U175" s="239"/>
      <c r="V175" s="239"/>
      <c r="W175" s="239"/>
      <c r="X175" s="239"/>
      <c r="Y175" s="239"/>
      <c r="Z175" s="239"/>
      <c r="AA175" s="239">
        <v>3000</v>
      </c>
      <c r="AB175" s="239"/>
      <c r="AC175" s="239"/>
      <c r="AD175" s="239"/>
      <c r="AE175" s="239">
        <v>3933</v>
      </c>
      <c r="AF175" s="239"/>
      <c r="AG175" s="239"/>
      <c r="AH175" s="239"/>
      <c r="AI175" s="239"/>
      <c r="AJ175" s="239"/>
      <c r="AK175" s="239"/>
      <c r="AL175" s="239"/>
      <c r="AM175" s="239"/>
    </row>
    <row r="176" spans="1:39" s="3" customFormat="1" ht="18" customHeight="1" thickBot="1" x14ac:dyDescent="0.35">
      <c r="A176" s="142" t="s">
        <v>170</v>
      </c>
      <c r="B176" s="145" t="s">
        <v>398</v>
      </c>
      <c r="C176" s="284">
        <v>33446</v>
      </c>
      <c r="D176" s="136"/>
      <c r="E176" s="221">
        <f t="shared" si="6"/>
        <v>33446</v>
      </c>
      <c r="F176" s="187">
        <f t="shared" si="7"/>
        <v>33446</v>
      </c>
      <c r="G176" s="246">
        <f t="shared" si="8"/>
        <v>0</v>
      </c>
      <c r="H176" s="239"/>
      <c r="I176" s="239"/>
      <c r="J176" s="239"/>
      <c r="K176" s="239"/>
      <c r="L176" s="239"/>
      <c r="M176" s="239"/>
      <c r="N176" s="239"/>
      <c r="O176" s="239"/>
      <c r="P176" s="239">
        <v>24446</v>
      </c>
      <c r="Q176" s="239"/>
      <c r="R176" s="239"/>
      <c r="S176" s="239">
        <v>9000</v>
      </c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</row>
    <row r="177" spans="1:39" s="3" customFormat="1" ht="18" customHeight="1" thickBot="1" x14ac:dyDescent="0.35">
      <c r="A177" s="142" t="s">
        <v>171</v>
      </c>
      <c r="B177" s="145" t="s">
        <v>560</v>
      </c>
      <c r="C177" s="284">
        <v>18170</v>
      </c>
      <c r="D177" s="136"/>
      <c r="E177" s="221">
        <f t="shared" si="6"/>
        <v>18170</v>
      </c>
      <c r="F177" s="187">
        <f t="shared" si="7"/>
        <v>18170</v>
      </c>
      <c r="G177" s="246">
        <f t="shared" si="8"/>
        <v>0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>
        <v>15427.69</v>
      </c>
      <c r="T177" s="239"/>
      <c r="U177" s="239">
        <v>99.51</v>
      </c>
      <c r="V177" s="239"/>
      <c r="W177" s="239"/>
      <c r="X177" s="239"/>
      <c r="Y177" s="239"/>
      <c r="Z177" s="239"/>
      <c r="AA177" s="239"/>
      <c r="AB177" s="239"/>
      <c r="AC177" s="239"/>
      <c r="AD177" s="239">
        <v>2642.8</v>
      </c>
      <c r="AE177" s="239"/>
      <c r="AF177" s="239"/>
      <c r="AG177" s="239"/>
      <c r="AH177" s="239"/>
      <c r="AI177" s="239"/>
      <c r="AJ177" s="239"/>
      <c r="AK177" s="239"/>
      <c r="AL177" s="239"/>
      <c r="AM177" s="239"/>
    </row>
    <row r="178" spans="1:39" s="3" customFormat="1" ht="18" customHeight="1" thickBot="1" x14ac:dyDescent="0.35">
      <c r="A178" s="142" t="s">
        <v>172</v>
      </c>
      <c r="B178" s="145" t="s">
        <v>561</v>
      </c>
      <c r="C178" s="284">
        <v>15891</v>
      </c>
      <c r="D178" s="136"/>
      <c r="E178" s="221">
        <f t="shared" si="6"/>
        <v>15891</v>
      </c>
      <c r="F178" s="187">
        <f t="shared" si="7"/>
        <v>15891</v>
      </c>
      <c r="G178" s="246">
        <f t="shared" si="8"/>
        <v>0</v>
      </c>
      <c r="H178" s="239"/>
      <c r="I178" s="239"/>
      <c r="J178" s="239"/>
      <c r="K178" s="239"/>
      <c r="L178" s="239"/>
      <c r="M178" s="239"/>
      <c r="N178" s="239"/>
      <c r="O178" s="239"/>
      <c r="P178" s="239">
        <v>4969.66</v>
      </c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>
        <v>3474.93</v>
      </c>
      <c r="AD178" s="239">
        <f>1000+3997.71</f>
        <v>4997.71</v>
      </c>
      <c r="AE178" s="239">
        <v>2448.6999999999998</v>
      </c>
      <c r="AF178" s="239"/>
      <c r="AG178" s="239"/>
      <c r="AH178" s="239"/>
      <c r="AI178" s="239"/>
      <c r="AJ178" s="239"/>
      <c r="AK178" s="239"/>
      <c r="AL178" s="239"/>
      <c r="AM178" s="239"/>
    </row>
    <row r="179" spans="1:39" s="3" customFormat="1" ht="18" customHeight="1" thickBot="1" x14ac:dyDescent="0.35">
      <c r="A179" s="142" t="s">
        <v>173</v>
      </c>
      <c r="B179" s="145" t="s">
        <v>349</v>
      </c>
      <c r="C179" s="284">
        <v>302598</v>
      </c>
      <c r="D179" s="136"/>
      <c r="E179" s="221">
        <f t="shared" si="6"/>
        <v>302598</v>
      </c>
      <c r="F179" s="187">
        <f t="shared" si="7"/>
        <v>302598</v>
      </c>
      <c r="G179" s="246">
        <f t="shared" si="8"/>
        <v>0</v>
      </c>
      <c r="H179" s="239"/>
      <c r="I179" s="239"/>
      <c r="J179" s="239"/>
      <c r="K179" s="239"/>
      <c r="L179" s="239"/>
      <c r="M179" s="239"/>
      <c r="N179" s="239">
        <v>37688.17</v>
      </c>
      <c r="O179" s="239"/>
      <c r="P179" s="239">
        <v>2015.19</v>
      </c>
      <c r="Q179" s="239">
        <v>20812.05</v>
      </c>
      <c r="R179" s="239">
        <v>69438.84</v>
      </c>
      <c r="S179" s="239">
        <v>25678.47</v>
      </c>
      <c r="T179" s="239">
        <v>17896.689999999999</v>
      </c>
      <c r="U179" s="239"/>
      <c r="V179" s="239"/>
      <c r="W179" s="239">
        <v>17364.71</v>
      </c>
      <c r="X179" s="239"/>
      <c r="Y179" s="239">
        <v>97420.44</v>
      </c>
      <c r="Z179" s="239"/>
      <c r="AA179" s="239"/>
      <c r="AB179" s="239"/>
      <c r="AC179" s="239">
        <v>14283.44</v>
      </c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</row>
    <row r="180" spans="1:39" s="3" customFormat="1" ht="18" customHeight="1" thickBot="1" x14ac:dyDescent="0.35">
      <c r="A180" s="142" t="s">
        <v>174</v>
      </c>
      <c r="B180" s="145" t="s">
        <v>562</v>
      </c>
      <c r="C180" s="284">
        <v>10000</v>
      </c>
      <c r="D180" s="136">
        <v>9035</v>
      </c>
      <c r="E180" s="272">
        <v>0</v>
      </c>
      <c r="F180" s="187">
        <f t="shared" si="7"/>
        <v>0</v>
      </c>
      <c r="G180" s="246">
        <f t="shared" si="8"/>
        <v>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</row>
    <row r="181" spans="1:39" s="3" customFormat="1" ht="18" customHeight="1" thickBot="1" x14ac:dyDescent="0.35">
      <c r="A181" s="142" t="s">
        <v>175</v>
      </c>
      <c r="B181" s="145" t="s">
        <v>563</v>
      </c>
      <c r="C181" s="284">
        <v>28061</v>
      </c>
      <c r="D181" s="136"/>
      <c r="E181" s="221">
        <f t="shared" si="6"/>
        <v>28061</v>
      </c>
      <c r="F181" s="187">
        <f t="shared" si="7"/>
        <v>26506.77</v>
      </c>
      <c r="G181" s="246">
        <f t="shared" si="8"/>
        <v>1554.2299999999996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>
        <v>19786.77</v>
      </c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>
        <v>6720</v>
      </c>
      <c r="AE181" s="239"/>
      <c r="AF181" s="239"/>
      <c r="AG181" s="239"/>
      <c r="AH181" s="239"/>
      <c r="AI181" s="239"/>
      <c r="AJ181" s="239"/>
      <c r="AK181" s="239"/>
      <c r="AL181" s="239"/>
      <c r="AM181" s="239"/>
    </row>
    <row r="182" spans="1:39" s="3" customFormat="1" ht="18" customHeight="1" thickBot="1" x14ac:dyDescent="0.35">
      <c r="A182" s="142" t="s">
        <v>176</v>
      </c>
      <c r="B182" s="145" t="s">
        <v>564</v>
      </c>
      <c r="C182" s="284">
        <v>10539</v>
      </c>
      <c r="D182" s="136"/>
      <c r="E182" s="221">
        <f t="shared" si="6"/>
        <v>10539</v>
      </c>
      <c r="F182" s="187">
        <f t="shared" si="7"/>
        <v>10539</v>
      </c>
      <c r="G182" s="246">
        <f t="shared" si="8"/>
        <v>0</v>
      </c>
      <c r="H182" s="239"/>
      <c r="I182" s="239"/>
      <c r="J182" s="239"/>
      <c r="K182" s="239"/>
      <c r="L182" s="239"/>
      <c r="M182" s="239"/>
      <c r="N182" s="239"/>
      <c r="O182" s="239"/>
      <c r="P182" s="239">
        <v>2280.3000000000002</v>
      </c>
      <c r="Q182" s="239"/>
      <c r="R182" s="239">
        <v>3750</v>
      </c>
      <c r="S182" s="239"/>
      <c r="T182" s="239"/>
      <c r="U182" s="239"/>
      <c r="V182" s="239">
        <v>4258</v>
      </c>
      <c r="W182" s="239"/>
      <c r="X182" s="239"/>
      <c r="Y182" s="239"/>
      <c r="Z182" s="239"/>
      <c r="AA182" s="239"/>
      <c r="AB182" s="239">
        <v>250.7</v>
      </c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</row>
    <row r="183" spans="1:39" s="3" customFormat="1" ht="18" customHeight="1" thickBot="1" x14ac:dyDescent="0.35">
      <c r="A183" s="142" t="s">
        <v>177</v>
      </c>
      <c r="B183" s="145" t="s">
        <v>565</v>
      </c>
      <c r="C183" s="284">
        <v>10000</v>
      </c>
      <c r="D183" s="136">
        <v>9035</v>
      </c>
      <c r="E183" s="272">
        <v>0</v>
      </c>
      <c r="F183" s="187">
        <f t="shared" si="7"/>
        <v>0</v>
      </c>
      <c r="G183" s="246">
        <f t="shared" si="8"/>
        <v>0</v>
      </c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</row>
    <row r="184" spans="1:39" s="3" customFormat="1" ht="18" customHeight="1" thickBot="1" x14ac:dyDescent="0.35">
      <c r="A184" s="142" t="s">
        <v>178</v>
      </c>
      <c r="B184" s="145" t="s">
        <v>566</v>
      </c>
      <c r="C184" s="284">
        <v>0</v>
      </c>
      <c r="D184" s="136"/>
      <c r="E184" s="272">
        <v>0</v>
      </c>
      <c r="F184" s="187">
        <f t="shared" si="7"/>
        <v>0</v>
      </c>
      <c r="G184" s="246">
        <f t="shared" si="8"/>
        <v>0</v>
      </c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</row>
    <row r="185" spans="1:39" s="3" customFormat="1" ht="18" customHeight="1" thickBot="1" x14ac:dyDescent="0.35">
      <c r="A185" s="142" t="s">
        <v>179</v>
      </c>
      <c r="B185" s="145" t="s">
        <v>567</v>
      </c>
      <c r="C185" s="284">
        <v>10000</v>
      </c>
      <c r="D185" s="136">
        <v>9035</v>
      </c>
      <c r="E185" s="272">
        <v>0</v>
      </c>
      <c r="F185" s="187">
        <f t="shared" si="7"/>
        <v>0</v>
      </c>
      <c r="G185" s="246">
        <f t="shared" si="8"/>
        <v>0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</row>
    <row r="186" spans="1:39" s="3" customFormat="1" ht="18" customHeight="1" thickBot="1" x14ac:dyDescent="0.35">
      <c r="A186" s="142" t="s">
        <v>180</v>
      </c>
      <c r="B186" s="145" t="s">
        <v>356</v>
      </c>
      <c r="C186" s="284">
        <v>10589</v>
      </c>
      <c r="D186" s="136"/>
      <c r="E186" s="221">
        <f t="shared" si="6"/>
        <v>10589</v>
      </c>
      <c r="F186" s="187">
        <f t="shared" si="7"/>
        <v>10589.000000000002</v>
      </c>
      <c r="G186" s="246">
        <f t="shared" si="8"/>
        <v>0</v>
      </c>
      <c r="H186" s="239"/>
      <c r="I186" s="239"/>
      <c r="J186" s="239"/>
      <c r="K186" s="239"/>
      <c r="L186" s="239"/>
      <c r="M186" s="239"/>
      <c r="N186" s="239"/>
      <c r="O186" s="239"/>
      <c r="P186" s="239">
        <v>3643.41</v>
      </c>
      <c r="Q186" s="239"/>
      <c r="R186" s="239"/>
      <c r="S186" s="239">
        <v>6901.97</v>
      </c>
      <c r="T186" s="266"/>
      <c r="U186" s="239"/>
      <c r="V186" s="239"/>
      <c r="W186" s="239"/>
      <c r="X186" s="239"/>
      <c r="Y186" s="239"/>
      <c r="Z186" s="239"/>
      <c r="AA186" s="239"/>
      <c r="AB186" s="239"/>
      <c r="AC186" s="239">
        <v>43.62</v>
      </c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</row>
    <row r="187" spans="1:39" s="3" customFormat="1" ht="18" customHeight="1" thickBot="1" x14ac:dyDescent="0.35">
      <c r="A187" s="142" t="s">
        <v>181</v>
      </c>
      <c r="B187" s="145" t="s">
        <v>357</v>
      </c>
      <c r="C187" s="284">
        <v>10000</v>
      </c>
      <c r="D187" s="136"/>
      <c r="E187" s="221">
        <f t="shared" si="6"/>
        <v>10000</v>
      </c>
      <c r="F187" s="187">
        <f t="shared" si="7"/>
        <v>10000</v>
      </c>
      <c r="G187" s="246">
        <f t="shared" si="8"/>
        <v>0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>
        <v>10000</v>
      </c>
      <c r="S187" s="239"/>
      <c r="T187" s="262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</row>
    <row r="188" spans="1:39" s="3" customFormat="1" ht="18" customHeight="1" thickBot="1" x14ac:dyDescent="0.35">
      <c r="A188" s="142" t="s">
        <v>182</v>
      </c>
      <c r="B188" s="145" t="s">
        <v>358</v>
      </c>
      <c r="C188" s="284">
        <v>10000</v>
      </c>
      <c r="D188" s="136">
        <v>9025</v>
      </c>
      <c r="E188" s="272">
        <v>0</v>
      </c>
      <c r="F188" s="187">
        <f t="shared" si="7"/>
        <v>0</v>
      </c>
      <c r="G188" s="246">
        <f t="shared" si="8"/>
        <v>0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</row>
    <row r="189" spans="1:39" s="3" customFormat="1" ht="18" customHeight="1" thickBot="1" x14ac:dyDescent="0.35">
      <c r="A189" s="142" t="s">
        <v>183</v>
      </c>
      <c r="B189" s="145" t="s">
        <v>359</v>
      </c>
      <c r="C189" s="284">
        <v>10000</v>
      </c>
      <c r="D189" s="136">
        <v>9025</v>
      </c>
      <c r="E189" s="272">
        <v>0</v>
      </c>
      <c r="F189" s="187">
        <f t="shared" si="7"/>
        <v>0</v>
      </c>
      <c r="G189" s="246">
        <f t="shared" si="8"/>
        <v>0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</row>
    <row r="190" spans="1:39" ht="18" customHeight="1" thickBot="1" x14ac:dyDescent="0.3">
      <c r="A190" s="142" t="s">
        <v>402</v>
      </c>
      <c r="B190" s="145" t="s">
        <v>571</v>
      </c>
      <c r="C190" s="284">
        <v>130972</v>
      </c>
      <c r="D190" s="136"/>
      <c r="E190" s="221">
        <f>C190</f>
        <v>130972</v>
      </c>
      <c r="F190" s="187">
        <f t="shared" si="7"/>
        <v>130972</v>
      </c>
      <c r="G190" s="246">
        <f t="shared" si="8"/>
        <v>0</v>
      </c>
      <c r="H190" s="239"/>
      <c r="I190" s="239"/>
      <c r="J190" s="239"/>
      <c r="K190" s="239"/>
      <c r="L190" s="239"/>
      <c r="M190" s="239"/>
      <c r="N190" s="239"/>
      <c r="O190" s="239">
        <v>3236</v>
      </c>
      <c r="P190" s="239">
        <v>8638</v>
      </c>
      <c r="Q190" s="239">
        <v>10955</v>
      </c>
      <c r="R190" s="239">
        <v>13429</v>
      </c>
      <c r="S190" s="275"/>
      <c r="T190" s="239">
        <v>19578</v>
      </c>
      <c r="U190" s="239">
        <v>3582</v>
      </c>
      <c r="V190" s="239"/>
      <c r="W190" s="239"/>
      <c r="X190" s="239"/>
      <c r="Y190" s="239"/>
      <c r="Z190" s="239">
        <v>48718</v>
      </c>
      <c r="AA190" s="239">
        <v>9379.06</v>
      </c>
      <c r="AB190" s="239"/>
      <c r="AC190" s="239">
        <v>13456.94</v>
      </c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</row>
    <row r="191" spans="1:39" ht="16.5" thickBot="1" x14ac:dyDescent="0.3">
      <c r="A191" s="142" t="s">
        <v>362</v>
      </c>
      <c r="B191" s="145" t="s">
        <v>594</v>
      </c>
      <c r="C191" s="284">
        <v>10000</v>
      </c>
      <c r="D191" s="136"/>
      <c r="E191" s="221">
        <f>C191</f>
        <v>10000</v>
      </c>
      <c r="F191" s="187">
        <f t="shared" si="7"/>
        <v>10000</v>
      </c>
      <c r="G191" s="246">
        <f t="shared" si="8"/>
        <v>0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62"/>
      <c r="U191" s="239">
        <v>10000</v>
      </c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</row>
    <row r="192" spans="1:39" ht="16.5" thickBot="1" x14ac:dyDescent="0.3">
      <c r="A192" s="142" t="s">
        <v>370</v>
      </c>
      <c r="B192" s="145" t="s">
        <v>374</v>
      </c>
      <c r="C192" s="226">
        <v>0</v>
      </c>
      <c r="D192" s="136"/>
      <c r="E192" s="221">
        <f>C16+C17+C25+C40+C41+C56+C59+C92+C93+C94+C95+C96+C110+C111+C112+C170+C173+C188+C189</f>
        <v>191920</v>
      </c>
      <c r="F192" s="187">
        <f t="shared" si="7"/>
        <v>191920</v>
      </c>
      <c r="G192" s="246">
        <f t="shared" si="8"/>
        <v>0</v>
      </c>
      <c r="H192" s="239"/>
      <c r="I192" s="239"/>
      <c r="J192" s="239"/>
      <c r="K192" s="239"/>
      <c r="L192" s="239"/>
      <c r="M192" s="239"/>
      <c r="N192" s="239">
        <v>20000</v>
      </c>
      <c r="O192" s="239">
        <v>51613.25</v>
      </c>
      <c r="P192" s="239">
        <v>527.75</v>
      </c>
      <c r="Q192" s="239">
        <v>39983</v>
      </c>
      <c r="R192" s="239"/>
      <c r="S192" s="263">
        <v>39184</v>
      </c>
      <c r="T192" s="267">
        <v>39864</v>
      </c>
      <c r="U192" s="264"/>
      <c r="V192" s="239"/>
      <c r="W192" s="239"/>
      <c r="X192" s="239"/>
      <c r="Y192" s="239">
        <v>748</v>
      </c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</row>
    <row r="193" spans="1:39" ht="16.5" thickBot="1" x14ac:dyDescent="0.3">
      <c r="A193" s="142" t="s">
        <v>371</v>
      </c>
      <c r="B193" s="145" t="s">
        <v>595</v>
      </c>
      <c r="C193" s="226">
        <v>0</v>
      </c>
      <c r="D193" s="136"/>
      <c r="E193" s="221">
        <f>C113+C127+C129+C130+C174+C183+C185+C180</f>
        <v>114826</v>
      </c>
      <c r="F193" s="187">
        <f t="shared" si="7"/>
        <v>94333</v>
      </c>
      <c r="G193" s="246">
        <f t="shared" si="8"/>
        <v>20493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63">
        <v>10945</v>
      </c>
      <c r="T193" s="265">
        <v>12679</v>
      </c>
      <c r="U193" s="264"/>
      <c r="V193" s="239">
        <v>3004</v>
      </c>
      <c r="W193" s="239"/>
      <c r="X193" s="239"/>
      <c r="Y193" s="239"/>
      <c r="Z193" s="239">
        <v>3952</v>
      </c>
      <c r="AA193" s="239">
        <v>4271</v>
      </c>
      <c r="AB193" s="239">
        <v>8986</v>
      </c>
      <c r="AC193" s="239">
        <v>2850</v>
      </c>
      <c r="AD193" s="239">
        <v>4538</v>
      </c>
      <c r="AE193" s="239">
        <v>287</v>
      </c>
      <c r="AF193" s="239">
        <v>27703</v>
      </c>
      <c r="AG193" s="239">
        <v>6473</v>
      </c>
      <c r="AH193" s="239">
        <v>8645</v>
      </c>
      <c r="AI193" s="239"/>
      <c r="AJ193" s="239"/>
      <c r="AK193" s="239"/>
      <c r="AL193" s="239"/>
      <c r="AM193" s="239"/>
    </row>
    <row r="194" spans="1:39" s="165" customFormat="1" ht="16.5" thickBot="1" x14ac:dyDescent="0.3">
      <c r="A194" s="142" t="s">
        <v>372</v>
      </c>
      <c r="B194" s="145" t="s">
        <v>376</v>
      </c>
      <c r="C194" s="226">
        <v>0</v>
      </c>
      <c r="D194" s="136"/>
      <c r="E194" s="221">
        <f>C114+C115+C116+C142+C164+C165+C169+C171+C172</f>
        <v>90000</v>
      </c>
      <c r="F194" s="187">
        <f t="shared" si="7"/>
        <v>90000</v>
      </c>
      <c r="G194" s="246">
        <f t="shared" si="8"/>
        <v>0</v>
      </c>
      <c r="H194" s="239"/>
      <c r="I194" s="239"/>
      <c r="J194" s="239"/>
      <c r="K194" s="239"/>
      <c r="L194" s="239"/>
      <c r="M194" s="239"/>
      <c r="N194" s="239"/>
      <c r="O194" s="239"/>
      <c r="P194" s="239">
        <f>17764.39+6962.96</f>
        <v>24727.35</v>
      </c>
      <c r="Q194" s="239"/>
      <c r="R194" s="239">
        <f>3289.39+6264.38</f>
        <v>9553.77</v>
      </c>
      <c r="S194" s="263">
        <v>4925.55</v>
      </c>
      <c r="T194" s="268"/>
      <c r="U194" s="264">
        <v>10574.8</v>
      </c>
      <c r="V194" s="239"/>
      <c r="W194" s="239">
        <v>4722.29</v>
      </c>
      <c r="X194" s="239">
        <v>5424.63</v>
      </c>
      <c r="Y194" s="239">
        <v>6006.02</v>
      </c>
      <c r="Z194" s="239">
        <v>5304.63</v>
      </c>
      <c r="AA194" s="239">
        <v>5074.6400000000003</v>
      </c>
      <c r="AB194" s="239">
        <v>13686.32</v>
      </c>
      <c r="AC194" s="239"/>
      <c r="AD194" s="239"/>
      <c r="AE194" s="239"/>
      <c r="AF194" s="239"/>
      <c r="AG194" s="239"/>
      <c r="AH194" s="239"/>
      <c r="AI194" s="239"/>
      <c r="AJ194" s="239"/>
      <c r="AK194" s="239"/>
      <c r="AL194" s="239"/>
      <c r="AM194" s="239"/>
    </row>
    <row r="195" spans="1:39" x14ac:dyDescent="0.25">
      <c r="B195" s="133"/>
      <c r="C195" s="227"/>
      <c r="D195" s="133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5"/>
      <c r="Q195" s="231"/>
      <c r="R195" s="230"/>
      <c r="S195" s="257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</row>
    <row r="196" spans="1:39" x14ac:dyDescent="0.25">
      <c r="A196" s="175" t="s">
        <v>603</v>
      </c>
      <c r="B196" s="176"/>
      <c r="C196" s="228">
        <f>SUM(C12:C194)</f>
        <v>10101061</v>
      </c>
      <c r="D196" s="176"/>
      <c r="E196" s="232">
        <f>SUM(E12:E194)</f>
        <v>10101061</v>
      </c>
      <c r="F196" s="233">
        <f>SUM(F12:F194)</f>
        <v>8824423.6699999999</v>
      </c>
      <c r="G196" s="233">
        <f>SUM(G12:G194)</f>
        <v>1276637.3299999998</v>
      </c>
      <c r="H196" s="233"/>
      <c r="I196" s="233"/>
      <c r="J196" s="233"/>
      <c r="K196" s="233">
        <f t="shared" ref="K196:X196" si="9">SUM(K12:K195)</f>
        <v>9906.8100000000013</v>
      </c>
      <c r="L196" s="233">
        <f t="shared" si="9"/>
        <v>43446.93</v>
      </c>
      <c r="M196" s="233">
        <f t="shared" si="9"/>
        <v>50271.009999999995</v>
      </c>
      <c r="N196" s="233">
        <f t="shared" si="9"/>
        <v>212224.19</v>
      </c>
      <c r="O196" s="233">
        <f t="shared" si="9"/>
        <v>252326.13000000003</v>
      </c>
      <c r="P196" s="233">
        <f t="shared" si="9"/>
        <v>193187.63</v>
      </c>
      <c r="Q196" s="233">
        <f t="shared" si="9"/>
        <v>471648.04999999993</v>
      </c>
      <c r="R196" s="233">
        <f t="shared" si="9"/>
        <v>386537.45999999996</v>
      </c>
      <c r="S196" s="233">
        <f t="shared" si="9"/>
        <v>804085.33</v>
      </c>
      <c r="T196" s="233">
        <f t="shared" si="9"/>
        <v>427634.22000000003</v>
      </c>
      <c r="U196" s="233">
        <f t="shared" si="9"/>
        <v>169945.79</v>
      </c>
      <c r="V196" s="233">
        <f t="shared" si="9"/>
        <v>425973.85999999993</v>
      </c>
      <c r="W196" s="233">
        <f t="shared" si="9"/>
        <v>480651.99000000005</v>
      </c>
      <c r="X196" s="233">
        <f t="shared" si="9"/>
        <v>449617.35</v>
      </c>
      <c r="Y196" s="233">
        <f t="shared" ref="Y196:AM196" si="10">SUM(Y12:Y195)</f>
        <v>454473.76999999996</v>
      </c>
      <c r="Z196" s="233">
        <f t="shared" si="10"/>
        <v>203401.88999999998</v>
      </c>
      <c r="AA196" s="233">
        <f t="shared" si="10"/>
        <v>407690.70000000019</v>
      </c>
      <c r="AB196" s="233">
        <f t="shared" si="10"/>
        <v>445211.62000000005</v>
      </c>
      <c r="AC196" s="233">
        <f t="shared" si="10"/>
        <v>692679.43999999983</v>
      </c>
      <c r="AD196" s="233">
        <f t="shared" si="10"/>
        <v>421139.06</v>
      </c>
      <c r="AE196" s="233">
        <f t="shared" si="10"/>
        <v>647413.87999999989</v>
      </c>
      <c r="AF196" s="233">
        <f t="shared" si="10"/>
        <v>274383.86</v>
      </c>
      <c r="AG196" s="233">
        <f t="shared" si="10"/>
        <v>34717.820000000007</v>
      </c>
      <c r="AH196" s="233">
        <f t="shared" si="10"/>
        <v>865854.88</v>
      </c>
      <c r="AI196" s="233">
        <f t="shared" si="10"/>
        <v>0</v>
      </c>
      <c r="AJ196" s="233">
        <f t="shared" si="10"/>
        <v>0</v>
      </c>
      <c r="AK196" s="233">
        <f t="shared" si="10"/>
        <v>0</v>
      </c>
      <c r="AL196" s="233">
        <f t="shared" si="10"/>
        <v>0</v>
      </c>
      <c r="AM196" s="233">
        <f t="shared" si="10"/>
        <v>0</v>
      </c>
    </row>
    <row r="197" spans="1:39" x14ac:dyDescent="0.25">
      <c r="B197" s="133"/>
      <c r="C197" s="170"/>
      <c r="D197" s="133"/>
      <c r="E197" s="170"/>
    </row>
    <row r="198" spans="1:39" x14ac:dyDescent="0.25">
      <c r="B198" s="133"/>
      <c r="C198" s="170"/>
      <c r="D198" s="133"/>
      <c r="E198" s="170"/>
    </row>
    <row r="199" spans="1:39" x14ac:dyDescent="0.25">
      <c r="B199" s="133"/>
      <c r="C199" s="170"/>
      <c r="D199" s="133"/>
      <c r="E199" s="170"/>
      <c r="N199" s="177"/>
      <c r="R199" s="230"/>
      <c r="S199" s="257"/>
      <c r="T199" s="230"/>
    </row>
    <row r="200" spans="1:39" x14ac:dyDescent="0.25">
      <c r="B200" s="133"/>
      <c r="C200" s="170"/>
      <c r="D200" s="133"/>
      <c r="E200" s="170"/>
      <c r="T200" s="230"/>
    </row>
    <row r="201" spans="1:39" x14ac:dyDescent="0.25">
      <c r="B201" s="133"/>
      <c r="C201" s="170"/>
      <c r="D201" s="133"/>
      <c r="E201" s="170"/>
    </row>
    <row r="202" spans="1:39" x14ac:dyDescent="0.25">
      <c r="B202" s="133"/>
      <c r="C202" s="170"/>
      <c r="D202" s="133"/>
      <c r="E202" s="170"/>
      <c r="T202" s="230"/>
    </row>
    <row r="203" spans="1:39" x14ac:dyDescent="0.25">
      <c r="B203" s="133"/>
      <c r="C203" s="170"/>
      <c r="D203" s="133"/>
      <c r="E203" s="170"/>
      <c r="M203" s="177"/>
    </row>
    <row r="204" spans="1:39" x14ac:dyDescent="0.25">
      <c r="B204" s="133"/>
      <c r="C204" s="170"/>
      <c r="D204" s="133"/>
      <c r="E204" s="170"/>
    </row>
    <row r="205" spans="1:39" x14ac:dyDescent="0.25">
      <c r="B205" s="133"/>
      <c r="C205" s="170"/>
      <c r="D205" s="133"/>
      <c r="E205" s="170"/>
    </row>
    <row r="206" spans="1:39" x14ac:dyDescent="0.25">
      <c r="B206" s="133"/>
      <c r="C206" s="170"/>
      <c r="D206" s="133"/>
      <c r="E206" s="170"/>
    </row>
    <row r="207" spans="1:39" x14ac:dyDescent="0.25">
      <c r="B207" s="133"/>
      <c r="C207" s="170"/>
      <c r="D207" s="133"/>
      <c r="E207" s="170"/>
    </row>
    <row r="208" spans="1:39" x14ac:dyDescent="0.25">
      <c r="B208" s="133"/>
      <c r="C208" s="170"/>
      <c r="D208" s="133"/>
      <c r="E208" s="170"/>
    </row>
    <row r="209" spans="2:5" x14ac:dyDescent="0.25">
      <c r="B209" s="133"/>
      <c r="C209" s="170"/>
      <c r="D209" s="133"/>
      <c r="E209" s="170"/>
    </row>
    <row r="210" spans="2:5" x14ac:dyDescent="0.25">
      <c r="B210" s="133"/>
      <c r="C210" s="170"/>
      <c r="D210" s="133"/>
      <c r="E210" s="170"/>
    </row>
    <row r="211" spans="2:5" x14ac:dyDescent="0.25">
      <c r="B211" s="133"/>
      <c r="C211" s="170"/>
      <c r="D211" s="133"/>
      <c r="E211" s="170"/>
    </row>
    <row r="212" spans="2:5" x14ac:dyDescent="0.25">
      <c r="B212" s="133"/>
      <c r="C212" s="170"/>
      <c r="D212" s="133"/>
      <c r="E212" s="170"/>
    </row>
    <row r="213" spans="2:5" x14ac:dyDescent="0.25">
      <c r="B213" s="133"/>
      <c r="C213" s="170"/>
      <c r="D213" s="133"/>
      <c r="E213" s="170"/>
    </row>
    <row r="214" spans="2:5" x14ac:dyDescent="0.25">
      <c r="B214" s="133"/>
      <c r="C214" s="170"/>
      <c r="D214" s="133"/>
      <c r="E214" s="170"/>
    </row>
    <row r="215" spans="2:5" x14ac:dyDescent="0.25">
      <c r="B215" s="133"/>
      <c r="C215" s="170"/>
      <c r="D215" s="133"/>
      <c r="E215" s="170"/>
    </row>
    <row r="216" spans="2:5" x14ac:dyDescent="0.25">
      <c r="B216" s="133"/>
      <c r="C216" s="170"/>
      <c r="D216" s="133"/>
      <c r="E216" s="170"/>
    </row>
    <row r="217" spans="2:5" x14ac:dyDescent="0.25">
      <c r="B217" s="133"/>
      <c r="C217" s="170"/>
      <c r="D217" s="133"/>
      <c r="E217" s="170"/>
    </row>
    <row r="218" spans="2:5" x14ac:dyDescent="0.25">
      <c r="B218" s="133"/>
      <c r="C218" s="170"/>
      <c r="D218" s="133"/>
      <c r="E218" s="170"/>
    </row>
    <row r="219" spans="2:5" x14ac:dyDescent="0.25">
      <c r="B219" s="133"/>
      <c r="C219" s="170"/>
      <c r="D219" s="133"/>
      <c r="E219" s="170"/>
    </row>
    <row r="220" spans="2:5" x14ac:dyDescent="0.25">
      <c r="B220" s="133"/>
      <c r="C220" s="170"/>
      <c r="D220" s="133"/>
      <c r="E220" s="170"/>
    </row>
    <row r="221" spans="2:5" x14ac:dyDescent="0.25">
      <c r="B221" s="133"/>
      <c r="C221" s="170"/>
      <c r="D221" s="133"/>
      <c r="E221" s="170"/>
    </row>
    <row r="222" spans="2:5" x14ac:dyDescent="0.25">
      <c r="B222" s="133"/>
      <c r="C222" s="170"/>
      <c r="D222" s="133"/>
      <c r="E222" s="170"/>
    </row>
    <row r="223" spans="2:5" x14ac:dyDescent="0.25">
      <c r="B223" s="133"/>
      <c r="C223" s="170"/>
      <c r="D223" s="133"/>
      <c r="E223" s="170"/>
    </row>
    <row r="224" spans="2:5" x14ac:dyDescent="0.25">
      <c r="B224" s="133"/>
      <c r="C224" s="170"/>
      <c r="D224" s="133"/>
      <c r="E224" s="170"/>
    </row>
    <row r="225" spans="2:5" x14ac:dyDescent="0.25">
      <c r="B225" s="133"/>
      <c r="C225" s="170"/>
      <c r="D225" s="133"/>
      <c r="E225" s="170"/>
    </row>
    <row r="226" spans="2:5" x14ac:dyDescent="0.25">
      <c r="B226" s="133"/>
      <c r="C226" s="170"/>
      <c r="D226" s="133"/>
      <c r="E226" s="170"/>
    </row>
    <row r="227" spans="2:5" x14ac:dyDescent="0.25">
      <c r="B227" s="133"/>
      <c r="C227" s="170"/>
      <c r="D227" s="133"/>
      <c r="E227" s="170"/>
    </row>
    <row r="228" spans="2:5" x14ac:dyDescent="0.25">
      <c r="B228" s="133"/>
      <c r="C228" s="170"/>
      <c r="D228" s="133"/>
      <c r="E228" s="170"/>
    </row>
    <row r="229" spans="2:5" x14ac:dyDescent="0.25">
      <c r="B229" s="133"/>
      <c r="C229" s="170"/>
      <c r="D229" s="133"/>
      <c r="E229" s="170"/>
    </row>
    <row r="230" spans="2:5" x14ac:dyDescent="0.25">
      <c r="B230" s="133"/>
      <c r="C230" s="170"/>
      <c r="D230" s="133"/>
      <c r="E230" s="170"/>
    </row>
    <row r="231" spans="2:5" x14ac:dyDescent="0.25">
      <c r="B231" s="133"/>
      <c r="C231" s="170"/>
      <c r="D231" s="133"/>
      <c r="E231" s="170"/>
    </row>
    <row r="232" spans="2:5" x14ac:dyDescent="0.25">
      <c r="B232" s="133"/>
      <c r="C232" s="170"/>
      <c r="D232" s="133"/>
      <c r="E232" s="170"/>
    </row>
    <row r="233" spans="2:5" x14ac:dyDescent="0.25">
      <c r="B233" s="133"/>
      <c r="C233" s="170"/>
      <c r="D233" s="133"/>
      <c r="E233" s="170"/>
    </row>
  </sheetData>
  <sheetProtection algorithmName="SHA-512" hashValue="/dzdmsihyAijz2lg2tt0Gq0I9vhXXSX2nKqPsIatpPSAuLaIUCrWF4GYfa89JmiI1wrF8+nlRtCHNuxIzrw39g==" saltValue="49vguYgEUMLc1lL6ggX/aA==" spinCount="100000" sheet="1" objects="1" scenarios="1"/>
  <autoFilter ref="A11:AM194" xr:uid="{00000000-0009-0000-0000-000007000000}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66CCFF"/>
    <pageSetUpPr fitToPage="1"/>
  </sheetPr>
  <dimension ref="A1:AM46"/>
  <sheetViews>
    <sheetView workbookViewId="0">
      <pane xSplit="7" ySplit="11" topLeftCell="AG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H18" sqref="AH18"/>
    </sheetView>
  </sheetViews>
  <sheetFormatPr defaultColWidth="9.140625" defaultRowHeight="15" x14ac:dyDescent="0.25"/>
  <cols>
    <col min="1" max="1" width="18.42578125" style="118" customWidth="1"/>
    <col min="2" max="2" width="33.28515625" style="7" customWidth="1"/>
    <col min="3" max="3" width="18.42578125" style="7" customWidth="1"/>
    <col min="4" max="4" width="18.42578125" style="110" customWidth="1"/>
    <col min="5" max="5" width="18.42578125" style="7" customWidth="1"/>
    <col min="6" max="7" width="15.28515625" style="7" customWidth="1"/>
    <col min="8" max="16" width="15.7109375" style="7" customWidth="1"/>
    <col min="17" max="17" width="15.7109375" style="94" customWidth="1"/>
    <col min="18" max="34" width="15.7109375" style="7" customWidth="1"/>
    <col min="35" max="39" width="16" style="7" customWidth="1"/>
    <col min="40" max="16384" width="9.140625" style="7"/>
  </cols>
  <sheetData>
    <row r="1" spans="1:39" s="62" customFormat="1" ht="21" x14ac:dyDescent="0.35">
      <c r="A1" s="122" t="s">
        <v>0</v>
      </c>
      <c r="B1" s="64"/>
      <c r="C1" s="122" t="s">
        <v>578</v>
      </c>
      <c r="D1" s="103"/>
      <c r="E1" s="122"/>
      <c r="F1" s="63"/>
      <c r="G1" s="63"/>
      <c r="H1" s="66"/>
      <c r="I1" s="66"/>
      <c r="J1" s="122" t="str">
        <f>C1</f>
        <v>Title V-B Formula</v>
      </c>
      <c r="K1" s="122"/>
      <c r="L1" s="63"/>
      <c r="M1" s="63"/>
      <c r="N1" s="63"/>
      <c r="O1" s="63"/>
      <c r="P1" s="122" t="str">
        <f>C1</f>
        <v>Title V-B Formula</v>
      </c>
      <c r="Q1" s="97"/>
      <c r="R1" s="122"/>
      <c r="S1" s="122"/>
      <c r="T1" s="63"/>
      <c r="U1" s="63"/>
      <c r="V1" s="122" t="str">
        <f>C1</f>
        <v>Title V-B Formula</v>
      </c>
      <c r="W1" s="63"/>
      <c r="X1" s="66"/>
      <c r="Y1" s="66"/>
      <c r="Z1" s="122"/>
      <c r="AA1" s="122"/>
      <c r="AB1" s="122" t="str">
        <f>C1</f>
        <v>Title V-B Formula</v>
      </c>
      <c r="AC1" s="63"/>
      <c r="AD1" s="63"/>
      <c r="AE1" s="63"/>
      <c r="AF1" s="122" t="str">
        <f>C1</f>
        <v>Title V-B Formula</v>
      </c>
      <c r="AG1" s="66"/>
      <c r="AH1" s="122"/>
      <c r="AI1" s="120"/>
      <c r="AJ1" s="120"/>
      <c r="AK1" s="120"/>
      <c r="AL1" s="120"/>
      <c r="AM1" s="120"/>
    </row>
    <row r="2" spans="1:39" s="62" customFormat="1" ht="15.75" x14ac:dyDescent="0.25">
      <c r="A2" s="123" t="s">
        <v>1</v>
      </c>
      <c r="B2" s="64"/>
      <c r="C2" s="68" t="s">
        <v>579</v>
      </c>
      <c r="D2" s="104"/>
      <c r="E2" s="68"/>
      <c r="F2" s="67"/>
      <c r="G2" s="67"/>
      <c r="H2" s="66"/>
      <c r="I2" s="66"/>
      <c r="J2" s="67" t="str">
        <f>"FY"&amp;C4</f>
        <v>FY2020-2021</v>
      </c>
      <c r="K2" s="67"/>
      <c r="L2" s="123"/>
      <c r="M2" s="123"/>
      <c r="N2" s="67"/>
      <c r="O2" s="67"/>
      <c r="P2" s="67" t="str">
        <f>"FY"&amp;C4</f>
        <v>FY2020-2021</v>
      </c>
      <c r="Q2" s="98"/>
      <c r="R2" s="67"/>
      <c r="S2" s="67"/>
      <c r="T2" s="123"/>
      <c r="U2" s="123"/>
      <c r="V2" s="67" t="str">
        <f>"FY"&amp;C4</f>
        <v>FY2020-2021</v>
      </c>
      <c r="W2" s="67"/>
      <c r="X2" s="67"/>
      <c r="Y2" s="67"/>
      <c r="Z2" s="67"/>
      <c r="AA2" s="67"/>
      <c r="AB2" s="67" t="str">
        <f>"FY"&amp;C4</f>
        <v>FY2020-2021</v>
      </c>
      <c r="AC2" s="123"/>
      <c r="AD2" s="67"/>
      <c r="AE2" s="67"/>
      <c r="AF2" s="67" t="str">
        <f>"FY"&amp;C4</f>
        <v>FY2020-2021</v>
      </c>
      <c r="AG2" s="67"/>
      <c r="AH2" s="67"/>
      <c r="AI2" s="81"/>
      <c r="AJ2" s="81"/>
      <c r="AK2" s="81"/>
      <c r="AL2" s="81"/>
      <c r="AM2" s="81"/>
    </row>
    <row r="3" spans="1:39" s="62" customFormat="1" ht="15.75" x14ac:dyDescent="0.25">
      <c r="A3" s="123" t="s">
        <v>3</v>
      </c>
      <c r="B3" s="64"/>
      <c r="C3" s="123">
        <v>6358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</row>
    <row r="4" spans="1:39" s="62" customFormat="1" ht="21" x14ac:dyDescent="0.35">
      <c r="A4" s="123" t="s">
        <v>2</v>
      </c>
      <c r="B4" s="64"/>
      <c r="C4" s="122" t="s">
        <v>641</v>
      </c>
      <c r="D4" s="105"/>
      <c r="E4" s="123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</row>
    <row r="5" spans="1:39" s="62" customFormat="1" ht="15.75" x14ac:dyDescent="0.25">
      <c r="A5" s="123" t="s">
        <v>392</v>
      </c>
      <c r="B5" s="64"/>
      <c r="C5" s="67" t="s">
        <v>619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</row>
    <row r="6" spans="1:39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</row>
    <row r="7" spans="1:39" s="62" customFormat="1" ht="15.75" x14ac:dyDescent="0.25">
      <c r="A7" s="123"/>
      <c r="B7" s="64"/>
      <c r="C7" s="67" t="s">
        <v>637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</row>
    <row r="8" spans="1:39" s="62" customFormat="1" ht="15.75" x14ac:dyDescent="0.25">
      <c r="A8" s="123" t="s">
        <v>378</v>
      </c>
      <c r="B8" s="64"/>
      <c r="C8" s="67" t="s">
        <v>586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</row>
    <row r="9" spans="1:39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</row>
    <row r="10" spans="1:39" s="62" customFormat="1" ht="16.5" thickBot="1" x14ac:dyDescent="0.3">
      <c r="A10" s="123" t="s">
        <v>393</v>
      </c>
      <c r="B10" s="64"/>
      <c r="C10" s="67" t="s">
        <v>656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</row>
    <row r="11" spans="1:39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617</v>
      </c>
      <c r="E11" s="41" t="s">
        <v>609</v>
      </c>
      <c r="F11" s="42" t="s">
        <v>368</v>
      </c>
      <c r="G11" s="49" t="s">
        <v>369</v>
      </c>
      <c r="H11" s="100" t="s">
        <v>643</v>
      </c>
      <c r="I11" s="100" t="s">
        <v>587</v>
      </c>
      <c r="J11" s="100" t="s">
        <v>588</v>
      </c>
      <c r="K11" s="100" t="s">
        <v>612</v>
      </c>
      <c r="L11" s="100" t="s">
        <v>613</v>
      </c>
      <c r="M11" s="100" t="s">
        <v>614</v>
      </c>
      <c r="N11" s="100" t="s">
        <v>620</v>
      </c>
      <c r="O11" s="100" t="s">
        <v>621</v>
      </c>
      <c r="P11" s="100" t="s">
        <v>622</v>
      </c>
      <c r="Q11" s="101" t="s">
        <v>623</v>
      </c>
      <c r="R11" s="100" t="s">
        <v>624</v>
      </c>
      <c r="S11" s="100" t="s">
        <v>625</v>
      </c>
      <c r="T11" s="100" t="s">
        <v>626</v>
      </c>
      <c r="U11" s="100" t="s">
        <v>627</v>
      </c>
      <c r="V11" s="100" t="s">
        <v>628</v>
      </c>
      <c r="W11" s="100" t="s">
        <v>629</v>
      </c>
      <c r="X11" s="100" t="s">
        <v>669</v>
      </c>
      <c r="Y11" s="100" t="s">
        <v>631</v>
      </c>
      <c r="Z11" s="100" t="s">
        <v>644</v>
      </c>
      <c r="AA11" s="100" t="s">
        <v>645</v>
      </c>
      <c r="AB11" s="100" t="s">
        <v>646</v>
      </c>
      <c r="AC11" s="100" t="s">
        <v>647</v>
      </c>
      <c r="AD11" s="100" t="s">
        <v>648</v>
      </c>
      <c r="AE11" s="100" t="s">
        <v>649</v>
      </c>
      <c r="AF11" s="100" t="s">
        <v>650</v>
      </c>
      <c r="AG11" s="100" t="s">
        <v>651</v>
      </c>
      <c r="AH11" s="100" t="s">
        <v>652</v>
      </c>
      <c r="AI11" s="100" t="s">
        <v>653</v>
      </c>
      <c r="AJ11" s="100" t="s">
        <v>654</v>
      </c>
      <c r="AK11" s="100" t="s">
        <v>655</v>
      </c>
      <c r="AL11" s="100" t="s">
        <v>615</v>
      </c>
      <c r="AM11" s="100" t="s">
        <v>616</v>
      </c>
    </row>
    <row r="12" spans="1:39" s="3" customFormat="1" ht="18" customHeight="1" thickBot="1" x14ac:dyDescent="0.35">
      <c r="A12" s="279" t="s">
        <v>13</v>
      </c>
      <c r="B12" s="102" t="s">
        <v>414</v>
      </c>
      <c r="C12" s="234">
        <v>47481</v>
      </c>
      <c r="D12" s="102"/>
      <c r="E12" s="187">
        <f>C12</f>
        <v>47481</v>
      </c>
      <c r="F12" s="187">
        <f>SUM(H12:AK12)</f>
        <v>47481</v>
      </c>
      <c r="G12" s="187">
        <f>E12-F12</f>
        <v>0</v>
      </c>
      <c r="H12" s="229"/>
      <c r="I12" s="229"/>
      <c r="J12" s="229"/>
      <c r="K12" s="229"/>
      <c r="L12" s="229"/>
      <c r="M12" s="229">
        <v>2506.88</v>
      </c>
      <c r="N12" s="229">
        <v>3088.92</v>
      </c>
      <c r="O12" s="229">
        <v>3095.07</v>
      </c>
      <c r="P12" s="229">
        <v>3088.92</v>
      </c>
      <c r="Q12" s="229"/>
      <c r="R12" s="269">
        <f>3073.17*2</f>
        <v>6146.34</v>
      </c>
      <c r="S12" s="229">
        <v>13819.23</v>
      </c>
      <c r="T12" s="229">
        <v>3113.17</v>
      </c>
      <c r="U12" s="270">
        <v>3113.17</v>
      </c>
      <c r="V12" s="229">
        <v>3113.18</v>
      </c>
      <c r="W12" s="229">
        <v>3289.75</v>
      </c>
      <c r="X12" s="229"/>
      <c r="Y12" s="229">
        <v>3106.37</v>
      </c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</row>
    <row r="13" spans="1:39" s="3" customFormat="1" ht="18" customHeight="1" thickBot="1" x14ac:dyDescent="0.35">
      <c r="A13" s="279" t="s">
        <v>22</v>
      </c>
      <c r="B13" s="102" t="s">
        <v>200</v>
      </c>
      <c r="C13" s="234">
        <v>34720</v>
      </c>
      <c r="D13" s="102"/>
      <c r="E13" s="187">
        <f t="shared" ref="E13:E27" si="0">C13</f>
        <v>34720</v>
      </c>
      <c r="F13" s="187">
        <f t="shared" ref="F13:F27" si="1">SUM(H13:AK13)</f>
        <v>34720</v>
      </c>
      <c r="G13" s="187">
        <f t="shared" ref="G13:G27" si="2">E13-F13</f>
        <v>0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69">
        <v>31720</v>
      </c>
      <c r="S13" s="229"/>
      <c r="T13" s="229">
        <v>3000</v>
      </c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</row>
    <row r="14" spans="1:39" s="3" customFormat="1" ht="18" customHeight="1" thickBot="1" x14ac:dyDescent="0.35">
      <c r="A14" s="279" t="s">
        <v>28</v>
      </c>
      <c r="B14" s="102" t="s">
        <v>206</v>
      </c>
      <c r="C14" s="234">
        <v>46402</v>
      </c>
      <c r="D14" s="102"/>
      <c r="E14" s="187">
        <f t="shared" si="0"/>
        <v>46402</v>
      </c>
      <c r="F14" s="187">
        <f t="shared" si="1"/>
        <v>46402</v>
      </c>
      <c r="G14" s="187">
        <f t="shared" si="2"/>
        <v>0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69"/>
      <c r="S14" s="229"/>
      <c r="T14" s="229">
        <v>27621.33</v>
      </c>
      <c r="U14" s="229">
        <v>18780.669999999998</v>
      </c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</row>
    <row r="15" spans="1:39" ht="16.5" thickBot="1" x14ac:dyDescent="0.3">
      <c r="A15" s="279" t="s">
        <v>37</v>
      </c>
      <c r="B15" s="102" t="s">
        <v>215</v>
      </c>
      <c r="C15" s="234">
        <v>20861</v>
      </c>
      <c r="D15" s="102"/>
      <c r="E15" s="187">
        <f t="shared" si="0"/>
        <v>20861</v>
      </c>
      <c r="F15" s="187">
        <f t="shared" si="1"/>
        <v>20861</v>
      </c>
      <c r="G15" s="187">
        <f t="shared" si="2"/>
        <v>0</v>
      </c>
      <c r="H15" s="229"/>
      <c r="I15" s="229"/>
      <c r="J15" s="229"/>
      <c r="K15" s="229"/>
      <c r="L15" s="229"/>
      <c r="M15" s="229">
        <v>5479.97</v>
      </c>
      <c r="N15" s="229"/>
      <c r="O15" s="229">
        <v>5378</v>
      </c>
      <c r="P15" s="229"/>
      <c r="Q15" s="229">
        <v>5378</v>
      </c>
      <c r="R15" s="269"/>
      <c r="S15" s="229"/>
      <c r="T15" s="229"/>
      <c r="U15" s="229"/>
      <c r="V15" s="229"/>
      <c r="W15" s="229"/>
      <c r="X15" s="229"/>
      <c r="Y15" s="229"/>
      <c r="Z15" s="229"/>
      <c r="AA15" s="229">
        <v>4625.03</v>
      </c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</row>
    <row r="16" spans="1:39" ht="16.5" thickBot="1" x14ac:dyDescent="0.3">
      <c r="A16" s="279" t="s">
        <v>39</v>
      </c>
      <c r="B16" s="102" t="s">
        <v>217</v>
      </c>
      <c r="C16" s="234">
        <v>3155</v>
      </c>
      <c r="D16" s="102"/>
      <c r="E16" s="187">
        <f t="shared" si="0"/>
        <v>3155</v>
      </c>
      <c r="F16" s="187">
        <f t="shared" si="1"/>
        <v>3155</v>
      </c>
      <c r="G16" s="187">
        <f t="shared" si="2"/>
        <v>0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>
        <v>3155</v>
      </c>
      <c r="R16" s="26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</row>
    <row r="17" spans="1:39" ht="16.5" thickBot="1" x14ac:dyDescent="0.3">
      <c r="A17" s="279" t="s">
        <v>44</v>
      </c>
      <c r="B17" s="102" t="s">
        <v>659</v>
      </c>
      <c r="C17" s="234">
        <v>95084</v>
      </c>
      <c r="D17" s="102"/>
      <c r="E17" s="187">
        <f t="shared" si="0"/>
        <v>95084</v>
      </c>
      <c r="F17" s="187">
        <f t="shared" si="1"/>
        <v>95084</v>
      </c>
      <c r="G17" s="187">
        <f t="shared" si="2"/>
        <v>0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69"/>
      <c r="S17" s="229"/>
      <c r="T17" s="229"/>
      <c r="U17" s="229"/>
      <c r="V17" s="229"/>
      <c r="W17" s="229"/>
      <c r="X17" s="229">
        <f>823.81+3301+18221.92</f>
        <v>22346.729999999996</v>
      </c>
      <c r="Y17" s="229">
        <v>16148.17</v>
      </c>
      <c r="Z17" s="229"/>
      <c r="AA17" s="229">
        <v>56589.1</v>
      </c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</row>
    <row r="18" spans="1:39" ht="16.5" thickBot="1" x14ac:dyDescent="0.3">
      <c r="A18" s="279" t="s">
        <v>69</v>
      </c>
      <c r="B18" s="102" t="s">
        <v>247</v>
      </c>
      <c r="C18" s="234">
        <v>71292</v>
      </c>
      <c r="D18" s="102"/>
      <c r="E18" s="187">
        <f t="shared" si="0"/>
        <v>71292</v>
      </c>
      <c r="F18" s="187">
        <f t="shared" si="1"/>
        <v>71292</v>
      </c>
      <c r="G18" s="187">
        <f t="shared" si="2"/>
        <v>0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69"/>
      <c r="S18" s="229">
        <f>14923+6993</f>
        <v>21916</v>
      </c>
      <c r="T18" s="229"/>
      <c r="U18" s="229">
        <v>20137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>
        <v>29239</v>
      </c>
      <c r="AF18" s="229"/>
      <c r="AG18" s="229"/>
      <c r="AH18" s="229"/>
      <c r="AI18" s="229"/>
      <c r="AJ18" s="229"/>
      <c r="AK18" s="229"/>
      <c r="AL18" s="229"/>
      <c r="AM18" s="229"/>
    </row>
    <row r="19" spans="1:39" ht="16.5" thickBot="1" x14ac:dyDescent="0.3">
      <c r="A19" s="279" t="s">
        <v>80</v>
      </c>
      <c r="B19" s="102" t="s">
        <v>258</v>
      </c>
      <c r="C19" s="234">
        <v>9952</v>
      </c>
      <c r="D19" s="102"/>
      <c r="E19" s="187">
        <f t="shared" si="0"/>
        <v>9952</v>
      </c>
      <c r="F19" s="187">
        <f t="shared" si="1"/>
        <v>9952</v>
      </c>
      <c r="G19" s="187">
        <f t="shared" si="2"/>
        <v>0</v>
      </c>
      <c r="H19" s="229"/>
      <c r="I19" s="229"/>
      <c r="J19" s="229"/>
      <c r="K19" s="229"/>
      <c r="L19" s="229">
        <v>1837.85</v>
      </c>
      <c r="M19" s="229"/>
      <c r="N19" s="229"/>
      <c r="O19" s="229">
        <v>672.87</v>
      </c>
      <c r="P19" s="229">
        <v>672.87</v>
      </c>
      <c r="Q19" s="229"/>
      <c r="R19" s="269"/>
      <c r="S19" s="229">
        <f>1327.13+1345.84</f>
        <v>2672.9700000000003</v>
      </c>
      <c r="T19" s="229"/>
      <c r="U19" s="229"/>
      <c r="V19" s="229">
        <v>450</v>
      </c>
      <c r="W19" s="229"/>
      <c r="X19" s="229"/>
      <c r="Y19" s="229"/>
      <c r="Z19" s="229"/>
      <c r="AA19" s="229">
        <v>2000</v>
      </c>
      <c r="AB19" s="229"/>
      <c r="AC19" s="229"/>
      <c r="AD19" s="229"/>
      <c r="AE19" s="229"/>
      <c r="AF19" s="229"/>
      <c r="AG19" s="229">
        <v>1645.44</v>
      </c>
      <c r="AH19" s="229"/>
      <c r="AI19" s="229"/>
      <c r="AJ19" s="229"/>
      <c r="AK19" s="229"/>
      <c r="AL19" s="229"/>
      <c r="AM19" s="229"/>
    </row>
    <row r="20" spans="1:39" ht="16.5" thickBot="1" x14ac:dyDescent="0.3">
      <c r="A20" s="279" t="s">
        <v>97</v>
      </c>
      <c r="B20" s="102" t="s">
        <v>660</v>
      </c>
      <c r="C20" s="234">
        <v>22326</v>
      </c>
      <c r="D20" s="102"/>
      <c r="E20" s="187">
        <f t="shared" si="0"/>
        <v>22326</v>
      </c>
      <c r="F20" s="187">
        <f t="shared" si="1"/>
        <v>0</v>
      </c>
      <c r="G20" s="187">
        <f t="shared" si="2"/>
        <v>22326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6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</row>
    <row r="21" spans="1:39" ht="16.5" thickBot="1" x14ac:dyDescent="0.3">
      <c r="A21" s="279" t="s">
        <v>98</v>
      </c>
      <c r="B21" s="102" t="s">
        <v>276</v>
      </c>
      <c r="C21" s="234">
        <v>19070</v>
      </c>
      <c r="D21" s="102"/>
      <c r="E21" s="187">
        <f t="shared" si="0"/>
        <v>19070</v>
      </c>
      <c r="F21" s="187">
        <f t="shared" si="1"/>
        <v>19070</v>
      </c>
      <c r="G21" s="187">
        <f t="shared" si="2"/>
        <v>0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6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>
        <f>7740.56+11329.44</f>
        <v>19070</v>
      </c>
      <c r="AH21" s="229"/>
      <c r="AI21" s="229"/>
      <c r="AJ21" s="229"/>
      <c r="AK21" s="229"/>
      <c r="AL21" s="229"/>
      <c r="AM21" s="229"/>
    </row>
    <row r="22" spans="1:39" ht="16.5" thickBot="1" x14ac:dyDescent="0.3">
      <c r="A22" s="279" t="s">
        <v>116</v>
      </c>
      <c r="B22" s="280" t="s">
        <v>661</v>
      </c>
      <c r="C22" s="234">
        <v>54665</v>
      </c>
      <c r="D22" s="102"/>
      <c r="E22" s="187">
        <f t="shared" si="0"/>
        <v>54665</v>
      </c>
      <c r="F22" s="187">
        <f t="shared" si="1"/>
        <v>54665</v>
      </c>
      <c r="G22" s="187">
        <f t="shared" si="2"/>
        <v>0</v>
      </c>
      <c r="H22" s="229"/>
      <c r="I22" s="229"/>
      <c r="J22" s="229"/>
      <c r="K22" s="229"/>
      <c r="L22" s="229"/>
      <c r="M22" s="229"/>
      <c r="N22" s="229"/>
      <c r="O22" s="229"/>
      <c r="P22" s="229">
        <v>4913.1899999999996</v>
      </c>
      <c r="Q22" s="229">
        <v>5045.38</v>
      </c>
      <c r="R22" s="269">
        <v>5148.12</v>
      </c>
      <c r="S22" s="229">
        <v>6845.44</v>
      </c>
      <c r="T22" s="229">
        <v>10832.57</v>
      </c>
      <c r="U22" s="229"/>
      <c r="V22" s="229"/>
      <c r="W22" s="229"/>
      <c r="X22" s="229"/>
      <c r="Y22" s="229"/>
      <c r="Z22" s="229">
        <v>10338</v>
      </c>
      <c r="AA22" s="229">
        <v>5347.05</v>
      </c>
      <c r="AB22" s="229">
        <v>275</v>
      </c>
      <c r="AC22" s="229">
        <v>5420.3</v>
      </c>
      <c r="AD22" s="229"/>
      <c r="AE22" s="229"/>
      <c r="AF22" s="229">
        <f>430.98+68.97</f>
        <v>499.95000000000005</v>
      </c>
      <c r="AG22" s="229"/>
      <c r="AH22" s="229"/>
      <c r="AI22" s="229"/>
      <c r="AJ22" s="229"/>
      <c r="AK22" s="229"/>
      <c r="AL22" s="229"/>
      <c r="AM22" s="229"/>
    </row>
    <row r="23" spans="1:39" ht="16.5" thickBot="1" x14ac:dyDescent="0.3">
      <c r="A23" s="279" t="s">
        <v>125</v>
      </c>
      <c r="B23" s="102" t="s">
        <v>303</v>
      </c>
      <c r="C23" s="234">
        <v>28493</v>
      </c>
      <c r="D23" s="102"/>
      <c r="E23" s="187">
        <f t="shared" si="0"/>
        <v>28493</v>
      </c>
      <c r="F23" s="187">
        <f t="shared" si="1"/>
        <v>0</v>
      </c>
      <c r="G23" s="187">
        <f t="shared" si="2"/>
        <v>28493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</row>
    <row r="24" spans="1:39" ht="16.5" thickBot="1" x14ac:dyDescent="0.3">
      <c r="A24" s="279" t="s">
        <v>126</v>
      </c>
      <c r="B24" s="102" t="s">
        <v>304</v>
      </c>
      <c r="C24" s="234">
        <v>15549</v>
      </c>
      <c r="D24" s="102"/>
      <c r="E24" s="187">
        <f t="shared" si="0"/>
        <v>15549</v>
      </c>
      <c r="F24" s="187">
        <f t="shared" si="1"/>
        <v>15549</v>
      </c>
      <c r="G24" s="187">
        <f t="shared" si="2"/>
        <v>0</v>
      </c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>
        <v>581.44000000000005</v>
      </c>
      <c r="T24" s="229"/>
      <c r="U24" s="229"/>
      <c r="V24" s="229"/>
      <c r="W24" s="229"/>
      <c r="X24" s="229"/>
      <c r="Y24" s="229"/>
      <c r="Z24" s="229"/>
      <c r="AA24" s="229"/>
      <c r="AB24" s="229">
        <v>8981</v>
      </c>
      <c r="AC24" s="229"/>
      <c r="AD24" s="229"/>
      <c r="AE24" s="229">
        <v>1579.85</v>
      </c>
      <c r="AF24" s="229"/>
      <c r="AG24" s="229"/>
      <c r="AH24" s="229">
        <v>4406.71</v>
      </c>
      <c r="AI24" s="229"/>
      <c r="AJ24" s="229"/>
      <c r="AK24" s="229"/>
      <c r="AL24" s="229"/>
      <c r="AM24" s="229"/>
    </row>
    <row r="25" spans="1:39" ht="16.5" thickBot="1" x14ac:dyDescent="0.3">
      <c r="A25" s="279" t="s">
        <v>139</v>
      </c>
      <c r="B25" s="102" t="s">
        <v>317</v>
      </c>
      <c r="C25" s="234">
        <v>29876</v>
      </c>
      <c r="D25" s="102"/>
      <c r="E25" s="187">
        <f t="shared" si="0"/>
        <v>29876</v>
      </c>
      <c r="F25" s="187">
        <f t="shared" si="1"/>
        <v>29876</v>
      </c>
      <c r="G25" s="187">
        <f t="shared" si="2"/>
        <v>0</v>
      </c>
      <c r="H25" s="229"/>
      <c r="I25" s="229"/>
      <c r="J25" s="229"/>
      <c r="K25" s="229"/>
      <c r="L25" s="229">
        <v>1378</v>
      </c>
      <c r="M25" s="229">
        <f>2590+2591</f>
        <v>5181</v>
      </c>
      <c r="N25" s="229"/>
      <c r="O25" s="229">
        <v>2509</v>
      </c>
      <c r="P25" s="229">
        <f>2590+2591</f>
        <v>5181</v>
      </c>
      <c r="Q25" s="229">
        <v>2590</v>
      </c>
      <c r="R25" s="229">
        <v>2590</v>
      </c>
      <c r="S25" s="229">
        <v>2591</v>
      </c>
      <c r="T25" s="229"/>
      <c r="U25" s="229">
        <v>7772</v>
      </c>
      <c r="V25" s="229"/>
      <c r="W25" s="229"/>
      <c r="X25" s="229">
        <v>84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</row>
    <row r="26" spans="1:39" ht="16.5" thickBot="1" x14ac:dyDescent="0.3">
      <c r="A26" s="279" t="s">
        <v>147</v>
      </c>
      <c r="B26" s="102" t="s">
        <v>325</v>
      </c>
      <c r="C26" s="234">
        <v>22265</v>
      </c>
      <c r="D26" s="102"/>
      <c r="E26" s="187">
        <f t="shared" si="0"/>
        <v>22265</v>
      </c>
      <c r="F26" s="187">
        <f t="shared" si="1"/>
        <v>22265</v>
      </c>
      <c r="G26" s="187">
        <f t="shared" si="2"/>
        <v>0</v>
      </c>
      <c r="H26" s="229"/>
      <c r="I26" s="229"/>
      <c r="J26" s="229"/>
      <c r="K26" s="229"/>
      <c r="L26" s="229">
        <v>1022</v>
      </c>
      <c r="M26" s="229">
        <v>1783</v>
      </c>
      <c r="N26" s="229">
        <v>1776</v>
      </c>
      <c r="O26" s="229">
        <v>1783</v>
      </c>
      <c r="P26" s="229">
        <v>2954</v>
      </c>
      <c r="Q26" s="229">
        <v>1782</v>
      </c>
      <c r="R26" s="269">
        <v>1784</v>
      </c>
      <c r="S26" s="229">
        <v>1783</v>
      </c>
      <c r="T26" s="229">
        <v>3814</v>
      </c>
      <c r="U26" s="229">
        <v>1783</v>
      </c>
      <c r="V26" s="229">
        <v>1784</v>
      </c>
      <c r="W26" s="229"/>
      <c r="X26" s="229"/>
      <c r="Y26" s="229"/>
      <c r="Z26" s="229"/>
      <c r="AA26" s="229">
        <v>217</v>
      </c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</row>
    <row r="27" spans="1:39" ht="16.5" thickBot="1" x14ac:dyDescent="0.3">
      <c r="A27" s="279" t="s">
        <v>154</v>
      </c>
      <c r="B27" s="102" t="s">
        <v>545</v>
      </c>
      <c r="C27" s="234">
        <v>12170</v>
      </c>
      <c r="D27" s="102"/>
      <c r="E27" s="187">
        <f t="shared" si="0"/>
        <v>12170</v>
      </c>
      <c r="F27" s="187">
        <f t="shared" si="1"/>
        <v>12170</v>
      </c>
      <c r="G27" s="187">
        <f t="shared" si="2"/>
        <v>0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9"/>
      <c r="S27" s="229"/>
      <c r="T27" s="229">
        <v>12170</v>
      </c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</row>
    <row r="28" spans="1:39" ht="16.5" thickBot="1" x14ac:dyDescent="0.3">
      <c r="A28" s="102"/>
      <c r="B28" s="102"/>
      <c r="C28" s="234"/>
      <c r="D28" s="102"/>
      <c r="E28" s="187"/>
      <c r="F28" s="187"/>
      <c r="G28" s="187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6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</row>
    <row r="29" spans="1:39" ht="16.5" thickBot="1" x14ac:dyDescent="0.3">
      <c r="A29" s="102"/>
      <c r="B29" s="102"/>
      <c r="C29" s="234"/>
      <c r="D29" s="102"/>
      <c r="E29" s="187"/>
      <c r="F29" s="187"/>
      <c r="G29" s="187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6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</row>
    <row r="30" spans="1:39" ht="16.5" thickBot="1" x14ac:dyDescent="0.3">
      <c r="A30" s="102"/>
      <c r="B30" s="102"/>
      <c r="C30" s="234"/>
      <c r="D30" s="102"/>
      <c r="E30" s="187"/>
      <c r="F30" s="187"/>
      <c r="G30" s="187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6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</row>
    <row r="31" spans="1:39" ht="16.5" thickBot="1" x14ac:dyDescent="0.3">
      <c r="A31" s="102"/>
      <c r="B31" s="102"/>
      <c r="C31" s="234"/>
      <c r="D31" s="102"/>
      <c r="E31" s="187"/>
      <c r="F31" s="187"/>
      <c r="G31" s="187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6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</row>
    <row r="32" spans="1:39" ht="16.5" thickBot="1" x14ac:dyDescent="0.3">
      <c r="C32" s="235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29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</row>
    <row r="33" spans="1:39" ht="15.75" thickBot="1" x14ac:dyDescent="0.3">
      <c r="A33" s="184" t="s">
        <v>603</v>
      </c>
      <c r="B33" s="185"/>
      <c r="C33" s="236">
        <f>SUM(C12:C31)</f>
        <v>533361</v>
      </c>
      <c r="D33" s="185"/>
      <c r="E33" s="233">
        <f>SUM(E12:E31)</f>
        <v>533361</v>
      </c>
      <c r="F33" s="233">
        <f>SUM(F12:F31)</f>
        <v>482542</v>
      </c>
      <c r="G33" s="233">
        <f>E33-(F33+AL33+AM33)</f>
        <v>50819</v>
      </c>
      <c r="H33" s="233">
        <f t="shared" ref="H33:AM33" si="3">SUM(H12:H31)</f>
        <v>0</v>
      </c>
      <c r="I33" s="233">
        <f t="shared" si="3"/>
        <v>0</v>
      </c>
      <c r="J33" s="233">
        <f t="shared" si="3"/>
        <v>0</v>
      </c>
      <c r="K33" s="233">
        <f t="shared" si="3"/>
        <v>0</v>
      </c>
      <c r="L33" s="233">
        <f t="shared" si="3"/>
        <v>4237.8500000000004</v>
      </c>
      <c r="M33" s="233">
        <f t="shared" si="3"/>
        <v>14950.85</v>
      </c>
      <c r="N33" s="233">
        <f t="shared" si="3"/>
        <v>4864.92</v>
      </c>
      <c r="O33" s="233">
        <f t="shared" si="3"/>
        <v>13437.94</v>
      </c>
      <c r="P33" s="233">
        <f t="shared" si="3"/>
        <v>16809.98</v>
      </c>
      <c r="Q33" s="237">
        <f>SUM(Q12:Q31)</f>
        <v>17950.38</v>
      </c>
      <c r="R33" s="237">
        <f>SUM(R12:R31)</f>
        <v>47388.46</v>
      </c>
      <c r="S33" s="233">
        <f t="shared" si="3"/>
        <v>50209.08</v>
      </c>
      <c r="T33" s="233">
        <f t="shared" si="3"/>
        <v>60551.07</v>
      </c>
      <c r="U33" s="233">
        <f>SUM(U12:U31)</f>
        <v>51585.84</v>
      </c>
      <c r="V33" s="233">
        <f t="shared" si="3"/>
        <v>5347.18</v>
      </c>
      <c r="W33" s="233">
        <f t="shared" si="3"/>
        <v>3289.75</v>
      </c>
      <c r="X33" s="233">
        <f t="shared" si="3"/>
        <v>22430.729999999996</v>
      </c>
      <c r="Y33" s="233">
        <f t="shared" si="3"/>
        <v>19254.54</v>
      </c>
      <c r="Z33" s="233">
        <f t="shared" si="3"/>
        <v>10338</v>
      </c>
      <c r="AA33" s="233">
        <f t="shared" si="3"/>
        <v>68778.179999999993</v>
      </c>
      <c r="AB33" s="233">
        <f t="shared" si="3"/>
        <v>9256</v>
      </c>
      <c r="AC33" s="233">
        <f t="shared" si="3"/>
        <v>5420.3</v>
      </c>
      <c r="AD33" s="233">
        <f t="shared" si="3"/>
        <v>0</v>
      </c>
      <c r="AE33" s="233">
        <f t="shared" si="3"/>
        <v>30818.85</v>
      </c>
      <c r="AF33" s="233">
        <f t="shared" si="3"/>
        <v>499.95000000000005</v>
      </c>
      <c r="AG33" s="233">
        <f t="shared" si="3"/>
        <v>20715.439999999999</v>
      </c>
      <c r="AH33" s="233">
        <f t="shared" si="3"/>
        <v>4406.71</v>
      </c>
      <c r="AI33" s="233">
        <f t="shared" si="3"/>
        <v>0</v>
      </c>
      <c r="AJ33" s="233">
        <f t="shared" si="3"/>
        <v>0</v>
      </c>
      <c r="AK33" s="233">
        <f t="shared" si="3"/>
        <v>0</v>
      </c>
      <c r="AL33" s="233">
        <f t="shared" si="3"/>
        <v>0</v>
      </c>
      <c r="AM33" s="233">
        <f t="shared" si="3"/>
        <v>0</v>
      </c>
    </row>
    <row r="34" spans="1:39" ht="16.5" thickBot="1" x14ac:dyDescent="0.3">
      <c r="R34" s="229"/>
    </row>
    <row r="35" spans="1:39" ht="16.5" thickBot="1" x14ac:dyDescent="0.3">
      <c r="R35" s="229"/>
    </row>
    <row r="36" spans="1:39" ht="16.5" thickBot="1" x14ac:dyDescent="0.3">
      <c r="R36" s="229"/>
    </row>
    <row r="37" spans="1:39" ht="16.5" thickBot="1" x14ac:dyDescent="0.3">
      <c r="R37" s="229"/>
    </row>
    <row r="38" spans="1:39" ht="16.5" thickBot="1" x14ac:dyDescent="0.3">
      <c r="R38" s="229"/>
    </row>
    <row r="39" spans="1:39" ht="16.5" thickBot="1" x14ac:dyDescent="0.3">
      <c r="R39" s="229"/>
    </row>
    <row r="40" spans="1:39" ht="16.5" thickBot="1" x14ac:dyDescent="0.3">
      <c r="R40" s="229"/>
    </row>
    <row r="41" spans="1:39" ht="16.5" thickBot="1" x14ac:dyDescent="0.3">
      <c r="R41" s="229"/>
    </row>
    <row r="42" spans="1:39" ht="16.5" thickBot="1" x14ac:dyDescent="0.3">
      <c r="R42" s="229"/>
    </row>
    <row r="43" spans="1:39" ht="16.5" thickBot="1" x14ac:dyDescent="0.3">
      <c r="R43" s="229"/>
    </row>
    <row r="44" spans="1:39" ht="16.5" thickBot="1" x14ac:dyDescent="0.3">
      <c r="R44" s="229"/>
    </row>
    <row r="45" spans="1:39" ht="16.5" thickBot="1" x14ac:dyDescent="0.3">
      <c r="R45" s="229"/>
    </row>
    <row r="46" spans="1:39" ht="16.5" thickBot="1" x14ac:dyDescent="0.3">
      <c r="R46" s="229"/>
    </row>
  </sheetData>
  <sheetProtection algorithmName="SHA-512" hashValue="Kh4P7kclS+hSkGrg2NKYwNK+wef+0HLuxrBBiHHh0SVgACryPl0CGX/w4XsKvrf+M/qINZ1m46YhVeurRYGhPw==" saltValue="2G/QEgXa3sjE9HRpAXonyw==" spinCount="100000" sheet="1" objects="1" scenarios="1"/>
  <pageMargins left="0.7" right="0.7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III-ELL </vt:lpstr>
      <vt:lpstr>ESSA Title III SAI</vt:lpstr>
      <vt:lpstr>ESSA Title IV</vt:lpstr>
      <vt:lpstr>ESSA Title V-B</vt:lpstr>
      <vt:lpstr>NCLB Allocations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Kaleda, Steven</cp:lastModifiedBy>
  <cp:lastPrinted>2021-10-12T23:25:43Z</cp:lastPrinted>
  <dcterms:created xsi:type="dcterms:W3CDTF">2011-11-14T17:06:02Z</dcterms:created>
  <dcterms:modified xsi:type="dcterms:W3CDTF">2022-09-14T23:27:50Z</dcterms:modified>
</cp:coreProperties>
</file>