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Competitive Distribution\"/>
    </mc:Choice>
  </mc:AlternateContent>
  <xr:revisionPtr revIDLastSave="0" documentId="13_ncr:1_{744AF539-5D5B-405A-92F2-2ECE143316D0}" xr6:coauthVersionLast="41" xr6:coauthVersionMax="45" xr10:uidLastSave="{00000000-0000-0000-0000-000000000000}"/>
  <bookViews>
    <workbookView xWindow="3080" yWindow="0" windowWidth="14420" windowHeight="9390" tabRatio="961" xr2:uid="{00000000-000D-0000-FFFF-FFFF00000000}"/>
  </bookViews>
  <sheets>
    <sheet name="21ST C7 " sheetId="97" r:id="rId1"/>
    <sheet name="21ST C8" sheetId="126" r:id="rId2"/>
    <sheet name="SRAE" sheetId="116" r:id="rId3"/>
    <sheet name="Colorado MTSS School Climate" sheetId="138" r:id="rId4"/>
    <sheet name="AEFLA " sheetId="93" r:id="rId5"/>
    <sheet name="BEST Instruction" sheetId="132" state="hidden" r:id="rId6"/>
    <sheet name="CDC" sheetId="127" state="hidden" r:id="rId7"/>
    <sheet name="AEFLA Match &amp; PI" sheetId="139" state="hidden" r:id="rId8"/>
    <sheet name="DB Centers" sheetId="133" r:id="rId9"/>
    <sheet name="High Flyers" sheetId="125" state="hidden" r:id="rId10"/>
    <sheet name="IEL_CIVICS " sheetId="130" r:id="rId11"/>
    <sheet name="JAVITS R4R" sheetId="136" state="hidden" r:id="rId12"/>
    <sheet name="JAVITS R4R Y042" sheetId="137" state="hidden" r:id="rId13"/>
    <sheet name="IEL CIVICS Match &amp; PI" sheetId="140" state="hidden" r:id="rId14"/>
    <sheet name="McKinney Vento" sheetId="131" r:id="rId15"/>
    <sheet name="MSIX" sheetId="99" state="hidden" r:id="rId16"/>
    <sheet name="MTSS " sheetId="113" r:id="rId17"/>
    <sheet name="TITLE IC MIGRANT" sheetId="118" r:id="rId18"/>
    <sheet name="TITLE II B MSP" sheetId="95" state="hidden" r:id="rId19"/>
    <sheet name="Title III PD" sheetId="128" r:id="rId20"/>
    <sheet name="TITLE V CHARTER 44xC " sheetId="121" r:id="rId21"/>
  </sheets>
  <definedNames>
    <definedName name="_xlnm._FilterDatabase" localSheetId="0" hidden="1">'21ST C7 '!$A$8:$AB$8</definedName>
    <definedName name="_xlnm._FilterDatabase" localSheetId="1" hidden="1">'21ST C8'!$A$8:$AP$48</definedName>
    <definedName name="_xlnm._FilterDatabase" localSheetId="20" hidden="1">'TITLE V CHARTER 44xC '!$A$8:$AG$24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118" l="1"/>
  <c r="M9" i="118" l="1"/>
  <c r="R57" i="126" l="1"/>
  <c r="Q21" i="131"/>
  <c r="Q9" i="131"/>
  <c r="Q27" i="131" s="1"/>
  <c r="Q23" i="93"/>
  <c r="Q16" i="93"/>
  <c r="Q13" i="93"/>
  <c r="R29" i="126"/>
  <c r="R14" i="126"/>
  <c r="R10" i="126"/>
  <c r="R9" i="126"/>
  <c r="G9" i="126" s="1"/>
  <c r="H9" i="126" s="1"/>
  <c r="S36" i="97"/>
  <c r="S24" i="97"/>
  <c r="S9" i="97"/>
  <c r="S17" i="97"/>
  <c r="H17" i="97" s="1"/>
  <c r="R30" i="97"/>
  <c r="Q28" i="97"/>
  <c r="R25" i="97"/>
  <c r="R18" i="97"/>
  <c r="R16" i="97"/>
  <c r="Q9" i="97"/>
  <c r="AG33" i="93"/>
  <c r="AF33" i="93"/>
  <c r="AE33" i="93"/>
  <c r="AD33" i="93"/>
  <c r="AC33" i="93"/>
  <c r="AB33" i="93"/>
  <c r="AA33" i="93"/>
  <c r="Z33" i="93"/>
  <c r="Y33" i="93"/>
  <c r="X33" i="93"/>
  <c r="W33" i="93"/>
  <c r="V33" i="93"/>
  <c r="U33" i="93"/>
  <c r="T33" i="93"/>
  <c r="S33" i="93"/>
  <c r="R33" i="93"/>
  <c r="O27" i="93"/>
  <c r="F27" i="93" s="1"/>
  <c r="O17" i="93"/>
  <c r="F17" i="93" s="1"/>
  <c r="P11" i="93"/>
  <c r="P33" i="93" s="1"/>
  <c r="O10" i="93"/>
  <c r="F24" i="121"/>
  <c r="G24" i="121" s="1"/>
  <c r="F10" i="121"/>
  <c r="G10" i="121" s="1"/>
  <c r="O20" i="121"/>
  <c r="O9" i="128"/>
  <c r="O9" i="131"/>
  <c r="O27" i="131" s="1"/>
  <c r="E17" i="131"/>
  <c r="C13" i="138"/>
  <c r="D11" i="138"/>
  <c r="E11" i="138" s="1"/>
  <c r="D12" i="138"/>
  <c r="E12" i="138" s="1"/>
  <c r="D10" i="138"/>
  <c r="L47" i="126"/>
  <c r="G47" i="126" s="1"/>
  <c r="K47" i="126"/>
  <c r="O35" i="126"/>
  <c r="G35" i="126" s="1"/>
  <c r="H35" i="126" s="1"/>
  <c r="O46" i="126"/>
  <c r="G46" i="126" s="1"/>
  <c r="H46" i="126" s="1"/>
  <c r="O45" i="126"/>
  <c r="O44" i="126"/>
  <c r="O39" i="126"/>
  <c r="O38" i="126"/>
  <c r="O37" i="126"/>
  <c r="P29" i="97"/>
  <c r="P28" i="97"/>
  <c r="P31" i="97" s="1"/>
  <c r="F22" i="121"/>
  <c r="G22" i="121" s="1"/>
  <c r="N24" i="93"/>
  <c r="R18" i="140"/>
  <c r="Q18" i="140"/>
  <c r="P18" i="140"/>
  <c r="O18" i="140"/>
  <c r="N18" i="140"/>
  <c r="M18" i="140"/>
  <c r="K18" i="140"/>
  <c r="K33" i="139"/>
  <c r="L31" i="139"/>
  <c r="L30" i="139"/>
  <c r="L29" i="139"/>
  <c r="L28" i="139"/>
  <c r="L27" i="139"/>
  <c r="L26" i="139"/>
  <c r="L25" i="139"/>
  <c r="L24" i="139"/>
  <c r="L23" i="139"/>
  <c r="L22" i="139"/>
  <c r="L21" i="139"/>
  <c r="L20" i="139"/>
  <c r="L19" i="139"/>
  <c r="L18" i="139"/>
  <c r="L17" i="139"/>
  <c r="L16" i="139"/>
  <c r="L15" i="139"/>
  <c r="L14" i="139"/>
  <c r="L13" i="139"/>
  <c r="L12" i="139"/>
  <c r="L11" i="139"/>
  <c r="L10" i="139"/>
  <c r="L9" i="139"/>
  <c r="J31" i="139"/>
  <c r="J30" i="139"/>
  <c r="J29" i="139"/>
  <c r="J28" i="139"/>
  <c r="J27" i="139"/>
  <c r="J26" i="139"/>
  <c r="J25" i="139"/>
  <c r="J24" i="139"/>
  <c r="J23" i="139"/>
  <c r="J22" i="139"/>
  <c r="J21" i="139"/>
  <c r="J20" i="139"/>
  <c r="J19" i="139"/>
  <c r="J18" i="139"/>
  <c r="J17" i="139"/>
  <c r="J16" i="139"/>
  <c r="J15" i="139"/>
  <c r="J14" i="139"/>
  <c r="J13" i="139"/>
  <c r="J12" i="139"/>
  <c r="J11" i="139"/>
  <c r="J10" i="139"/>
  <c r="J9" i="139"/>
  <c r="F17" i="140"/>
  <c r="F16" i="140"/>
  <c r="F15" i="140"/>
  <c r="L17" i="140"/>
  <c r="L16" i="140"/>
  <c r="L15" i="140"/>
  <c r="L14" i="140"/>
  <c r="L13" i="140"/>
  <c r="L12" i="140"/>
  <c r="L11" i="140"/>
  <c r="L10" i="140"/>
  <c r="L9" i="140"/>
  <c r="J17" i="140"/>
  <c r="J16" i="140"/>
  <c r="J15" i="140"/>
  <c r="J14" i="140"/>
  <c r="J13" i="140"/>
  <c r="J12" i="140"/>
  <c r="J11" i="140"/>
  <c r="J10" i="140"/>
  <c r="J9" i="140"/>
  <c r="N12" i="130"/>
  <c r="F20" i="131"/>
  <c r="G20" i="131" s="1"/>
  <c r="E20" i="131"/>
  <c r="F9" i="140"/>
  <c r="E12" i="140"/>
  <c r="E18" i="140" s="1"/>
  <c r="E24" i="139"/>
  <c r="H29" i="139"/>
  <c r="H26" i="139"/>
  <c r="H27" i="139"/>
  <c r="H28" i="139"/>
  <c r="H30" i="139"/>
  <c r="H31" i="139"/>
  <c r="F23" i="139"/>
  <c r="F24" i="139"/>
  <c r="F25" i="139"/>
  <c r="F26" i="139"/>
  <c r="F27" i="139"/>
  <c r="F28" i="139"/>
  <c r="F30" i="139"/>
  <c r="F31" i="139"/>
  <c r="H23" i="139"/>
  <c r="H9" i="139"/>
  <c r="H11" i="139"/>
  <c r="H10" i="139"/>
  <c r="H12" i="139"/>
  <c r="H13" i="139"/>
  <c r="H14" i="139"/>
  <c r="H15" i="139"/>
  <c r="H16" i="139"/>
  <c r="H17" i="139"/>
  <c r="H18" i="139"/>
  <c r="H19" i="139"/>
  <c r="H20" i="139"/>
  <c r="H21" i="139"/>
  <c r="H22" i="139"/>
  <c r="H24" i="139"/>
  <c r="H25" i="139"/>
  <c r="F10" i="140"/>
  <c r="F11" i="140"/>
  <c r="F13" i="140"/>
  <c r="F14" i="140"/>
  <c r="AA33" i="139"/>
  <c r="Z33" i="139"/>
  <c r="Y33" i="139"/>
  <c r="X33" i="139"/>
  <c r="W33" i="139"/>
  <c r="V33" i="139"/>
  <c r="U33" i="139"/>
  <c r="T33" i="139"/>
  <c r="S33" i="139"/>
  <c r="R33" i="139"/>
  <c r="Q33" i="139"/>
  <c r="P33" i="139"/>
  <c r="O33" i="139"/>
  <c r="N33" i="139"/>
  <c r="M33" i="139"/>
  <c r="I33" i="139"/>
  <c r="G33" i="139"/>
  <c r="F13" i="139"/>
  <c r="F14" i="139"/>
  <c r="F15" i="139"/>
  <c r="F16" i="139"/>
  <c r="F17" i="139"/>
  <c r="F18" i="139"/>
  <c r="F19" i="139"/>
  <c r="F20" i="139"/>
  <c r="F21" i="139"/>
  <c r="F22" i="139"/>
  <c r="F10" i="139"/>
  <c r="F11" i="139"/>
  <c r="F12" i="139"/>
  <c r="M9" i="130"/>
  <c r="M18" i="130" s="1"/>
  <c r="M11" i="93"/>
  <c r="M33" i="93" s="1"/>
  <c r="F9" i="139"/>
  <c r="AV18" i="140"/>
  <c r="AU18" i="140"/>
  <c r="AT18" i="140"/>
  <c r="AS18" i="140"/>
  <c r="AR18" i="140"/>
  <c r="AQ18" i="140"/>
  <c r="AP18" i="140"/>
  <c r="AO18" i="140"/>
  <c r="AN18" i="140"/>
  <c r="AM18" i="140"/>
  <c r="AL18" i="140"/>
  <c r="AK18" i="140"/>
  <c r="AJ18" i="140"/>
  <c r="AI18" i="140"/>
  <c r="AH18" i="140"/>
  <c r="AG18" i="140"/>
  <c r="AF18" i="140"/>
  <c r="AE18" i="140"/>
  <c r="AA18" i="140"/>
  <c r="W18" i="140"/>
  <c r="S18" i="140"/>
  <c r="I18" i="140"/>
  <c r="D18" i="140"/>
  <c r="C18" i="140"/>
  <c r="AT2" i="140"/>
  <c r="AM2" i="140"/>
  <c r="AF2" i="140"/>
  <c r="I2" i="140"/>
  <c r="AT1" i="140"/>
  <c r="AM1" i="140"/>
  <c r="AF1" i="140"/>
  <c r="I1" i="140"/>
  <c r="E33" i="139"/>
  <c r="C33" i="139"/>
  <c r="W2" i="139"/>
  <c r="I2" i="139"/>
  <c r="W1" i="139"/>
  <c r="I1" i="139"/>
  <c r="E23" i="131"/>
  <c r="E22" i="131"/>
  <c r="E21" i="131"/>
  <c r="E19" i="131"/>
  <c r="E18" i="131"/>
  <c r="E16" i="131"/>
  <c r="E15" i="131"/>
  <c r="E14" i="131"/>
  <c r="E13" i="131"/>
  <c r="E12" i="131"/>
  <c r="E11" i="131"/>
  <c r="E10" i="131"/>
  <c r="E9" i="131"/>
  <c r="M21" i="131"/>
  <c r="O24" i="97"/>
  <c r="H24" i="97" s="1"/>
  <c r="O23" i="97"/>
  <c r="H23" i="97" s="1"/>
  <c r="O18" i="97"/>
  <c r="J31" i="97"/>
  <c r="F31" i="97"/>
  <c r="E31" i="97"/>
  <c r="G30" i="97"/>
  <c r="G29" i="97"/>
  <c r="I29" i="97" s="1"/>
  <c r="G28" i="97"/>
  <c r="G27" i="97"/>
  <c r="G26" i="97"/>
  <c r="G25" i="97"/>
  <c r="G24" i="97"/>
  <c r="G23" i="97"/>
  <c r="I23" i="97" s="1"/>
  <c r="G22" i="97"/>
  <c r="G21" i="97"/>
  <c r="I21" i="97" s="1"/>
  <c r="G20" i="97"/>
  <c r="G19" i="97"/>
  <c r="G18" i="97"/>
  <c r="G17" i="97"/>
  <c r="I17" i="97" s="1"/>
  <c r="G16" i="97"/>
  <c r="G15" i="97"/>
  <c r="G14" i="97"/>
  <c r="G13" i="97"/>
  <c r="I13" i="97" s="1"/>
  <c r="G12" i="97"/>
  <c r="G11" i="97"/>
  <c r="G10" i="97"/>
  <c r="G9" i="97"/>
  <c r="L16" i="130"/>
  <c r="F16" i="130" s="1"/>
  <c r="L15" i="130"/>
  <c r="L18" i="130" s="1"/>
  <c r="L31" i="93"/>
  <c r="L23" i="93"/>
  <c r="L33" i="93" s="1"/>
  <c r="L16" i="93"/>
  <c r="M43" i="126"/>
  <c r="M50" i="126" s="1"/>
  <c r="M44" i="126"/>
  <c r="Z13" i="138"/>
  <c r="Y13" i="138"/>
  <c r="X13" i="138"/>
  <c r="W13" i="138"/>
  <c r="V13" i="138"/>
  <c r="U13" i="138"/>
  <c r="T13" i="138"/>
  <c r="S13" i="138"/>
  <c r="R13" i="138"/>
  <c r="Q13" i="138"/>
  <c r="P13" i="138"/>
  <c r="O13" i="138"/>
  <c r="N13" i="138"/>
  <c r="M13" i="138"/>
  <c r="L13" i="138"/>
  <c r="K13" i="138"/>
  <c r="J13" i="138"/>
  <c r="I13" i="138"/>
  <c r="H13" i="138"/>
  <c r="G13" i="138"/>
  <c r="F13" i="138"/>
  <c r="E10" i="138"/>
  <c r="D9" i="138"/>
  <c r="R2" i="138"/>
  <c r="L2" i="138"/>
  <c r="R1" i="138"/>
  <c r="L1" i="138"/>
  <c r="N26" i="97"/>
  <c r="H26" i="97" s="1"/>
  <c r="L41" i="126"/>
  <c r="L30" i="97"/>
  <c r="L26" i="97"/>
  <c r="L29" i="97"/>
  <c r="H29" i="97" s="1"/>
  <c r="L12" i="97"/>
  <c r="L10" i="97"/>
  <c r="L44" i="126"/>
  <c r="J50" i="126"/>
  <c r="AT31" i="97"/>
  <c r="AS31" i="97"/>
  <c r="AR31" i="97"/>
  <c r="AQ31" i="97"/>
  <c r="AP31" i="97"/>
  <c r="AO31" i="97"/>
  <c r="AN31" i="97"/>
  <c r="AM31" i="97"/>
  <c r="AL31" i="97"/>
  <c r="AK31" i="97"/>
  <c r="AJ31" i="97"/>
  <c r="AI31" i="97"/>
  <c r="AH31" i="97"/>
  <c r="AG31" i="97"/>
  <c r="AF31" i="97"/>
  <c r="AE31" i="97"/>
  <c r="AD31" i="97"/>
  <c r="AC31" i="97"/>
  <c r="AB31" i="97"/>
  <c r="AA31" i="97"/>
  <c r="Z31" i="97"/>
  <c r="Y31" i="97"/>
  <c r="X31" i="97"/>
  <c r="W31" i="97"/>
  <c r="V31" i="97"/>
  <c r="U31" i="97"/>
  <c r="T31" i="97"/>
  <c r="Q31" i="97"/>
  <c r="M31" i="97"/>
  <c r="K26" i="97"/>
  <c r="K31" i="97"/>
  <c r="L39" i="126"/>
  <c r="G39" i="126" s="1"/>
  <c r="H39" i="126" s="1"/>
  <c r="L38" i="126"/>
  <c r="E13" i="118"/>
  <c r="E12" i="118"/>
  <c r="E11" i="118"/>
  <c r="E10" i="118"/>
  <c r="E9" i="118"/>
  <c r="AB50" i="126"/>
  <c r="AA50" i="126"/>
  <c r="Z50" i="126"/>
  <c r="Y50" i="126"/>
  <c r="X50" i="126"/>
  <c r="W50" i="126"/>
  <c r="V50" i="126"/>
  <c r="U50" i="126"/>
  <c r="T50" i="126"/>
  <c r="S50" i="126"/>
  <c r="Q50" i="126"/>
  <c r="P50" i="126"/>
  <c r="N50" i="126"/>
  <c r="K48" i="126"/>
  <c r="K50" i="126" s="1"/>
  <c r="AE18" i="130"/>
  <c r="AD18" i="130"/>
  <c r="AC18" i="130"/>
  <c r="AB18" i="130"/>
  <c r="AA18" i="130"/>
  <c r="Z18" i="130"/>
  <c r="Y18" i="130"/>
  <c r="X18" i="130"/>
  <c r="W18" i="130"/>
  <c r="V18" i="130"/>
  <c r="U18" i="130"/>
  <c r="T18" i="130"/>
  <c r="S18" i="130"/>
  <c r="R18" i="130"/>
  <c r="Q18" i="130"/>
  <c r="P18" i="130"/>
  <c r="O18" i="130"/>
  <c r="N18" i="130"/>
  <c r="K18" i="130"/>
  <c r="J18" i="130"/>
  <c r="I18" i="130"/>
  <c r="H18" i="130"/>
  <c r="D18" i="130"/>
  <c r="C18" i="130"/>
  <c r="F50" i="126"/>
  <c r="P26" i="121"/>
  <c r="I50" i="126"/>
  <c r="O26" i="121"/>
  <c r="F15" i="121"/>
  <c r="G15" i="121" s="1"/>
  <c r="G40" i="113"/>
  <c r="G41" i="113"/>
  <c r="Q15" i="118"/>
  <c r="M26" i="121"/>
  <c r="E26" i="121"/>
  <c r="G14" i="113"/>
  <c r="D46" i="113"/>
  <c r="C46" i="113"/>
  <c r="F11" i="121"/>
  <c r="G11" i="121" s="1"/>
  <c r="F9" i="121"/>
  <c r="G9" i="121" s="1"/>
  <c r="F19" i="121"/>
  <c r="G19" i="121" s="1"/>
  <c r="L26" i="121"/>
  <c r="E46" i="113"/>
  <c r="AJ11" i="137"/>
  <c r="AI11" i="137"/>
  <c r="AH11" i="137"/>
  <c r="AG11" i="137"/>
  <c r="AF11" i="137"/>
  <c r="AE11" i="137"/>
  <c r="AD11" i="137"/>
  <c r="AC11" i="137"/>
  <c r="AB11" i="137"/>
  <c r="AA11" i="137"/>
  <c r="Z11" i="137"/>
  <c r="Y11" i="137"/>
  <c r="X11" i="137"/>
  <c r="W11" i="137"/>
  <c r="V11" i="137"/>
  <c r="U11" i="137"/>
  <c r="T11" i="137"/>
  <c r="S11" i="137"/>
  <c r="R11" i="137"/>
  <c r="Q11" i="137"/>
  <c r="P11" i="137"/>
  <c r="O11" i="137"/>
  <c r="N11" i="137"/>
  <c r="M11" i="137"/>
  <c r="L11" i="137"/>
  <c r="K11" i="137"/>
  <c r="J11" i="137"/>
  <c r="I11" i="137"/>
  <c r="H11" i="137"/>
  <c r="C11" i="137"/>
  <c r="E11" i="137"/>
  <c r="F9" i="137"/>
  <c r="G9" i="137" s="1"/>
  <c r="G11" i="137" s="1"/>
  <c r="E9" i="137"/>
  <c r="AA2" i="137"/>
  <c r="T2" i="137"/>
  <c r="N2" i="137"/>
  <c r="AA1" i="137"/>
  <c r="T1" i="137"/>
  <c r="N1" i="137"/>
  <c r="AD15" i="136"/>
  <c r="AC15" i="136"/>
  <c r="AB15" i="136"/>
  <c r="AA15" i="136"/>
  <c r="Z15" i="136"/>
  <c r="Y15" i="136"/>
  <c r="X15" i="136"/>
  <c r="W15" i="136"/>
  <c r="V15" i="136"/>
  <c r="U15" i="136"/>
  <c r="T15" i="136"/>
  <c r="S15" i="136"/>
  <c r="R15" i="136"/>
  <c r="Q15" i="136"/>
  <c r="P15" i="136"/>
  <c r="O15" i="136"/>
  <c r="N15" i="136"/>
  <c r="M15" i="136"/>
  <c r="L15" i="136"/>
  <c r="K15" i="136"/>
  <c r="J15" i="136"/>
  <c r="I15" i="136"/>
  <c r="H15" i="136"/>
  <c r="C15" i="136"/>
  <c r="E15" i="136" s="1"/>
  <c r="F13" i="136"/>
  <c r="G13" i="136" s="1"/>
  <c r="E13" i="136"/>
  <c r="F12" i="136"/>
  <c r="G12" i="136" s="1"/>
  <c r="E12" i="136"/>
  <c r="F11" i="136"/>
  <c r="G11" i="136" s="1"/>
  <c r="E11" i="136"/>
  <c r="F10" i="136"/>
  <c r="G10" i="136" s="1"/>
  <c r="E10" i="136"/>
  <c r="F9" i="136"/>
  <c r="E9" i="136"/>
  <c r="T2" i="136"/>
  <c r="N2" i="136"/>
  <c r="T1" i="136"/>
  <c r="N1" i="136"/>
  <c r="AB13" i="133"/>
  <c r="AA13" i="133"/>
  <c r="Z13" i="133"/>
  <c r="Y13" i="133"/>
  <c r="X13" i="133"/>
  <c r="W13" i="133"/>
  <c r="V13" i="133"/>
  <c r="U13" i="133"/>
  <c r="T13" i="133"/>
  <c r="S13" i="133"/>
  <c r="R13" i="133"/>
  <c r="Q13" i="133"/>
  <c r="P13" i="133"/>
  <c r="O13" i="133"/>
  <c r="N13" i="133"/>
  <c r="M13" i="133"/>
  <c r="L13" i="133"/>
  <c r="K13" i="133"/>
  <c r="J13" i="133"/>
  <c r="I13" i="133"/>
  <c r="H13" i="133"/>
  <c r="G13" i="133"/>
  <c r="F13" i="133"/>
  <c r="C13" i="133"/>
  <c r="D11" i="133"/>
  <c r="E11" i="133" s="1"/>
  <c r="D10" i="133"/>
  <c r="E10" i="133" s="1"/>
  <c r="D9" i="133"/>
  <c r="E9" i="133" s="1"/>
  <c r="R2" i="133"/>
  <c r="L2" i="133"/>
  <c r="R1" i="133"/>
  <c r="L1" i="133"/>
  <c r="AB18" i="132"/>
  <c r="AA18" i="132"/>
  <c r="Z18" i="132"/>
  <c r="Y18" i="132"/>
  <c r="X18" i="132"/>
  <c r="W18" i="132"/>
  <c r="V18" i="132"/>
  <c r="U18" i="132"/>
  <c r="T18" i="132"/>
  <c r="S18" i="132"/>
  <c r="R18" i="132"/>
  <c r="Q18" i="132"/>
  <c r="P18" i="132"/>
  <c r="O18" i="132"/>
  <c r="N18" i="132"/>
  <c r="M18" i="132"/>
  <c r="L18" i="132"/>
  <c r="K18" i="132"/>
  <c r="J18" i="132"/>
  <c r="I18" i="132"/>
  <c r="H18" i="132"/>
  <c r="E18" i="132"/>
  <c r="F16" i="132"/>
  <c r="G16" i="132" s="1"/>
  <c r="F15" i="132"/>
  <c r="G15" i="132" s="1"/>
  <c r="F14" i="132"/>
  <c r="G14" i="132" s="1"/>
  <c r="F13" i="132"/>
  <c r="G13" i="132" s="1"/>
  <c r="F12" i="132"/>
  <c r="G12" i="132" s="1"/>
  <c r="F11" i="132"/>
  <c r="G11" i="132" s="1"/>
  <c r="F10" i="132"/>
  <c r="G10" i="132" s="1"/>
  <c r="F9" i="132"/>
  <c r="W2" i="132"/>
  <c r="P2" i="132"/>
  <c r="J2" i="132"/>
  <c r="W1" i="132"/>
  <c r="P1" i="132"/>
  <c r="J1" i="132"/>
  <c r="G9" i="132"/>
  <c r="F11" i="118"/>
  <c r="G11" i="118" s="1"/>
  <c r="AJ27" i="131"/>
  <c r="AI27" i="131"/>
  <c r="AH27" i="131"/>
  <c r="AG27" i="131"/>
  <c r="AF27" i="131"/>
  <c r="AE27" i="131"/>
  <c r="AD27" i="131"/>
  <c r="AC27" i="131"/>
  <c r="AB27" i="131"/>
  <c r="AA27" i="131"/>
  <c r="Z27" i="131"/>
  <c r="Y27" i="131"/>
  <c r="X27" i="131"/>
  <c r="W27" i="131"/>
  <c r="V27" i="131"/>
  <c r="U27" i="131"/>
  <c r="T27" i="131"/>
  <c r="S27" i="131"/>
  <c r="R27" i="131"/>
  <c r="P27" i="131"/>
  <c r="N27" i="131"/>
  <c r="M27" i="131"/>
  <c r="K27" i="131"/>
  <c r="J27" i="131"/>
  <c r="I27" i="131"/>
  <c r="H27" i="131"/>
  <c r="C27" i="131"/>
  <c r="F25" i="131"/>
  <c r="G25" i="131" s="1"/>
  <c r="F24" i="131"/>
  <c r="F23" i="131"/>
  <c r="G23" i="131" s="1"/>
  <c r="F22" i="131"/>
  <c r="G22" i="131" s="1"/>
  <c r="F21" i="131"/>
  <c r="G21" i="131" s="1"/>
  <c r="F19" i="131"/>
  <c r="G19" i="131" s="1"/>
  <c r="F18" i="131"/>
  <c r="G18" i="131" s="1"/>
  <c r="F16" i="131"/>
  <c r="G16" i="131" s="1"/>
  <c r="F15" i="131"/>
  <c r="G15" i="131" s="1"/>
  <c r="F14" i="131"/>
  <c r="G14" i="131" s="1"/>
  <c r="F13" i="131"/>
  <c r="G13" i="131" s="1"/>
  <c r="F12" i="131"/>
  <c r="G12" i="131" s="1"/>
  <c r="F11" i="131"/>
  <c r="G11" i="131" s="1"/>
  <c r="F10" i="131"/>
  <c r="G10" i="131" s="1"/>
  <c r="F9" i="131"/>
  <c r="G9" i="131" s="1"/>
  <c r="AA2" i="131"/>
  <c r="T2" i="131"/>
  <c r="N2" i="131"/>
  <c r="J2" i="131"/>
  <c r="AA1" i="131"/>
  <c r="T1" i="131"/>
  <c r="N1" i="131"/>
  <c r="J1" i="131"/>
  <c r="G24" i="131"/>
  <c r="L27" i="131"/>
  <c r="AJ18" i="130"/>
  <c r="AI18" i="130"/>
  <c r="AH18" i="130"/>
  <c r="AG18" i="130"/>
  <c r="AF18" i="130"/>
  <c r="E16" i="130"/>
  <c r="E15" i="130"/>
  <c r="F14" i="130"/>
  <c r="G14" i="130" s="1"/>
  <c r="E14" i="130"/>
  <c r="E13" i="130"/>
  <c r="E12" i="130"/>
  <c r="F11" i="130"/>
  <c r="E11" i="130"/>
  <c r="G11" i="130" s="1"/>
  <c r="F10" i="130"/>
  <c r="E10" i="130"/>
  <c r="E9" i="130"/>
  <c r="AH2" i="130"/>
  <c r="AA2" i="130"/>
  <c r="T2" i="130"/>
  <c r="N2" i="130"/>
  <c r="AH1" i="130"/>
  <c r="AA1" i="130"/>
  <c r="T1" i="130"/>
  <c r="N1" i="130"/>
  <c r="F12" i="130"/>
  <c r="G12" i="130" s="1"/>
  <c r="F13" i="130"/>
  <c r="AG26" i="121"/>
  <c r="AF26" i="121"/>
  <c r="AE26" i="121"/>
  <c r="AD26" i="121"/>
  <c r="AC26" i="121"/>
  <c r="AB26" i="121"/>
  <c r="AA26" i="121"/>
  <c r="Z26" i="121"/>
  <c r="Y26" i="121"/>
  <c r="X26" i="121"/>
  <c r="W26" i="121"/>
  <c r="V26" i="121"/>
  <c r="U26" i="121"/>
  <c r="T26" i="121"/>
  <c r="S26" i="121"/>
  <c r="R26" i="121"/>
  <c r="Q26" i="121"/>
  <c r="N26" i="121"/>
  <c r="K26" i="121"/>
  <c r="F23" i="121"/>
  <c r="G23" i="121" s="1"/>
  <c r="F21" i="121"/>
  <c r="G21" i="121" s="1"/>
  <c r="F20" i="121"/>
  <c r="G20" i="121" s="1"/>
  <c r="F18" i="121"/>
  <c r="G18" i="121" s="1"/>
  <c r="F17" i="121"/>
  <c r="G17" i="121" s="1"/>
  <c r="F16" i="121"/>
  <c r="G16" i="121" s="1"/>
  <c r="F14" i="121"/>
  <c r="G14" i="121" s="1"/>
  <c r="F13" i="121"/>
  <c r="G13" i="121" s="1"/>
  <c r="F12" i="121"/>
  <c r="G12" i="121" s="1"/>
  <c r="AJ11" i="128"/>
  <c r="AI11" i="128"/>
  <c r="AH11" i="128"/>
  <c r="AG11" i="128"/>
  <c r="AF11" i="128"/>
  <c r="AE11" i="128"/>
  <c r="AD11" i="128"/>
  <c r="AC11" i="128"/>
  <c r="AB11" i="128"/>
  <c r="AA11" i="128"/>
  <c r="Z11" i="128"/>
  <c r="Y11" i="128"/>
  <c r="X11" i="128"/>
  <c r="W11" i="128"/>
  <c r="V11" i="128"/>
  <c r="U11" i="128"/>
  <c r="T11" i="128"/>
  <c r="S11" i="128"/>
  <c r="R11" i="128"/>
  <c r="Q11" i="128"/>
  <c r="P11" i="128"/>
  <c r="O11" i="128"/>
  <c r="N11" i="128"/>
  <c r="M11" i="128"/>
  <c r="K11" i="128"/>
  <c r="I11" i="128"/>
  <c r="H11" i="128"/>
  <c r="C11" i="128"/>
  <c r="E11" i="128" s="1"/>
  <c r="L11" i="128"/>
  <c r="J11" i="128"/>
  <c r="F9" i="128"/>
  <c r="G9" i="128" s="1"/>
  <c r="G11" i="128" s="1"/>
  <c r="AA2" i="128"/>
  <c r="T2" i="128"/>
  <c r="N2" i="128"/>
  <c r="AA1" i="128"/>
  <c r="T1" i="128"/>
  <c r="N1" i="128"/>
  <c r="Z16" i="127"/>
  <c r="Y16" i="127"/>
  <c r="X16" i="127"/>
  <c r="W16" i="127"/>
  <c r="V16" i="127"/>
  <c r="U16" i="127"/>
  <c r="T16" i="127"/>
  <c r="S16" i="127"/>
  <c r="R16" i="127"/>
  <c r="Q16" i="127"/>
  <c r="P16" i="127"/>
  <c r="O16" i="127"/>
  <c r="N16" i="127"/>
  <c r="M16" i="127"/>
  <c r="L16" i="127"/>
  <c r="K16" i="127"/>
  <c r="J16" i="127"/>
  <c r="I16" i="127"/>
  <c r="H16" i="127"/>
  <c r="G16" i="127"/>
  <c r="F16" i="127"/>
  <c r="C16" i="127"/>
  <c r="D14" i="127"/>
  <c r="E14" i="127" s="1"/>
  <c r="D13" i="127"/>
  <c r="E13" i="127" s="1"/>
  <c r="D12" i="127"/>
  <c r="E12" i="127" s="1"/>
  <c r="D11" i="127"/>
  <c r="E11" i="127" s="1"/>
  <c r="D10" i="127"/>
  <c r="E10" i="127" s="1"/>
  <c r="D9" i="127"/>
  <c r="E9" i="127" s="1"/>
  <c r="W2" i="127"/>
  <c r="P2" i="127"/>
  <c r="J2" i="127"/>
  <c r="W1" i="127"/>
  <c r="P1" i="127"/>
  <c r="J1" i="127"/>
  <c r="G11" i="113"/>
  <c r="G12" i="113"/>
  <c r="G13" i="113"/>
  <c r="G25" i="113"/>
  <c r="G15" i="113"/>
  <c r="G16" i="113"/>
  <c r="G17" i="113"/>
  <c r="G18" i="113"/>
  <c r="G19" i="113"/>
  <c r="G20" i="113"/>
  <c r="G21" i="113"/>
  <c r="G22" i="113"/>
  <c r="G23" i="113"/>
  <c r="G24" i="113"/>
  <c r="G26" i="113"/>
  <c r="G27" i="113"/>
  <c r="G29" i="113"/>
  <c r="G30" i="113"/>
  <c r="G31" i="113"/>
  <c r="G32" i="113"/>
  <c r="G35" i="113"/>
  <c r="G36" i="113"/>
  <c r="G37" i="113"/>
  <c r="G38" i="113"/>
  <c r="G39" i="113"/>
  <c r="G9" i="113"/>
  <c r="G33" i="113"/>
  <c r="F31" i="93"/>
  <c r="F21" i="93"/>
  <c r="E21" i="93"/>
  <c r="G11" i="126"/>
  <c r="H11" i="126" s="1"/>
  <c r="G12" i="126"/>
  <c r="H12" i="126" s="1"/>
  <c r="G13" i="126"/>
  <c r="H13" i="126" s="1"/>
  <c r="G14" i="126"/>
  <c r="H14" i="126" s="1"/>
  <c r="G15" i="126"/>
  <c r="H15" i="126"/>
  <c r="G17" i="126"/>
  <c r="H17" i="126" s="1"/>
  <c r="G16" i="126"/>
  <c r="H16" i="126" s="1"/>
  <c r="G18" i="126"/>
  <c r="H18" i="126" s="1"/>
  <c r="G19" i="126"/>
  <c r="H19" i="126" s="1"/>
  <c r="G20" i="126"/>
  <c r="H20" i="126" s="1"/>
  <c r="G21" i="126"/>
  <c r="H21" i="126" s="1"/>
  <c r="G22" i="126"/>
  <c r="H22" i="126" s="1"/>
  <c r="G23" i="126"/>
  <c r="H23" i="126" s="1"/>
  <c r="G24" i="126"/>
  <c r="H24" i="126" s="1"/>
  <c r="G25" i="126"/>
  <c r="H25" i="126"/>
  <c r="G26" i="126"/>
  <c r="H26" i="126" s="1"/>
  <c r="G27" i="126"/>
  <c r="H27" i="126" s="1"/>
  <c r="G28" i="126"/>
  <c r="H28" i="126" s="1"/>
  <c r="G29" i="126"/>
  <c r="H29" i="126" s="1"/>
  <c r="G30" i="126"/>
  <c r="H30" i="126" s="1"/>
  <c r="G31" i="126"/>
  <c r="H31" i="126" s="1"/>
  <c r="G32" i="126"/>
  <c r="H32" i="126" s="1"/>
  <c r="G34" i="126"/>
  <c r="H34" i="126" s="1"/>
  <c r="G36" i="126"/>
  <c r="H36" i="126" s="1"/>
  <c r="G40" i="126"/>
  <c r="H40" i="126" s="1"/>
  <c r="G41" i="126"/>
  <c r="H41" i="126" s="1"/>
  <c r="G42" i="126"/>
  <c r="H42" i="126" s="1"/>
  <c r="G43" i="126"/>
  <c r="H43" i="126" s="1"/>
  <c r="G44" i="126"/>
  <c r="H44" i="126" s="1"/>
  <c r="G45" i="126"/>
  <c r="H45" i="126" s="1"/>
  <c r="G48" i="126"/>
  <c r="H48" i="126" s="1"/>
  <c r="X2" i="126"/>
  <c r="Q2" i="126"/>
  <c r="K2" i="126"/>
  <c r="X1" i="126"/>
  <c r="Q1" i="126"/>
  <c r="K1" i="126"/>
  <c r="F10" i="93"/>
  <c r="F12" i="93"/>
  <c r="F13" i="93"/>
  <c r="F14" i="93"/>
  <c r="F15" i="93"/>
  <c r="F16" i="93"/>
  <c r="F18" i="93"/>
  <c r="F19" i="93"/>
  <c r="F20" i="93"/>
  <c r="F22" i="93"/>
  <c r="F25" i="93"/>
  <c r="F26" i="93"/>
  <c r="F28" i="93"/>
  <c r="F29" i="93"/>
  <c r="F9" i="93"/>
  <c r="AB16" i="125"/>
  <c r="AA16" i="125"/>
  <c r="Z16" i="125"/>
  <c r="Y16" i="125"/>
  <c r="X16" i="125"/>
  <c r="W16" i="125"/>
  <c r="V16" i="125"/>
  <c r="U16" i="125"/>
  <c r="T16" i="125"/>
  <c r="S16" i="125"/>
  <c r="R16" i="125"/>
  <c r="Q16" i="125"/>
  <c r="P16" i="125"/>
  <c r="O16" i="125"/>
  <c r="N16" i="125"/>
  <c r="M16" i="125"/>
  <c r="L16" i="125"/>
  <c r="K16" i="125"/>
  <c r="J16" i="125"/>
  <c r="I16" i="125"/>
  <c r="H16" i="125"/>
  <c r="E16" i="125"/>
  <c r="F14" i="125"/>
  <c r="G14" i="125" s="1"/>
  <c r="F13" i="125"/>
  <c r="G13" i="125" s="1"/>
  <c r="F12" i="125"/>
  <c r="G12" i="125" s="1"/>
  <c r="F11" i="125"/>
  <c r="G11" i="125" s="1"/>
  <c r="F10" i="125"/>
  <c r="G10" i="125" s="1"/>
  <c r="F9" i="125"/>
  <c r="W2" i="125"/>
  <c r="P2" i="125"/>
  <c r="J2" i="125"/>
  <c r="W1" i="125"/>
  <c r="P1" i="125"/>
  <c r="J1" i="125"/>
  <c r="H30" i="97"/>
  <c r="H27" i="97"/>
  <c r="H25" i="97"/>
  <c r="H22" i="97"/>
  <c r="H21" i="97"/>
  <c r="H20" i="97"/>
  <c r="H19" i="97"/>
  <c r="H18" i="97"/>
  <c r="H16" i="97"/>
  <c r="H15" i="97"/>
  <c r="H14" i="97"/>
  <c r="H13" i="97"/>
  <c r="H11" i="97"/>
  <c r="H10" i="97"/>
  <c r="Y2" i="121"/>
  <c r="R2" i="121"/>
  <c r="L2" i="121"/>
  <c r="Y1" i="121"/>
  <c r="R1" i="121"/>
  <c r="L1" i="121"/>
  <c r="F10" i="95"/>
  <c r="F11" i="95"/>
  <c r="F12" i="95"/>
  <c r="H12" i="95" s="1"/>
  <c r="F13" i="95"/>
  <c r="F14" i="95"/>
  <c r="F9" i="95"/>
  <c r="E10" i="99"/>
  <c r="E11" i="99"/>
  <c r="E9" i="99"/>
  <c r="E10" i="93"/>
  <c r="G10" i="93" s="1"/>
  <c r="E11" i="93"/>
  <c r="E12" i="93"/>
  <c r="G12" i="93" s="1"/>
  <c r="E13" i="93"/>
  <c r="E14" i="93"/>
  <c r="E15" i="93"/>
  <c r="G15" i="93" s="1"/>
  <c r="E16" i="93"/>
  <c r="G16" i="93" s="1"/>
  <c r="E17" i="93"/>
  <c r="E18" i="93"/>
  <c r="G18" i="93" s="1"/>
  <c r="E19" i="93"/>
  <c r="G19" i="93"/>
  <c r="E20" i="93"/>
  <c r="G20" i="93" s="1"/>
  <c r="E22" i="93"/>
  <c r="E23" i="93"/>
  <c r="E24" i="93"/>
  <c r="E25" i="93"/>
  <c r="G25" i="93" s="1"/>
  <c r="E26" i="93"/>
  <c r="G26" i="93" s="1"/>
  <c r="E27" i="93"/>
  <c r="E28" i="93"/>
  <c r="G28" i="93" s="1"/>
  <c r="E29" i="93"/>
  <c r="G29" i="93" s="1"/>
  <c r="E30" i="93"/>
  <c r="E31" i="93"/>
  <c r="G31" i="93" s="1"/>
  <c r="E9" i="93"/>
  <c r="AI33" i="93"/>
  <c r="AJ33" i="93"/>
  <c r="L13" i="99"/>
  <c r="M13" i="99"/>
  <c r="AJ16" i="95"/>
  <c r="AK16" i="95"/>
  <c r="AI15" i="118"/>
  <c r="AJ15" i="118"/>
  <c r="AG2" i="95"/>
  <c r="AG1" i="95"/>
  <c r="Z2" i="95"/>
  <c r="Z1" i="95"/>
  <c r="AA1" i="118"/>
  <c r="T1" i="118"/>
  <c r="N1" i="118"/>
  <c r="AA2" i="113"/>
  <c r="AA1" i="113"/>
  <c r="T2" i="113"/>
  <c r="T1" i="113"/>
  <c r="N2" i="113"/>
  <c r="N1" i="113"/>
  <c r="AG2" i="93"/>
  <c r="AG1" i="93"/>
  <c r="AA2" i="93"/>
  <c r="AA1" i="93"/>
  <c r="T2" i="93"/>
  <c r="T1" i="93"/>
  <c r="N2" i="93"/>
  <c r="N1" i="93"/>
  <c r="O2" i="116"/>
  <c r="O1" i="116"/>
  <c r="H2" i="116"/>
  <c r="H1" i="116"/>
  <c r="Y2" i="97"/>
  <c r="R2" i="97"/>
  <c r="L2" i="97"/>
  <c r="Y1" i="97"/>
  <c r="R1" i="97"/>
  <c r="L1" i="97"/>
  <c r="F9" i="118"/>
  <c r="G9" i="118" s="1"/>
  <c r="F10" i="118"/>
  <c r="G10" i="118" s="1"/>
  <c r="F12" i="118"/>
  <c r="G12" i="118" s="1"/>
  <c r="F13" i="118"/>
  <c r="G13" i="118" s="1"/>
  <c r="C15" i="118"/>
  <c r="E15" i="118" s="1"/>
  <c r="H15" i="118"/>
  <c r="I15" i="118"/>
  <c r="J15" i="118"/>
  <c r="K15" i="118"/>
  <c r="M15" i="118"/>
  <c r="N15" i="118"/>
  <c r="O15" i="118"/>
  <c r="P15" i="118"/>
  <c r="R15" i="118"/>
  <c r="S15" i="118"/>
  <c r="T15" i="118"/>
  <c r="U15" i="118"/>
  <c r="V15" i="118"/>
  <c r="W15" i="118"/>
  <c r="X15" i="118"/>
  <c r="Y15" i="118"/>
  <c r="Z15" i="118"/>
  <c r="AA15" i="118"/>
  <c r="AB15" i="118"/>
  <c r="AC15" i="118"/>
  <c r="AD15" i="118"/>
  <c r="AE15" i="118"/>
  <c r="AF15" i="118"/>
  <c r="AG15" i="118"/>
  <c r="AH15" i="118"/>
  <c r="AA2" i="118"/>
  <c r="N2" i="118"/>
  <c r="T2" i="118"/>
  <c r="L15" i="118"/>
  <c r="G10" i="95"/>
  <c r="H10" i="95" s="1"/>
  <c r="G11" i="95"/>
  <c r="H11" i="95" s="1"/>
  <c r="G12" i="95"/>
  <c r="G13" i="95"/>
  <c r="G14" i="95"/>
  <c r="G9" i="95"/>
  <c r="F9" i="99"/>
  <c r="G9" i="99" s="1"/>
  <c r="F11" i="99"/>
  <c r="G11" i="99" s="1"/>
  <c r="F10" i="99"/>
  <c r="G10" i="99" s="1"/>
  <c r="K13" i="99"/>
  <c r="G34" i="113"/>
  <c r="I16" i="95"/>
  <c r="J16" i="95"/>
  <c r="K16" i="95"/>
  <c r="L16" i="95"/>
  <c r="M16" i="95"/>
  <c r="N16" i="95"/>
  <c r="O16" i="95"/>
  <c r="P16" i="95"/>
  <c r="Q16" i="95"/>
  <c r="R16" i="95"/>
  <c r="S16" i="95"/>
  <c r="T16" i="95"/>
  <c r="U16" i="95"/>
  <c r="V16" i="95"/>
  <c r="W16" i="95"/>
  <c r="X16" i="95"/>
  <c r="Y16" i="95"/>
  <c r="Z16" i="95"/>
  <c r="AA16" i="95"/>
  <c r="AB16" i="95"/>
  <c r="AC16" i="95"/>
  <c r="AD16" i="95"/>
  <c r="AE16" i="95"/>
  <c r="AF16" i="95"/>
  <c r="AG16" i="95"/>
  <c r="AH16" i="95"/>
  <c r="AI16" i="95"/>
  <c r="D16" i="95"/>
  <c r="C16" i="95"/>
  <c r="J13" i="99"/>
  <c r="I13" i="99"/>
  <c r="H13" i="99"/>
  <c r="C13" i="99"/>
  <c r="E13" i="99" s="1"/>
  <c r="S2" i="95"/>
  <c r="M2" i="95"/>
  <c r="M1" i="95"/>
  <c r="C33" i="93"/>
  <c r="AH33" i="93"/>
  <c r="K33" i="93"/>
  <c r="G10" i="126"/>
  <c r="H10" i="126" s="1"/>
  <c r="H33" i="93"/>
  <c r="J33" i="93"/>
  <c r="I33" i="93"/>
  <c r="F30" i="93"/>
  <c r="G33" i="126"/>
  <c r="H33" i="126" s="1"/>
  <c r="G10" i="113"/>
  <c r="H26" i="121"/>
  <c r="I26" i="121"/>
  <c r="J26" i="121"/>
  <c r="G28" i="113"/>
  <c r="F46" i="113"/>
  <c r="F50" i="113" s="1"/>
  <c r="D33" i="139"/>
  <c r="N33" i="93"/>
  <c r="F24" i="93"/>
  <c r="G24" i="93" s="1"/>
  <c r="F11" i="93"/>
  <c r="G11" i="93" s="1"/>
  <c r="H12" i="97"/>
  <c r="E9" i="138"/>
  <c r="G38" i="126"/>
  <c r="H38" i="126" s="1"/>
  <c r="G9" i="136"/>
  <c r="F11" i="128"/>
  <c r="G37" i="126"/>
  <c r="H37" i="126" s="1"/>
  <c r="F15" i="130"/>
  <c r="G15" i="130" s="1"/>
  <c r="G9" i="125"/>
  <c r="F12" i="140"/>
  <c r="D13" i="138" l="1"/>
  <c r="H28" i="97"/>
  <c r="G10" i="130"/>
  <c r="I12" i="97"/>
  <c r="I20" i="97"/>
  <c r="I28" i="97"/>
  <c r="L33" i="139"/>
  <c r="R50" i="126"/>
  <c r="F23" i="93"/>
  <c r="I14" i="97"/>
  <c r="I22" i="97"/>
  <c r="I30" i="97"/>
  <c r="H9" i="97"/>
  <c r="F16" i="95"/>
  <c r="I15" i="97"/>
  <c r="E27" i="131"/>
  <c r="G30" i="93"/>
  <c r="N31" i="97"/>
  <c r="I16" i="97"/>
  <c r="I24" i="97"/>
  <c r="I9" i="97"/>
  <c r="I25" i="97"/>
  <c r="G14" i="93"/>
  <c r="I10" i="97"/>
  <c r="I18" i="97"/>
  <c r="I26" i="97"/>
  <c r="D13" i="133"/>
  <c r="G27" i="93"/>
  <c r="H14" i="95"/>
  <c r="I11" i="97"/>
  <c r="I19" i="97"/>
  <c r="I27" i="97"/>
  <c r="G17" i="93"/>
  <c r="G13" i="99"/>
  <c r="G22" i="93"/>
  <c r="H13" i="95"/>
  <c r="G9" i="93"/>
  <c r="E18" i="130"/>
  <c r="G16" i="130"/>
  <c r="J33" i="139"/>
  <c r="S31" i="97"/>
  <c r="F13" i="99"/>
  <c r="G46" i="113"/>
  <c r="G21" i="93"/>
  <c r="D16" i="127"/>
  <c r="F9" i="130"/>
  <c r="G9" i="130" s="1"/>
  <c r="G18" i="130" s="1"/>
  <c r="F11" i="137"/>
  <c r="L50" i="126"/>
  <c r="H33" i="139"/>
  <c r="Q33" i="93"/>
  <c r="L31" i="97"/>
  <c r="O31" i="97"/>
  <c r="H9" i="95"/>
  <c r="H16" i="95" s="1"/>
  <c r="E16" i="127"/>
  <c r="E13" i="133"/>
  <c r="R31" i="97"/>
  <c r="G31" i="97"/>
  <c r="J18" i="140"/>
  <c r="E33" i="93"/>
  <c r="F16" i="125"/>
  <c r="F15" i="136"/>
  <c r="L18" i="140"/>
  <c r="E13" i="138"/>
  <c r="G16" i="95"/>
  <c r="F33" i="139"/>
  <c r="O33" i="93"/>
  <c r="G13" i="130"/>
  <c r="G15" i="136"/>
  <c r="O50" i="126"/>
  <c r="F27" i="131"/>
  <c r="G23" i="93"/>
  <c r="M38" i="93" s="1"/>
  <c r="F33" i="93"/>
  <c r="G13" i="93"/>
  <c r="F26" i="121"/>
  <c r="G18" i="132"/>
  <c r="H31" i="97"/>
  <c r="G27" i="131"/>
  <c r="G50" i="126"/>
  <c r="H47" i="126"/>
  <c r="H50" i="126" s="1"/>
  <c r="G26" i="121"/>
  <c r="G16" i="125"/>
  <c r="F18" i="132"/>
  <c r="F15" i="118"/>
  <c r="G15" i="118"/>
  <c r="F18" i="130" l="1"/>
  <c r="I31" i="97"/>
  <c r="G33" i="9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</authors>
  <commentList>
    <comment ref="F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This reflects a decrease of $6977 on the carryover report on AFR per Brady. Mr
</t>
        </r>
      </text>
    </comment>
    <comment ref="R3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A return of funds due to salary issue identified during monitoring by GFM $816.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  <author>Mueller, Pam</author>
  </authors>
  <commentList>
    <comment ref="V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Request submitted in June-late processing mr
</t>
        </r>
      </text>
    </comment>
    <comment ref="B2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The RFF has 7902  Could be 7904 for High School 7900 is the Elementary
</t>
        </r>
      </text>
    </comment>
    <comment ref="C32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Mueller, Pam:</t>
        </r>
        <r>
          <rPr>
            <sz val="9"/>
            <color indexed="81"/>
            <rFont val="Tahoma"/>
            <family val="2"/>
          </rPr>
          <t xml:space="preserve">
This school is authorized by APS Y number assigned to insure payments paid to CSI
</t>
        </r>
      </text>
    </comment>
    <comment ref="L3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Payment processed 11.8.19
should have been processed with October payments.  </t>
        </r>
      </text>
    </comment>
    <comment ref="P3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Funds returned due to duplicate request.  Mr 2.21.2020
</t>
        </r>
      </text>
    </comment>
    <comment ref="L3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A September payment for $58,850 was issued to Onward A Legacy in 
 in error.  Correct amounts processed October 3, 2019. mr 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</authors>
  <commentList>
    <comment ref="E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D11 has a new fiscal manager.  Once the Match PI form is received the document will be updated  mr
</t>
        </r>
      </text>
    </comment>
    <comment ref="E1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Call into fiscal manager at Montrose to discuss Match PI reporting.  Followup will be included on worksheet once completed</t>
        </r>
      </text>
    </comment>
    <comment ref="E31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Fiscal Manager is updating the Match PI form. Once received worksheet will be updated mr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Marti</author>
  </authors>
  <commentList>
    <comment ref="E9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D11 has a new fiscal manager-will be submitting updated Match PI Forms and once received worksheet will be updated . Mr
</t>
        </r>
      </text>
    </comment>
    <comment ref="E16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Rodriguez, Marti:</t>
        </r>
        <r>
          <rPr>
            <sz val="9"/>
            <color indexed="81"/>
            <rFont val="Tahoma"/>
            <family val="2"/>
          </rPr>
          <t xml:space="preserve">
APDC submitted a Match PI form that is not in the correct format.  Will update once received from the fiscal manager. Mr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Kaleda, Steven</author>
  </authors>
  <commentList>
    <comment ref="C9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Award reduced from $1,547,780 due to State Level Activities being cancelled</t>
        </r>
      </text>
    </comment>
    <comment ref="C11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GAL reduced from $706,774 due to State Level Activities being cancelled</t>
        </r>
      </text>
    </comment>
    <comment ref="C12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Kaleda, Steven:</t>
        </r>
        <r>
          <rPr>
            <sz val="9"/>
            <color indexed="81"/>
            <rFont val="Tahoma"/>
            <family val="2"/>
          </rPr>
          <t xml:space="preserve">
GAL reduced from $2,000,000 due to State Level Activities being cancelled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Hambleton, Jennifer</author>
  </authors>
  <commentList>
    <comment ref="C8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Hambleton, Jennifer:</t>
        </r>
        <r>
          <rPr>
            <sz val="9"/>
            <color indexed="81"/>
            <rFont val="Tahoma"/>
            <family val="2"/>
          </rPr>
          <t xml:space="preserve">
No new allocation in FY1718</t>
        </r>
      </text>
    </comment>
  </commentList>
</comments>
</file>

<file path=xl/sharedStrings.xml><?xml version="1.0" encoding="utf-8"?>
<sst xmlns="http://schemas.openxmlformats.org/spreadsheetml/2006/main" count="1520" uniqueCount="532">
  <si>
    <t>Grant:</t>
  </si>
  <si>
    <t>GRANT NUMBER:</t>
  </si>
  <si>
    <t>FISCAL YEAR:</t>
  </si>
  <si>
    <t>0030</t>
  </si>
  <si>
    <t>0180</t>
  </si>
  <si>
    <t>0480</t>
  </si>
  <si>
    <t>Y001</t>
  </si>
  <si>
    <t>Y295</t>
  </si>
  <si>
    <t>Front Range Community College</t>
  </si>
  <si>
    <t>Y693</t>
  </si>
  <si>
    <t>Y695</t>
  </si>
  <si>
    <t>Y699</t>
  </si>
  <si>
    <t>Northeastern Junior College</t>
  </si>
  <si>
    <t>Y711</t>
  </si>
  <si>
    <t>Y863</t>
  </si>
  <si>
    <t>ALLOCATION</t>
  </si>
  <si>
    <t>PAYMENTS TO DATE</t>
  </si>
  <si>
    <t>BALANCE</t>
  </si>
  <si>
    <t>Question regarding payments:</t>
  </si>
  <si>
    <t xml:space="preserve">Questions regarding grant: </t>
  </si>
  <si>
    <t xml:space="preserve">Adult Education </t>
  </si>
  <si>
    <t>Marti Rodriguez  303-866-6769 or rodriguez_m@cde.state.co.us</t>
  </si>
  <si>
    <t>0020</t>
  </si>
  <si>
    <t>0120</t>
  </si>
  <si>
    <t>Summer Scholars</t>
  </si>
  <si>
    <t>McKinney-Vento Homeless</t>
  </si>
  <si>
    <t>Title II-B Math &amp; Science Partnerships</t>
  </si>
  <si>
    <t>Denver Public Schools</t>
  </si>
  <si>
    <t>3120</t>
  </si>
  <si>
    <t>1420</t>
  </si>
  <si>
    <t>Y006</t>
  </si>
  <si>
    <t>Y007</t>
  </si>
  <si>
    <t>Marti Rodriguez 303-866-6769 or rodriguez_m@cde.state.co.us</t>
  </si>
  <si>
    <t xml:space="preserve"> </t>
  </si>
  <si>
    <t>1510</t>
  </si>
  <si>
    <t>9035</t>
  </si>
  <si>
    <t>2790</t>
  </si>
  <si>
    <t>3080</t>
  </si>
  <si>
    <t>0870</t>
  </si>
  <si>
    <t>2020</t>
  </si>
  <si>
    <t>1560</t>
  </si>
  <si>
    <t>3130</t>
  </si>
  <si>
    <t>1828</t>
  </si>
  <si>
    <t>SCHOOL NAME</t>
  </si>
  <si>
    <t>DISTRICT NAME</t>
  </si>
  <si>
    <t>Evan Davis 303-866-6129 or davis_e@cde.state.co.us</t>
  </si>
  <si>
    <t>Totals</t>
  </si>
  <si>
    <t>Title V-B Charter School Grant Program C1</t>
  </si>
  <si>
    <t>0123</t>
  </si>
  <si>
    <t>0290</t>
  </si>
  <si>
    <t>0580</t>
  </si>
  <si>
    <t>0880</t>
  </si>
  <si>
    <t>1530</t>
  </si>
  <si>
    <t>1550</t>
  </si>
  <si>
    <t>8001</t>
  </si>
  <si>
    <t>Poudre School District</t>
  </si>
  <si>
    <t>1345</t>
  </si>
  <si>
    <t>JANUARY
2018</t>
  </si>
  <si>
    <t>FEBRUARY
2018</t>
  </si>
  <si>
    <t>MARCH
2018</t>
  </si>
  <si>
    <t>APRIL
2018</t>
  </si>
  <si>
    <t>MAY
2018</t>
  </si>
  <si>
    <t>JUNE
2018</t>
  </si>
  <si>
    <t>JULY
2018</t>
  </si>
  <si>
    <t>AUGUST
2018</t>
  </si>
  <si>
    <t>SEPTEMBER
2018</t>
  </si>
  <si>
    <t>0010</t>
  </si>
  <si>
    <t>9050</t>
  </si>
  <si>
    <t>Y009</t>
  </si>
  <si>
    <t>Y646</t>
  </si>
  <si>
    <t>Y701</t>
  </si>
  <si>
    <t>Y705</t>
  </si>
  <si>
    <t>Y709</t>
  </si>
  <si>
    <t>Y815</t>
  </si>
  <si>
    <t>1010</t>
  </si>
  <si>
    <t>2180</t>
  </si>
  <si>
    <t>Colorado Mountain College</t>
  </si>
  <si>
    <t>Focus Points Family Resource Center</t>
  </si>
  <si>
    <t>Community College of Denver</t>
  </si>
  <si>
    <t>Adams 12 Five Star Schools</t>
  </si>
  <si>
    <t>Adams County School District 14</t>
  </si>
  <si>
    <t>Jefferson County School District R-1</t>
  </si>
  <si>
    <t>Thompson School District R2J</t>
  </si>
  <si>
    <t>2000</t>
  </si>
  <si>
    <t>Mesa County Valley School District #51</t>
  </si>
  <si>
    <t>Weld County School District 6</t>
  </si>
  <si>
    <t>Centennial Board of Cooperative Educational Services</t>
  </si>
  <si>
    <t>9055</t>
  </si>
  <si>
    <t>IEL CIVICS</t>
  </si>
  <si>
    <t>0900</t>
  </si>
  <si>
    <t>Douglas County School District</t>
  </si>
  <si>
    <t>Y947</t>
  </si>
  <si>
    <t>Aurora Public Schools</t>
  </si>
  <si>
    <t>Metropolitan State University of Denver</t>
  </si>
  <si>
    <t>0990</t>
  </si>
  <si>
    <t>Y004</t>
  </si>
  <si>
    <t>Y861</t>
  </si>
  <si>
    <t>Y897</t>
  </si>
  <si>
    <t>0502</t>
  </si>
  <si>
    <t>0206</t>
  </si>
  <si>
    <t>0965</t>
  </si>
  <si>
    <t>Meadow Community School</t>
  </si>
  <si>
    <t>Colorado's Finest High School of Choice</t>
  </si>
  <si>
    <t>Englewood Middle School</t>
  </si>
  <si>
    <t>Place Bridge Academy</t>
  </si>
  <si>
    <t>Wyatt Academy</t>
  </si>
  <si>
    <t>Y584</t>
  </si>
  <si>
    <t>Sheridan 2</t>
  </si>
  <si>
    <t>1110</t>
  </si>
  <si>
    <t>2580</t>
  </si>
  <si>
    <t>Falcon School District 49</t>
  </si>
  <si>
    <t>Aurora Central High School</t>
  </si>
  <si>
    <t>CARRYOVER</t>
  </si>
  <si>
    <t>2190</t>
  </si>
  <si>
    <t>1520</t>
  </si>
  <si>
    <t>1360</t>
  </si>
  <si>
    <t>1380</t>
  </si>
  <si>
    <t>2590</t>
  </si>
  <si>
    <t>2780</t>
  </si>
  <si>
    <t>2840</t>
  </si>
  <si>
    <t>3090</t>
  </si>
  <si>
    <t>3210</t>
  </si>
  <si>
    <t>Widefield School District 3</t>
  </si>
  <si>
    <t>Durango School District 9-R</t>
  </si>
  <si>
    <t>Wray School District RD-2</t>
  </si>
  <si>
    <t>OCTOBER
2018</t>
  </si>
  <si>
    <t>NOVEMBER
2018</t>
  </si>
  <si>
    <t>JANUARY
2019</t>
  </si>
  <si>
    <t>FEBRUARY
2019</t>
  </si>
  <si>
    <t>MARCH
2019</t>
  </si>
  <si>
    <t>APRIL
2019</t>
  </si>
  <si>
    <t>MAY
2019</t>
  </si>
  <si>
    <t>JUNE
2019</t>
  </si>
  <si>
    <t>JULY
2019</t>
  </si>
  <si>
    <t>AUGUST
2019</t>
  </si>
  <si>
    <t>SEPTEMBER
2019</t>
  </si>
  <si>
    <t>DECEMBER
2018</t>
  </si>
  <si>
    <t>DECEMBER
2019</t>
  </si>
  <si>
    <t xml:space="preserve">Javits Gifted and Talented - Right 4 Rural </t>
  </si>
  <si>
    <t>DISTRICT/AGENCY NAME</t>
  </si>
  <si>
    <t>Y028</t>
  </si>
  <si>
    <t>Y031</t>
  </si>
  <si>
    <t>Migrant Student Information Exchange</t>
  </si>
  <si>
    <t>4144</t>
  </si>
  <si>
    <t>Y044</t>
  </si>
  <si>
    <t>DISTRICT CODE</t>
  </si>
  <si>
    <t>FISCAL AGENT</t>
  </si>
  <si>
    <t>TOTAL ALLOCATION</t>
  </si>
  <si>
    <t>Questions regarding payments:</t>
  </si>
  <si>
    <t>Title I-C Migrant</t>
  </si>
  <si>
    <t>67xC</t>
  </si>
  <si>
    <t>21st Century Cohort 7</t>
  </si>
  <si>
    <t>SCHOOL CODE</t>
  </si>
  <si>
    <t>Title V - Abstinence Education</t>
  </si>
  <si>
    <t>30xC</t>
  </si>
  <si>
    <t>GBL:</t>
  </si>
  <si>
    <t>27xC</t>
  </si>
  <si>
    <t>22xF</t>
  </si>
  <si>
    <t>61xD</t>
  </si>
  <si>
    <t>61xM</t>
  </si>
  <si>
    <t xml:space="preserve">74xC </t>
  </si>
  <si>
    <t>21xC</t>
  </si>
  <si>
    <t>Multi-Tiered System of Supports</t>
  </si>
  <si>
    <t>32xG</t>
  </si>
  <si>
    <t>28xC</t>
  </si>
  <si>
    <t>44xC</t>
  </si>
  <si>
    <t>CARRY FORWARD</t>
  </si>
  <si>
    <t>REVERT</t>
  </si>
  <si>
    <t>SUPPLEMENTAL</t>
  </si>
  <si>
    <t>Deaf and Blind Centers</t>
  </si>
  <si>
    <t>38xD</t>
  </si>
  <si>
    <t>2018-19</t>
  </si>
  <si>
    <t>OCTOBER
2019</t>
  </si>
  <si>
    <t>NOVEMBER
2019</t>
  </si>
  <si>
    <t>Adams County School District #1</t>
  </si>
  <si>
    <t>Englewood School District #1</t>
  </si>
  <si>
    <t>Boulder Valley School District RE-2</t>
  </si>
  <si>
    <t>School District No 1 In the City and County of Denver and State of Colorado</t>
  </si>
  <si>
    <t>Lake County School District R-1</t>
  </si>
  <si>
    <t>Boys and Girls Clubs of Metro Denver Inc.</t>
  </si>
  <si>
    <t>Asian Pacific Development Center of Colorado</t>
  </si>
  <si>
    <t>Young Men's Christian Association of Metropolitan Demver, The</t>
  </si>
  <si>
    <t>YMCA of the Pikes Peak Region, INC.</t>
  </si>
  <si>
    <t xml:space="preserve">1878
</t>
  </si>
  <si>
    <t>1556</t>
  </si>
  <si>
    <t>2752</t>
  </si>
  <si>
    <t>3272</t>
  </si>
  <si>
    <t>7592</t>
  </si>
  <si>
    <t>1774</t>
  </si>
  <si>
    <t>3600</t>
  </si>
  <si>
    <t>6188</t>
  </si>
  <si>
    <t>7045</t>
  </si>
  <si>
    <t>4422</t>
  </si>
  <si>
    <t>6848</t>
  </si>
  <si>
    <t>4901</t>
  </si>
  <si>
    <t>1384</t>
  </si>
  <si>
    <t>Coronado Hills Elementary, Hillcrest Elementary, Malley Drive Elementary, North Star Elementary, Stukey Elementary, Thornton Elementary</t>
  </si>
  <si>
    <t>Cherrelyn Elementary</t>
  </si>
  <si>
    <t>Fulton Academy of Excellence, Sable Elementary, Vaughn Elementary</t>
  </si>
  <si>
    <t>Alicia Sanchez International School</t>
  </si>
  <si>
    <t>Colfax Elementary, Cowell Elementary, Eagleton Elementary, Lake International School/STRIVE Prep Lake</t>
  </si>
  <si>
    <t>Grant Beacon Middle School</t>
  </si>
  <si>
    <t>Munroe Elementary</t>
  </si>
  <si>
    <t>Brady Exploration School</t>
  </si>
  <si>
    <t>Jefferson Jr/Sr High School, Lumberg Elementary, Stevens Elementary</t>
  </si>
  <si>
    <t>Lake County Intermediate/Lake County High School</t>
  </si>
  <si>
    <t>Centennial Elementary, Northridge High School, Prairie Heights Middle School</t>
  </si>
  <si>
    <t xml:space="preserve">Cole Arts and Science Academy, Godsman Elementary, Johnson Elementary, </t>
  </si>
  <si>
    <t>Hinkley High School</t>
  </si>
  <si>
    <t>Columbine Elementary, International Academy of Denver at Harrington, John Amesse Elementary, Oakland Elementary,</t>
  </si>
  <si>
    <t>Welte Education Center</t>
  </si>
  <si>
    <t>Bruce Randolph School, Kunsmiller Creative Arts Academy</t>
  </si>
  <si>
    <t>Colorado Charter School Institute</t>
  </si>
  <si>
    <t>21st Century Cohort 8</t>
  </si>
  <si>
    <t>BEST Instruction</t>
  </si>
  <si>
    <t>78xB</t>
  </si>
  <si>
    <t>5367</t>
  </si>
  <si>
    <t>1050</t>
  </si>
  <si>
    <t>1540</t>
  </si>
  <si>
    <t>2600</t>
  </si>
  <si>
    <t>Las Animas School District RE-1</t>
  </si>
  <si>
    <t>South Conejos School District RE-10</t>
  </si>
  <si>
    <t>Ellicott School District # 22</t>
  </si>
  <si>
    <t>Ignacio School District 11-JT</t>
  </si>
  <si>
    <t>Moffat County School District 1</t>
  </si>
  <si>
    <t>Platte Canyon School District No 1</t>
  </si>
  <si>
    <t>Multiple Sites</t>
  </si>
  <si>
    <t>AIM Global</t>
  </si>
  <si>
    <t>Guadalupe Elementary</t>
  </si>
  <si>
    <t>Ellicott Elementary School</t>
  </si>
  <si>
    <t>Ignacio High School</t>
  </si>
  <si>
    <t>Moffat County High School</t>
  </si>
  <si>
    <t>Platte Canyon High School</t>
  </si>
  <si>
    <t>TPAAK</t>
  </si>
  <si>
    <t>High Flyers</t>
  </si>
  <si>
    <t>70xH</t>
  </si>
  <si>
    <t>6010</t>
  </si>
  <si>
    <t>0980</t>
  </si>
  <si>
    <t>2770</t>
  </si>
  <si>
    <t>9175</t>
  </si>
  <si>
    <t>Harrison School District Two</t>
  </si>
  <si>
    <t>Steamboat Springs School District RE 2</t>
  </si>
  <si>
    <t>Colorado River BOCES</t>
  </si>
  <si>
    <t>2145</t>
  </si>
  <si>
    <t>2186</t>
  </si>
  <si>
    <t>Green Valley High School</t>
  </si>
  <si>
    <t>Byers Middle School</t>
  </si>
  <si>
    <t>Soaring Eagles Elementary</t>
  </si>
  <si>
    <t>Tavelli Elementary School</t>
  </si>
  <si>
    <t>Strawberry Park Elementary</t>
  </si>
  <si>
    <t>Yampah Mountain School</t>
  </si>
  <si>
    <t>Pam Mueller 303-866-6905 or mueller_pam@cde.state.co.us</t>
  </si>
  <si>
    <t>JANUARY
2020</t>
  </si>
  <si>
    <t>FEBRUARY
2020</t>
  </si>
  <si>
    <t>MARCH
2020</t>
  </si>
  <si>
    <t>APRIL
2020</t>
  </si>
  <si>
    <t>MAY
2020</t>
  </si>
  <si>
    <t>JUNE
2020</t>
  </si>
  <si>
    <t>JULY
2020</t>
  </si>
  <si>
    <t>AUGUST
2020</t>
  </si>
  <si>
    <t>SEPTEMBER
2020</t>
  </si>
  <si>
    <t>Pam Mueller 303-866-6905 or Mueller_Pam@cde.state.co.us</t>
  </si>
  <si>
    <t>Durango Education Center</t>
  </si>
  <si>
    <t>School District#1 in the City and County of Denver and State of Colorado DBA Emily Griffith Technical School</t>
  </si>
  <si>
    <t>Right to Read of Weld County Inc</t>
  </si>
  <si>
    <t>Colorado Springs School District 11</t>
  </si>
  <si>
    <t xml:space="preserve">Adams State University  </t>
  </si>
  <si>
    <t>0310</t>
  </si>
  <si>
    <t>1220</t>
  </si>
  <si>
    <t>1390</t>
  </si>
  <si>
    <t>1590</t>
  </si>
  <si>
    <t>1620</t>
  </si>
  <si>
    <t>2820</t>
  </si>
  <si>
    <t>Y058</t>
  </si>
  <si>
    <t>Y059</t>
  </si>
  <si>
    <t>Y061</t>
  </si>
  <si>
    <t>Y062</t>
  </si>
  <si>
    <t>Y063</t>
  </si>
  <si>
    <t>Y064</t>
  </si>
  <si>
    <t>Y071</t>
  </si>
  <si>
    <t>Y072</t>
  </si>
  <si>
    <t>Y081</t>
  </si>
  <si>
    <t>Y049</t>
  </si>
  <si>
    <t>Arapahoe County School District #1</t>
  </si>
  <si>
    <t>Mc Clave School District RE 2</t>
  </si>
  <si>
    <t>Garfield County School District 16</t>
  </si>
  <si>
    <t>Huerfano School District Number RE-1</t>
  </si>
  <si>
    <t>Primero Reorganized School District Number 2</t>
  </si>
  <si>
    <t>Aguilar School District RE-6</t>
  </si>
  <si>
    <t>Mountain Valley School District R E1</t>
  </si>
  <si>
    <t>Silverton School District 1</t>
  </si>
  <si>
    <t>Colorado Aerolab</t>
  </si>
  <si>
    <t>Boys and Girls Club of La Plata</t>
  </si>
  <si>
    <t>Heart &amp; Hand Center</t>
  </si>
  <si>
    <t>High Valley Community Center, Inc.</t>
  </si>
  <si>
    <t>Onward A Legacy Foundation-MCHS</t>
  </si>
  <si>
    <t>Onward A Legacy Foundation-SWOS</t>
  </si>
  <si>
    <t>Boys &amp; Girls Club of Larimer County</t>
  </si>
  <si>
    <t>Riverside Educational Center</t>
  </si>
  <si>
    <t>Boys Girls Club of Pueblo</t>
  </si>
  <si>
    <t>0504</t>
  </si>
  <si>
    <t>0503</t>
  </si>
  <si>
    <t>0464</t>
  </si>
  <si>
    <t>5666</t>
  </si>
  <si>
    <t>4496</t>
  </si>
  <si>
    <t>0520</t>
  </si>
  <si>
    <t>0040</t>
  </si>
  <si>
    <t>9212</t>
  </si>
  <si>
    <t>0108</t>
  </si>
  <si>
    <t>0109</t>
  </si>
  <si>
    <t>9486</t>
  </si>
  <si>
    <t>0612</t>
  </si>
  <si>
    <t>7160</t>
  </si>
  <si>
    <t>0058</t>
  </si>
  <si>
    <t>2224</t>
  </si>
  <si>
    <t>6146</t>
  </si>
  <si>
    <t>0054</t>
  </si>
  <si>
    <t>Y057</t>
  </si>
  <si>
    <t>Y862</t>
  </si>
  <si>
    <t>Welby Community School</t>
  </si>
  <si>
    <t>York International</t>
  </si>
  <si>
    <t>Federal Heights Elementary
McElwain Elementary
Rocky Mountain Elementary</t>
  </si>
  <si>
    <t>Clayton Elementary</t>
  </si>
  <si>
    <t>Aurora Hills Middle School
Kenton Elementary</t>
  </si>
  <si>
    <t>McClave Elementary
McClave Undivided High School</t>
  </si>
  <si>
    <t>Justice High Charter School</t>
  </si>
  <si>
    <t>Barnum Elementary
DCIS at Fairmont
Ellis Elementary
Hallett Academy</t>
  </si>
  <si>
    <t>Ridge View Academy Charter School</t>
  </si>
  <si>
    <t>Bea Underwood Elementary
Grand Valley Center for Family Learning
Grand Valley Middle School
Grand Valley High School</t>
  </si>
  <si>
    <t>John Mall High School</t>
  </si>
  <si>
    <t>Alameda International Junior/Senior High School</t>
  </si>
  <si>
    <t>Arvada K-8
Thomson Elementary</t>
  </si>
  <si>
    <t>West Park Elementary</t>
  </si>
  <si>
    <t>Bauder Elementary
Beattie Elementary
Poudre Community Academy</t>
  </si>
  <si>
    <t>Primero Elementary
Primero Junior/Senior High School</t>
  </si>
  <si>
    <t>Aguilar Elementary
Aguilar Junior/Senior High School</t>
  </si>
  <si>
    <t>Dos Rios Elementary</t>
  </si>
  <si>
    <t>Mountain Valley School</t>
  </si>
  <si>
    <t>Silverton Elementary
Silverton Middle School
Silverton High School</t>
  </si>
  <si>
    <t>New America School Lowry
New America School Thornton
New America School Lakewood</t>
  </si>
  <si>
    <t>Pinnacle Charter School Elementary</t>
  </si>
  <si>
    <t>Vega Collegiate Academy</t>
  </si>
  <si>
    <t>Beach Court Elementary
KIPP Northeast Denver Middle School
Hidden Lake High School</t>
  </si>
  <si>
    <t>Durango Big Picture High School</t>
  </si>
  <si>
    <t>Smith Elementary</t>
  </si>
  <si>
    <t>Del Norte Schools K-8</t>
  </si>
  <si>
    <t>Montezuma-Cortez High School</t>
  </si>
  <si>
    <t>Southwest Open Charter School</t>
  </si>
  <si>
    <t>Monroe Elementary
Truscott Elementary</t>
  </si>
  <si>
    <t>Bookcliff Middle School
Mount Garfield Middle School
Orchard Mesa Middle School
Rocky Mountain Elementary</t>
  </si>
  <si>
    <t>Omar D Blair Charter School</t>
  </si>
  <si>
    <t>Ashley Elementary</t>
  </si>
  <si>
    <t>Harris Park Elementary
Mesa Elementary</t>
  </si>
  <si>
    <t>Wyman School</t>
  </si>
  <si>
    <t>Y067</t>
  </si>
  <si>
    <t>San Luis Valley Combined Educators</t>
  </si>
  <si>
    <t>Y066</t>
  </si>
  <si>
    <t>Y027</t>
  </si>
  <si>
    <t xml:space="preserve">Colorado Northwestern Community College </t>
  </si>
  <si>
    <t>6914</t>
  </si>
  <si>
    <t>0860</t>
  </si>
  <si>
    <t>2740</t>
  </si>
  <si>
    <t>2810</t>
  </si>
  <si>
    <t>3000</t>
  </si>
  <si>
    <t>Brighton School District 27J</t>
  </si>
  <si>
    <t>Custer County Consolidated C 1 School District</t>
  </si>
  <si>
    <t>Delta County Joint School District No. 50</t>
  </si>
  <si>
    <t>Gunnison Watershed School District</t>
  </si>
  <si>
    <t>Hinsdale County RE-1 School District</t>
  </si>
  <si>
    <t>Laplata County School District 10 JT R.</t>
  </si>
  <si>
    <t>West End School District RE 2</t>
  </si>
  <si>
    <t>Ouray School District R-1</t>
  </si>
  <si>
    <t>Ouray County R-2 School District</t>
  </si>
  <si>
    <t>Monte Vista School District 8</t>
  </si>
  <si>
    <t>South Routt Re-3 School District</t>
  </si>
  <si>
    <t>Center Consolidated School District 26 Jt</t>
  </si>
  <si>
    <t>Norwood School District R2JT</t>
  </si>
  <si>
    <t>Summit School District RE 1</t>
  </si>
  <si>
    <t>Weld County School District RE-3J</t>
  </si>
  <si>
    <t>San Juan Board of Cooperative Services</t>
  </si>
  <si>
    <t xml:space="preserve">Total </t>
  </si>
  <si>
    <t>CDC Improving Student Health</t>
  </si>
  <si>
    <t>25xD</t>
  </si>
  <si>
    <t>7981</t>
  </si>
  <si>
    <t>Englewood 1</t>
  </si>
  <si>
    <t>Lake County RE - 1</t>
  </si>
  <si>
    <t>Valley RE - 1</t>
  </si>
  <si>
    <t>Weld County RE - 1</t>
  </si>
  <si>
    <t>Platte Valley RE - 7</t>
  </si>
  <si>
    <t>Title III PD</t>
  </si>
  <si>
    <t>1040</t>
  </si>
  <si>
    <t>Academy School District 20</t>
  </si>
  <si>
    <t>2994</t>
  </si>
  <si>
    <t>6242</t>
  </si>
  <si>
    <t>5191</t>
  </si>
  <si>
    <t>1917</t>
  </si>
  <si>
    <t>1505</t>
  </si>
  <si>
    <t>2196</t>
  </si>
  <si>
    <t>Rocky Mountain Prep Berkeley</t>
  </si>
  <si>
    <t>5280 High School</t>
  </si>
  <si>
    <t>The Cube School</t>
  </si>
  <si>
    <t>Ascent Classical Academy of Douglas County</t>
  </si>
  <si>
    <t>New Summit Charter Academy</t>
  </si>
  <si>
    <t>Liberty Tree Academy</t>
  </si>
  <si>
    <t>Compass Community Collaborative School</t>
  </si>
  <si>
    <t>Colorado Military Academy</t>
  </si>
  <si>
    <t>Colorado Early Colleges - Parker</t>
  </si>
  <si>
    <t>AXIS</t>
  </si>
  <si>
    <t>2055</t>
  </si>
  <si>
    <t>Dolores Re-4 School District</t>
  </si>
  <si>
    <t>Y941</t>
  </si>
  <si>
    <t>Center Viking Youth Club</t>
  </si>
  <si>
    <t>Pueblo School District 70</t>
  </si>
  <si>
    <t>Boulder Valley School District Re-2</t>
  </si>
  <si>
    <t>Montrose County School District RE-1J</t>
  </si>
  <si>
    <t>Pikes Peak Library District Foundation</t>
  </si>
  <si>
    <t>Community Educational Outreach</t>
  </si>
  <si>
    <t>SEL Tutoring</t>
  </si>
  <si>
    <t>Learning Source, The</t>
  </si>
  <si>
    <t>Spring Institute for Intercultural Learning, The</t>
  </si>
  <si>
    <t>Center for Relationship Education, The</t>
  </si>
  <si>
    <t>Carry Forward</t>
  </si>
  <si>
    <t>Revert</t>
  </si>
  <si>
    <t>Coperni 3</t>
  </si>
  <si>
    <t>2700</t>
  </si>
  <si>
    <t>Pueblo School District #70</t>
  </si>
  <si>
    <t>C033</t>
  </si>
  <si>
    <t>Empower Community HS</t>
  </si>
  <si>
    <t>0130</t>
  </si>
  <si>
    <t>Cherry Creek School District #5</t>
  </si>
  <si>
    <t>Colorado Skies Academy</t>
  </si>
  <si>
    <t>0890</t>
  </si>
  <si>
    <t>Dolores County School District</t>
  </si>
  <si>
    <t>7902</t>
  </si>
  <si>
    <t>ADAMS-ARAPAHOE 28J</t>
  </si>
  <si>
    <t>3140</t>
  </si>
  <si>
    <t>WELD COUNTY S/D RE-8</t>
  </si>
  <si>
    <t>0079</t>
  </si>
  <si>
    <t>9084</t>
  </si>
  <si>
    <t>Bella Roma</t>
  </si>
  <si>
    <t>2019-20</t>
  </si>
  <si>
    <t>JUNE
220</t>
  </si>
  <si>
    <t>OCTOBER
2020</t>
  </si>
  <si>
    <t>NOVEMBER
2020</t>
  </si>
  <si>
    <t>Joe Shields, (303) 866-6034, shields_j@cde.state.co.us</t>
  </si>
  <si>
    <t>Marti Rodriguez, (303) 866-6769, rodriguez_m@cde.state.co.us</t>
  </si>
  <si>
    <t>ALLOCATION APPROVED</t>
  </si>
  <si>
    <t>DPS DBA Emily Griffith TC</t>
  </si>
  <si>
    <t>Mapleton 1</t>
  </si>
  <si>
    <t>Adams 12</t>
  </si>
  <si>
    <t>Westminster SD</t>
  </si>
  <si>
    <t>Englewood Sd</t>
  </si>
  <si>
    <t>Sheridan SD</t>
  </si>
  <si>
    <t>St. Vrain Valley SD</t>
  </si>
  <si>
    <t>Fountain 8</t>
  </si>
  <si>
    <t>Lake County SD</t>
  </si>
  <si>
    <t>Thompson SD</t>
  </si>
  <si>
    <t>Mesa 51</t>
  </si>
  <si>
    <t>Greeley 6</t>
  </si>
  <si>
    <t>CBOCES</t>
  </si>
  <si>
    <t>SLV BOCES</t>
  </si>
  <si>
    <t>Irving Elementary, Risley International Academy of Innovation</t>
  </si>
  <si>
    <t>North Park School                               Soroco MS-HS                                                             West Grand Elementary and MS                                   West Grand HS</t>
  </si>
  <si>
    <t>Steven Kaleda, (303) 866-6724, kaleda_s@cde.state.co.us</t>
  </si>
  <si>
    <t>Peak-Pennington Elementary</t>
  </si>
  <si>
    <t>Colorado Multi-Tiered Behavioral Framework: School Climate Grant</t>
  </si>
  <si>
    <t>269C</t>
  </si>
  <si>
    <t>Brittany Shores, (303) 866-6911, shores_b@cde.state.co.us</t>
  </si>
  <si>
    <t>Arriba-Flagler CSD #20</t>
  </si>
  <si>
    <t>3110</t>
  </si>
  <si>
    <t>Weld County School District RE-5J</t>
  </si>
  <si>
    <t>6287</t>
  </si>
  <si>
    <t>22xF &amp; 22xG</t>
  </si>
  <si>
    <t>Formsite</t>
  </si>
  <si>
    <t>21st-229F</t>
  </si>
  <si>
    <t>AS-229G</t>
  </si>
  <si>
    <t>APPROVED CARRYOVER</t>
  </si>
  <si>
    <t>TOTAL AVAILABLE</t>
  </si>
  <si>
    <t xml:space="preserve">Match and Program Income </t>
  </si>
  <si>
    <t>MATCH REQUIREMENT</t>
  </si>
  <si>
    <t xml:space="preserve"> MATCH DECEMBER
2019</t>
  </si>
  <si>
    <t>PROGRAM INCOME DECEMBER 2019</t>
  </si>
  <si>
    <t>PROGRAM INCOME FEBRUARY 2019</t>
  </si>
  <si>
    <t>PROGRAM INCOME MARCH 2019</t>
  </si>
  <si>
    <t>PROGRAM INCOME APRIL 2019</t>
  </si>
  <si>
    <t>PROGRAM INCOME MAY 2019</t>
  </si>
  <si>
    <t>PROGRAM INCOME JUNE 2019</t>
  </si>
  <si>
    <t>PROGRAM INCOME JULY 2019</t>
  </si>
  <si>
    <t>MATCH AND PROGRAM INCOME</t>
  </si>
  <si>
    <t>MATCH JANUARY
2020</t>
  </si>
  <si>
    <t>MATCH FEBRUARY
2020</t>
  </si>
  <si>
    <t>MATCH MARCH
2020</t>
  </si>
  <si>
    <t>MATCH APRIL
2020</t>
  </si>
  <si>
    <t>MATCH MAY
2020</t>
  </si>
  <si>
    <t>MATCH JUNE
220</t>
  </si>
  <si>
    <t>MATCH JULY
2020</t>
  </si>
  <si>
    <t>MATCH AUGUST
2020</t>
  </si>
  <si>
    <t>MATCH SEPTEMBER
2020</t>
  </si>
  <si>
    <t>PROGRAM INCOME (PI) REQUIREMENT</t>
  </si>
  <si>
    <t>PI DECEMBER 2019</t>
  </si>
  <si>
    <t>REQUIRED MATCH BALANCE</t>
  </si>
  <si>
    <t>REQUIRED PI BALANCE</t>
  </si>
  <si>
    <t>Community College of Aurora</t>
  </si>
  <si>
    <t>TSJC</t>
  </si>
  <si>
    <t>Mesa County Public Library FDN</t>
  </si>
  <si>
    <t>Boys and Girls Club-Pueblo County</t>
  </si>
  <si>
    <t>Y074</t>
  </si>
  <si>
    <t>Colorado Volunteers in Juvenile &amp; Criminal Justice</t>
  </si>
  <si>
    <t>Tu Casa</t>
  </si>
  <si>
    <t>Pueblo 60 - FY1819 Funds obligated in FY1920</t>
  </si>
  <si>
    <t>PI JANUARY 2019</t>
  </si>
  <si>
    <t>REQUIRED PI JANUARY 2019</t>
  </si>
  <si>
    <t>2199</t>
  </si>
  <si>
    <t>0493</t>
  </si>
  <si>
    <t>0188</t>
  </si>
  <si>
    <t>1371</t>
  </si>
  <si>
    <t>0122</t>
  </si>
  <si>
    <t>8825</t>
  </si>
  <si>
    <t>Thomas Maclaren</t>
  </si>
  <si>
    <t>MSU</t>
  </si>
  <si>
    <t>DECEMBER
2020</t>
  </si>
  <si>
    <t>Poudre - FY1819 carryover</t>
  </si>
  <si>
    <t>Question regarding payments or grant:</t>
  </si>
  <si>
    <t>Questions regarding payments/grants:</t>
  </si>
  <si>
    <t>Question regarding payments/grant:</t>
  </si>
  <si>
    <t>319H</t>
  </si>
  <si>
    <t>Villa Bella Charter School</t>
  </si>
  <si>
    <t>Boys and Girls Club - Fremont</t>
  </si>
  <si>
    <t>Y076</t>
  </si>
  <si>
    <t>Y075</t>
  </si>
  <si>
    <t>Aurora Community Charter School</t>
  </si>
  <si>
    <t>June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</si>
</sst>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.00_);_(&quot;$&quot;* \(\ #,##0.00\ \);_(&quot;$&quot;* &quot;-&quot;??_);_(\ @_ \)"/>
    <numFmt numFmtId="167" formatCode="_(* #,##0.00_);_(* \(\ #,##0.00\ \);_(* &quot;-&quot;??_);_(\ @_ \)"/>
    <numFmt numFmtId="168" formatCode="_(&quot;$&quot;* #,##0_);_(&quot;$&quot;* \(#,##0\);_(&quot;$&quot;* &quot;-&quot;??_);_(@_)"/>
    <numFmt numFmtId="169" formatCode="_(* #,##0.00_);_(* \(#,##0.00\);_(* &quot;-&quot;_);_(@_)"/>
    <numFmt numFmtId="170" formatCode="&quot;$&quot;#,##0"/>
  </numFmts>
  <fonts count="7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color indexed="8"/>
      <name val="Arial"/>
      <family val="2"/>
    </font>
    <font>
      <sz val="12"/>
      <name val="Helv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ourier"/>
      <family val="3"/>
    </font>
    <font>
      <sz val="8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rgb="FFC4D79B"/>
      </right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indexed="64"/>
      </top>
      <bottom style="medium">
        <color rgb="FFC4D79B"/>
      </bottom>
      <diagonal/>
    </border>
    <border>
      <left/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theme="6" tint="0.399914548173467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6" tint="0.39991454817346722"/>
      </bottom>
      <diagonal/>
    </border>
    <border>
      <left/>
      <right style="medium">
        <color rgb="FFC4D79B"/>
      </right>
      <top/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/>
      <bottom style="medium">
        <color rgb="FFC4D79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theme="6" tint="0.39994506668294322"/>
      </left>
      <right/>
      <top style="medium">
        <color indexed="64"/>
      </top>
      <bottom/>
      <diagonal/>
    </border>
    <border>
      <left/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C4D79B"/>
      </top>
      <bottom style="medium">
        <color theme="6" tint="0.399914548173467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/>
      <top/>
      <bottom style="medium">
        <color rgb="FFC4D79B"/>
      </bottom>
      <diagonal/>
    </border>
    <border>
      <left style="double">
        <color indexed="64"/>
      </left>
      <right style="thin">
        <color rgb="FFC4D79B"/>
      </right>
      <top style="double">
        <color indexed="64"/>
      </top>
      <bottom style="thin">
        <color rgb="FFC4D79B"/>
      </bottom>
      <diagonal/>
    </border>
    <border>
      <left style="thin">
        <color rgb="FFC4D79B"/>
      </left>
      <right style="thin">
        <color rgb="FFC4D79B"/>
      </right>
      <top style="double">
        <color indexed="64"/>
      </top>
      <bottom style="thin">
        <color rgb="FFC4D79B"/>
      </bottom>
      <diagonal/>
    </border>
    <border>
      <left style="thin">
        <color rgb="FFC4D79B"/>
      </left>
      <right style="double">
        <color indexed="64"/>
      </right>
      <top style="double">
        <color indexed="64"/>
      </top>
      <bottom style="thin">
        <color rgb="FFC4D79B"/>
      </bottom>
      <diagonal/>
    </border>
    <border>
      <left style="double">
        <color indexed="64"/>
      </left>
      <right style="thin">
        <color rgb="FFC4D79B"/>
      </right>
      <top style="thin">
        <color rgb="FFC4D79B"/>
      </top>
      <bottom style="thin">
        <color rgb="FFC4D79B"/>
      </bottom>
      <diagonal/>
    </border>
    <border>
      <left style="thin">
        <color rgb="FFC4D79B"/>
      </left>
      <right style="thin">
        <color rgb="FFC4D79B"/>
      </right>
      <top style="thin">
        <color rgb="FFC4D79B"/>
      </top>
      <bottom style="thin">
        <color rgb="FFC4D79B"/>
      </bottom>
      <diagonal/>
    </border>
    <border>
      <left style="thin">
        <color rgb="FFC4D79B"/>
      </left>
      <right style="double">
        <color indexed="64"/>
      </right>
      <top style="thin">
        <color rgb="FFC4D79B"/>
      </top>
      <bottom style="thin">
        <color rgb="FFC4D79B"/>
      </bottom>
      <diagonal/>
    </border>
    <border>
      <left/>
      <right/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rgb="FFC4D79B"/>
      </right>
      <top style="medium">
        <color theme="6" tint="0.39991454817346722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theme="6" tint="0.39991454817346722"/>
      </top>
      <bottom style="medium">
        <color rgb="FFC4D79B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6" tint="0.39991454817346722"/>
      </left>
      <right/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 style="thin">
        <color theme="6" tint="0.39988402966399123"/>
      </left>
      <right style="thin">
        <color theme="6" tint="0.39988402966399123"/>
      </right>
      <top style="thin">
        <color theme="6" tint="0.39988402966399123"/>
      </top>
      <bottom style="thin">
        <color theme="6" tint="0.3998840296639912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indexed="64"/>
      </left>
      <right style="thin">
        <color rgb="FFC4D79B"/>
      </right>
      <top/>
      <bottom style="thin">
        <color rgb="FFC4D79B"/>
      </bottom>
      <diagonal/>
    </border>
    <border>
      <left style="thin">
        <color rgb="FFC4D79B"/>
      </left>
      <right style="thin">
        <color rgb="FFC4D79B"/>
      </right>
      <top/>
      <bottom style="thin">
        <color rgb="FFC4D79B"/>
      </bottom>
      <diagonal/>
    </border>
    <border>
      <left style="medium">
        <color rgb="FFC4D79B"/>
      </left>
      <right/>
      <top style="medium">
        <color rgb="FFC4D79B"/>
      </top>
      <bottom style="medium">
        <color rgb="FFC4D79B"/>
      </bottom>
      <diagonal/>
    </border>
    <border>
      <left style="thin">
        <color rgb="FFC3E6BA"/>
      </left>
      <right style="thin">
        <color rgb="FFC3E6BA"/>
      </right>
      <top style="thin">
        <color rgb="FFC3E6BA"/>
      </top>
      <bottom style="thin">
        <color rgb="FFC3E6BA"/>
      </bottom>
      <diagonal/>
    </border>
    <border>
      <left style="thin">
        <color rgb="FFC3E6BA"/>
      </left>
      <right style="thin">
        <color rgb="FFC3E6BA"/>
      </right>
      <top/>
      <bottom style="thin">
        <color rgb="FFC3E6BA"/>
      </bottom>
      <diagonal/>
    </border>
    <border>
      <left style="medium">
        <color rgb="FFC4D79B"/>
      </left>
      <right style="medium">
        <color rgb="FFC4D79B"/>
      </right>
      <top/>
      <bottom/>
      <diagonal/>
    </border>
    <border>
      <left style="medium">
        <color rgb="FFC4D79B"/>
      </left>
      <right style="medium">
        <color theme="6" tint="0.39994506668294322"/>
      </right>
      <top/>
      <bottom/>
      <diagonal/>
    </border>
  </borders>
  <cellStyleXfs count="282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0" fontId="15" fillId="0" borderId="0"/>
    <xf numFmtId="44" fontId="14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4" fillId="0" borderId="0"/>
    <xf numFmtId="0" fontId="3" fillId="0" borderId="0"/>
    <xf numFmtId="43" fontId="12" fillId="0" borderId="0" applyFont="0" applyFill="0" applyBorder="0" applyAlignment="0" applyProtection="0"/>
    <xf numFmtId="0" fontId="14" fillId="0" borderId="0"/>
    <xf numFmtId="0" fontId="2" fillId="0" borderId="0"/>
    <xf numFmtId="9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4" borderId="17" applyNumberFormat="0" applyAlignment="0" applyProtection="0"/>
    <xf numFmtId="0" fontId="25" fillId="18" borderId="18" applyNumberFormat="0" applyAlignment="0" applyProtection="0"/>
    <xf numFmtId="44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17" applyNumberFormat="0" applyAlignment="0" applyProtection="0"/>
    <xf numFmtId="0" fontId="32" fillId="0" borderId="22" applyNumberFormat="0" applyFill="0" applyAlignment="0" applyProtection="0"/>
    <xf numFmtId="0" fontId="33" fillId="10" borderId="0" applyNumberFormat="0" applyBorder="0" applyAlignment="0" applyProtection="0"/>
    <xf numFmtId="0" fontId="2" fillId="0" borderId="0"/>
    <xf numFmtId="0" fontId="21" fillId="6" borderId="23" applyNumberFormat="0" applyFont="0" applyAlignment="0" applyProtection="0"/>
    <xf numFmtId="0" fontId="34" fillId="4" borderId="24" applyNumberFormat="0" applyAlignment="0" applyProtection="0"/>
    <xf numFmtId="0" fontId="35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2" fillId="0" borderId="0"/>
    <xf numFmtId="0" fontId="38" fillId="0" borderId="0"/>
    <xf numFmtId="167" fontId="38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9" fillId="0" borderId="0"/>
    <xf numFmtId="0" fontId="14" fillId="0" borderId="0"/>
    <xf numFmtId="5" fontId="41" fillId="0" borderId="0"/>
    <xf numFmtId="0" fontId="39" fillId="0" borderId="0"/>
    <xf numFmtId="0" fontId="2" fillId="0" borderId="0" applyFill="0"/>
    <xf numFmtId="0" fontId="40" fillId="0" borderId="0"/>
    <xf numFmtId="5" fontId="41" fillId="0" borderId="0"/>
    <xf numFmtId="0" fontId="3" fillId="0" borderId="0"/>
    <xf numFmtId="0" fontId="14" fillId="4" borderId="0"/>
    <xf numFmtId="0" fontId="12" fillId="0" borderId="0"/>
    <xf numFmtId="0" fontId="14" fillId="0" borderId="0"/>
    <xf numFmtId="0" fontId="2" fillId="0" borderId="0"/>
    <xf numFmtId="0" fontId="42" fillId="0" borderId="0"/>
    <xf numFmtId="43" fontId="42" fillId="0" borderId="0" applyFont="0" applyFill="0" applyBorder="0" applyAlignment="0" applyProtection="0"/>
    <xf numFmtId="0" fontId="38" fillId="0" borderId="0"/>
    <xf numFmtId="0" fontId="3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/>
    <xf numFmtId="0" fontId="45" fillId="0" borderId="0"/>
    <xf numFmtId="9" fontId="45" fillId="0" borderId="0" applyFont="0" applyFill="0" applyBorder="0" applyAlignment="0" applyProtection="0"/>
    <xf numFmtId="0" fontId="3" fillId="0" borderId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6" fillId="0" borderId="0"/>
    <xf numFmtId="0" fontId="46" fillId="0" borderId="0"/>
    <xf numFmtId="0" fontId="45" fillId="0" borderId="0"/>
    <xf numFmtId="9" fontId="45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44" fontId="3" fillId="0" borderId="0" applyFont="0" applyFill="0" applyBorder="0" applyAlignment="0" applyProtection="0"/>
    <xf numFmtId="44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/>
    <xf numFmtId="0" fontId="14" fillId="4" borderId="0"/>
    <xf numFmtId="0" fontId="4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1" applyNumberFormat="0" applyFill="0" applyAlignment="0" applyProtection="0"/>
    <xf numFmtId="0" fontId="52" fillId="0" borderId="32" applyNumberFormat="0" applyFill="0" applyAlignment="0" applyProtection="0"/>
    <xf numFmtId="0" fontId="53" fillId="0" borderId="3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34" applyNumberFormat="0" applyAlignment="0" applyProtection="0"/>
    <xf numFmtId="0" fontId="58" fillId="24" borderId="35" applyNumberFormat="0" applyAlignment="0" applyProtection="0"/>
    <xf numFmtId="0" fontId="59" fillId="24" borderId="34" applyNumberFormat="0" applyAlignment="0" applyProtection="0"/>
    <xf numFmtId="0" fontId="60" fillId="0" borderId="36" applyNumberFormat="0" applyFill="0" applyAlignment="0" applyProtection="0"/>
    <xf numFmtId="0" fontId="61" fillId="25" borderId="37" applyNumberFormat="0" applyAlignment="0" applyProtection="0"/>
    <xf numFmtId="0" fontId="62" fillId="0" borderId="0" applyNumberFormat="0" applyFill="0" applyBorder="0" applyAlignment="0" applyProtection="0"/>
    <xf numFmtId="0" fontId="3" fillId="26" borderId="38" applyNumberFormat="0" applyFont="0" applyAlignment="0" applyProtection="0"/>
    <xf numFmtId="0" fontId="63" fillId="0" borderId="0" applyNumberFormat="0" applyFill="0" applyBorder="0" applyAlignment="0" applyProtection="0"/>
    <xf numFmtId="0" fontId="4" fillId="0" borderId="39" applyNumberFormat="0" applyFill="0" applyAlignment="0" applyProtection="0"/>
    <xf numFmtId="0" fontId="6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64" fillId="50" borderId="0" applyNumberFormat="0" applyBorder="0" applyAlignment="0" applyProtection="0"/>
    <xf numFmtId="0" fontId="40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2" fillId="0" borderId="0"/>
    <xf numFmtId="0" fontId="1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vertical="top"/>
    </xf>
    <xf numFmtId="4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5" fontId="41" fillId="0" borderId="0"/>
    <xf numFmtId="0" fontId="14" fillId="0" borderId="0"/>
    <xf numFmtId="0" fontId="3" fillId="0" borderId="0"/>
    <xf numFmtId="5" fontId="41" fillId="0" borderId="0"/>
    <xf numFmtId="0" fontId="40" fillId="0" borderId="0"/>
    <xf numFmtId="0" fontId="14" fillId="4" borderId="0"/>
    <xf numFmtId="0" fontId="40" fillId="0" borderId="0"/>
    <xf numFmtId="0" fontId="66" fillId="4" borderId="0"/>
    <xf numFmtId="0" fontId="66" fillId="4" borderId="0"/>
    <xf numFmtId="0" fontId="3" fillId="0" borderId="0"/>
    <xf numFmtId="0" fontId="66" fillId="4" borderId="0"/>
    <xf numFmtId="0" fontId="40" fillId="0" borderId="0"/>
    <xf numFmtId="0" fontId="67" fillId="0" borderId="40">
      <alignment vertical="center"/>
    </xf>
    <xf numFmtId="0" fontId="68" fillId="0" borderId="40" applyNumberFormat="0" applyFont="0" applyFill="0" applyBorder="0" applyAlignment="0" applyProtection="0">
      <alignment vertical="center"/>
    </xf>
  </cellStyleXfs>
  <cellXfs count="368">
    <xf numFmtId="0" fontId="0" fillId="0" borderId="0" xfId="0"/>
    <xf numFmtId="3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/>
    <xf numFmtId="0" fontId="8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center"/>
    </xf>
    <xf numFmtId="4" fontId="0" fillId="0" borderId="0" xfId="0" applyNumberFormat="1" applyFill="1"/>
    <xf numFmtId="4" fontId="0" fillId="0" borderId="0" xfId="0" applyNumberForma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/>
    <xf numFmtId="0" fontId="8" fillId="2" borderId="0" xfId="0" applyFont="1" applyFill="1" applyAlignment="1">
      <alignment horizont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11" fillId="2" borderId="0" xfId="0" applyFont="1" applyFill="1"/>
    <xf numFmtId="0" fontId="6" fillId="2" borderId="0" xfId="0" applyFont="1" applyFill="1"/>
    <xf numFmtId="0" fontId="4" fillId="2" borderId="9" xfId="0" applyFont="1" applyFill="1" applyBorder="1"/>
    <xf numFmtId="0" fontId="0" fillId="0" borderId="0" xfId="0" applyFont="1"/>
    <xf numFmtId="3" fontId="17" fillId="2" borderId="7" xfId="0" applyNumberFormat="1" applyFont="1" applyFill="1" applyBorder="1" applyAlignment="1">
      <alignment horizontal="left"/>
    </xf>
    <xf numFmtId="38" fontId="0" fillId="0" borderId="0" xfId="0" applyNumberFormat="1" applyFill="1"/>
    <xf numFmtId="0" fontId="4" fillId="0" borderId="0" xfId="0" applyFont="1" applyFill="1"/>
    <xf numFmtId="0" fontId="4" fillId="3" borderId="4" xfId="0" applyFont="1" applyFill="1" applyBorder="1" applyAlignment="1">
      <alignment horizontal="center" wrapText="1"/>
    </xf>
    <xf numFmtId="17" fontId="4" fillId="0" borderId="3" xfId="0" quotePrefix="1" applyNumberFormat="1" applyFont="1" applyFill="1" applyBorder="1" applyAlignment="1">
      <alignment horizontal="center" vertical="center" wrapText="1"/>
    </xf>
    <xf numFmtId="17" fontId="4" fillId="0" borderId="1" xfId="0" quotePrefix="1" applyNumberFormat="1" applyFont="1" applyFill="1" applyBorder="1" applyAlignment="1">
      <alignment horizontal="center" vertical="center" wrapText="1"/>
    </xf>
    <xf numFmtId="4" fontId="0" fillId="2" borderId="7" xfId="0" applyNumberFormat="1" applyFill="1" applyBorder="1"/>
    <xf numFmtId="0" fontId="4" fillId="3" borderId="1" xfId="0" applyFont="1" applyFill="1" applyBorder="1" applyAlignment="1">
      <alignment horizontal="center" wrapText="1"/>
    </xf>
    <xf numFmtId="3" fontId="0" fillId="0" borderId="0" xfId="0" applyNumberFormat="1"/>
    <xf numFmtId="0" fontId="0" fillId="0" borderId="0" xfId="0" applyFill="1" applyAlignment="1">
      <alignment horizontal="right"/>
    </xf>
    <xf numFmtId="0" fontId="7" fillId="2" borderId="0" xfId="0" applyNumberFormat="1" applyFont="1" applyFill="1"/>
    <xf numFmtId="0" fontId="9" fillId="2" borderId="0" xfId="0" applyNumberFormat="1" applyFont="1" applyFill="1"/>
    <xf numFmtId="0" fontId="4" fillId="0" borderId="2" xfId="0" applyNumberFormat="1" applyFont="1" applyFill="1" applyBorder="1" applyAlignment="1">
      <alignment horizontal="center" wrapText="1"/>
    </xf>
    <xf numFmtId="0" fontId="0" fillId="0" borderId="0" xfId="0" applyNumberFormat="1" applyFill="1" applyBorder="1"/>
    <xf numFmtId="0" fontId="0" fillId="0" borderId="0" xfId="0" applyNumberFormat="1"/>
    <xf numFmtId="3" fontId="0" fillId="0" borderId="0" xfId="0" applyNumberFormat="1" applyAlignment="1">
      <alignment vertical="top"/>
    </xf>
    <xf numFmtId="0" fontId="0" fillId="0" borderId="0" xfId="0" applyAlignment="1">
      <alignment wrapText="1"/>
    </xf>
    <xf numFmtId="2" fontId="9" fillId="2" borderId="0" xfId="0" quotePrefix="1" applyNumberFormat="1" applyFont="1" applyFill="1" applyAlignment="1">
      <alignment horizontal="left"/>
    </xf>
    <xf numFmtId="0" fontId="4" fillId="0" borderId="29" xfId="0" applyFont="1" applyFill="1" applyBorder="1" applyAlignment="1">
      <alignment horizontal="center" wrapText="1"/>
    </xf>
    <xf numFmtId="3" fontId="4" fillId="2" borderId="7" xfId="0" applyNumberFormat="1" applyFont="1" applyFill="1" applyBorder="1" applyAlignment="1">
      <alignment horizontal="center" vertical="center"/>
    </xf>
    <xf numFmtId="0" fontId="4" fillId="2" borderId="13" xfId="0" applyFont="1" applyFill="1" applyBorder="1"/>
    <xf numFmtId="3" fontId="4" fillId="2" borderId="7" xfId="0" applyNumberFormat="1" applyFont="1" applyFill="1" applyBorder="1" applyAlignment="1">
      <alignment vertical="top"/>
    </xf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wrapText="1"/>
    </xf>
    <xf numFmtId="17" fontId="4" fillId="0" borderId="1" xfId="0" quotePrefix="1" applyNumberFormat="1" applyFont="1" applyFill="1" applyBorder="1" applyAlignment="1">
      <alignment horizontal="center" wrapText="1"/>
    </xf>
    <xf numFmtId="0" fontId="10" fillId="2" borderId="0" xfId="0" applyFont="1" applyFill="1"/>
    <xf numFmtId="17" fontId="4" fillId="0" borderId="1" xfId="0" applyNumberFormat="1" applyFont="1" applyFill="1" applyBorder="1" applyAlignment="1">
      <alignment horizontal="center" wrapText="1"/>
    </xf>
    <xf numFmtId="3" fontId="4" fillId="2" borderId="7" xfId="0" applyNumberFormat="1" applyFont="1" applyFill="1" applyBorder="1"/>
    <xf numFmtId="17" fontId="4" fillId="0" borderId="3" xfId="0" quotePrefix="1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vertical="top" wrapText="1"/>
    </xf>
    <xf numFmtId="49" fontId="7" fillId="2" borderId="0" xfId="0" applyNumberFormat="1" applyFont="1" applyFill="1"/>
    <xf numFmtId="49" fontId="9" fillId="2" borderId="0" xfId="0" applyNumberFormat="1" applyFont="1" applyFill="1"/>
    <xf numFmtId="49" fontId="4" fillId="2" borderId="7" xfId="0" applyNumberFormat="1" applyFont="1" applyFill="1" applyBorder="1" applyAlignment="1">
      <alignment vertical="top"/>
    </xf>
    <xf numFmtId="49" fontId="0" fillId="0" borderId="0" xfId="0" applyNumberFormat="1"/>
    <xf numFmtId="49" fontId="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43" fontId="0" fillId="0" borderId="0" xfId="0" applyNumberFormat="1"/>
    <xf numFmtId="0" fontId="5" fillId="2" borderId="13" xfId="0" applyFont="1" applyFill="1" applyBorder="1" applyAlignment="1">
      <alignment horizontal="left" vertical="center" wrapText="1"/>
    </xf>
    <xf numFmtId="49" fontId="0" fillId="2" borderId="12" xfId="0" applyNumberFormat="1" applyFill="1" applyBorder="1" applyAlignment="1">
      <alignment horizontal="center" vertical="center"/>
    </xf>
    <xf numFmtId="41" fontId="17" fillId="2" borderId="13" xfId="0" applyNumberFormat="1" applyFont="1" applyFill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1" fontId="4" fillId="2" borderId="13" xfId="0" applyNumberFormat="1" applyFont="1" applyFill="1" applyBorder="1" applyAlignment="1">
      <alignment horizontal="right" vertical="center"/>
    </xf>
    <xf numFmtId="41" fontId="0" fillId="0" borderId="0" xfId="24" applyNumberFormat="1" applyFont="1" applyAlignment="1">
      <alignment horizontal="right" vertical="center"/>
    </xf>
    <xf numFmtId="41" fontId="0" fillId="0" borderId="0" xfId="24" applyNumberFormat="1" applyFont="1" applyFill="1" applyAlignment="1">
      <alignment horizontal="right" vertical="center"/>
    </xf>
    <xf numFmtId="49" fontId="0" fillId="2" borderId="13" xfId="0" applyNumberFormat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41" fontId="4" fillId="2" borderId="13" xfId="24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5" fillId="2" borderId="6" xfId="0" quotePrefix="1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vertical="center" wrapText="1"/>
    </xf>
    <xf numFmtId="41" fontId="0" fillId="2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5" fillId="2" borderId="8" xfId="0" applyNumberFormat="1" applyFont="1" applyFill="1" applyBorder="1" applyAlignment="1">
      <alignment horizontal="right" vertical="center"/>
    </xf>
    <xf numFmtId="0" fontId="17" fillId="2" borderId="6" xfId="0" quotePrefix="1" applyNumberFormat="1" applyFont="1" applyFill="1" applyBorder="1" applyAlignment="1">
      <alignment horizontal="center" vertical="center"/>
    </xf>
    <xf numFmtId="41" fontId="4" fillId="2" borderId="7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/>
    <xf numFmtId="0" fontId="0" fillId="0" borderId="0" xfId="0" applyFill="1" applyBorder="1" applyAlignment="1"/>
    <xf numFmtId="3" fontId="0" fillId="0" borderId="0" xfId="0" applyNumberFormat="1" applyAlignment="1"/>
    <xf numFmtId="0" fontId="0" fillId="0" borderId="0" xfId="0" applyAlignment="1"/>
    <xf numFmtId="49" fontId="0" fillId="2" borderId="7" xfId="0" quotePrefix="1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left" vertical="center" wrapText="1"/>
    </xf>
    <xf numFmtId="41" fontId="0" fillId="2" borderId="7" xfId="0" applyNumberForma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7" xfId="0" quotePrefix="1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0" fontId="9" fillId="2" borderId="0" xfId="0" quotePrefix="1" applyFont="1" applyFill="1"/>
    <xf numFmtId="41" fontId="5" fillId="2" borderId="7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9" fontId="4" fillId="2" borderId="7" xfId="0" applyNumberFormat="1" applyFont="1" applyFill="1" applyBorder="1" applyAlignment="1">
      <alignment horizontal="right" vertical="center"/>
    </xf>
    <xf numFmtId="41" fontId="0" fillId="2" borderId="7" xfId="24" applyNumberFormat="1" applyFont="1" applyFill="1" applyBorder="1" applyAlignment="1">
      <alignment horizontal="right" vertical="center"/>
    </xf>
    <xf numFmtId="49" fontId="0" fillId="2" borderId="0" xfId="0" quotePrefix="1" applyNumberForma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left" vertical="center" wrapText="1"/>
    </xf>
    <xf numFmtId="41" fontId="5" fillId="2" borderId="28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17" fillId="2" borderId="13" xfId="0" applyNumberFormat="1" applyFont="1" applyFill="1" applyBorder="1" applyAlignment="1">
      <alignment horizontal="right" vertical="center"/>
    </xf>
    <xf numFmtId="41" fontId="4" fillId="2" borderId="9" xfId="24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41" fontId="0" fillId="2" borderId="5" xfId="24" applyNumberFormat="1" applyFont="1" applyFill="1" applyBorder="1" applyAlignment="1">
      <alignment horizontal="right" vertical="center"/>
    </xf>
    <xf numFmtId="49" fontId="0" fillId="2" borderId="15" xfId="0" applyNumberFormat="1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left" vertical="center" wrapText="1"/>
    </xf>
    <xf numFmtId="41" fontId="0" fillId="0" borderId="30" xfId="24" applyNumberFormat="1" applyFont="1" applyBorder="1" applyAlignment="1">
      <alignment horizontal="right" vertical="center"/>
    </xf>
    <xf numFmtId="41" fontId="4" fillId="2" borderId="7" xfId="24" applyNumberFormat="1" applyFont="1" applyFill="1" applyBorder="1" applyAlignment="1">
      <alignment horizontal="right" vertical="center"/>
    </xf>
    <xf numFmtId="41" fontId="0" fillId="2" borderId="8" xfId="0" applyNumberFormat="1" applyFont="1" applyFill="1" applyBorder="1" applyAlignment="1">
      <alignment horizontal="right" vertical="center"/>
    </xf>
    <xf numFmtId="170" fontId="4" fillId="0" borderId="0" xfId="0" applyNumberFormat="1" applyFont="1"/>
    <xf numFmtId="0" fontId="69" fillId="0" borderId="0" xfId="0" applyFont="1" applyBorder="1"/>
    <xf numFmtId="0" fontId="0" fillId="0" borderId="0" xfId="0" applyAlignment="1">
      <alignment vertical="center"/>
    </xf>
    <xf numFmtId="0" fontId="70" fillId="2" borderId="0" xfId="0" applyFont="1" applyFill="1"/>
    <xf numFmtId="49" fontId="0" fillId="2" borderId="13" xfId="0" applyNumberFormat="1" applyFont="1" applyFill="1" applyBorder="1" applyAlignment="1">
      <alignment vertical="center" wrapText="1"/>
    </xf>
    <xf numFmtId="49" fontId="0" fillId="2" borderId="12" xfId="0" quotePrefix="1" applyNumberFormat="1" applyFill="1" applyBorder="1" applyAlignment="1">
      <alignment horizontal="center" vertical="center"/>
    </xf>
    <xf numFmtId="41" fontId="0" fillId="0" borderId="42" xfId="24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wrapText="1"/>
    </xf>
    <xf numFmtId="2" fontId="7" fillId="2" borderId="0" xfId="0" quotePrefix="1" applyNumberFormat="1" applyFont="1" applyFill="1" applyAlignment="1">
      <alignment horizontal="left"/>
    </xf>
    <xf numFmtId="165" fontId="0" fillId="0" borderId="0" xfId="24" applyNumberFormat="1" applyFont="1" applyAlignment="1">
      <alignment wrapText="1"/>
    </xf>
    <xf numFmtId="49" fontId="4" fillId="0" borderId="1" xfId="0" quotePrefix="1" applyNumberFormat="1" applyFont="1" applyFill="1" applyBorder="1" applyAlignment="1">
      <alignment horizontal="center" wrapText="1"/>
    </xf>
    <xf numFmtId="0" fontId="9" fillId="2" borderId="0" xfId="0" applyFont="1" applyFill="1" applyAlignment="1"/>
    <xf numFmtId="0" fontId="6" fillId="2" borderId="0" xfId="0" applyFont="1" applyFill="1" applyAlignment="1"/>
    <xf numFmtId="164" fontId="0" fillId="2" borderId="26" xfId="0" applyNumberForma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1" fontId="4" fillId="2" borderId="9" xfId="24" applyNumberFormat="1" applyFont="1" applyFill="1" applyBorder="1" applyAlignment="1">
      <alignment horizontal="left" vertical="center"/>
    </xf>
    <xf numFmtId="41" fontId="0" fillId="2" borderId="8" xfId="0" applyNumberForma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wrapText="1"/>
    </xf>
    <xf numFmtId="41" fontId="0" fillId="0" borderId="0" xfId="0" applyNumberFormat="1"/>
    <xf numFmtId="0" fontId="5" fillId="2" borderId="6" xfId="0" quotePrefix="1" applyNumberFormat="1" applyFont="1" applyFill="1" applyBorder="1" applyAlignment="1">
      <alignment horizontal="center" vertical="center" wrapText="1"/>
    </xf>
    <xf numFmtId="41" fontId="0" fillId="2" borderId="7" xfId="0" applyNumberFormat="1" applyFont="1" applyFill="1" applyBorder="1" applyAlignment="1">
      <alignment horizontal="right" vertical="center" wrapText="1"/>
    </xf>
    <xf numFmtId="41" fontId="5" fillId="2" borderId="7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wrapText="1"/>
    </xf>
    <xf numFmtId="43" fontId="5" fillId="2" borderId="28" xfId="0" applyNumberFormat="1" applyFont="1" applyFill="1" applyBorder="1" applyAlignment="1">
      <alignment horizontal="right" vertical="center"/>
    </xf>
    <xf numFmtId="43" fontId="0" fillId="2" borderId="7" xfId="24" applyNumberFormat="1" applyFont="1" applyFill="1" applyBorder="1" applyAlignment="1">
      <alignment horizontal="right" vertical="center"/>
    </xf>
    <xf numFmtId="43" fontId="0" fillId="2" borderId="13" xfId="0" applyNumberFormat="1" applyFont="1" applyFill="1" applyBorder="1" applyAlignment="1">
      <alignment horizontal="right" vertical="center"/>
    </xf>
    <xf numFmtId="43" fontId="0" fillId="0" borderId="0" xfId="0" applyNumberFormat="1" applyFill="1" applyAlignment="1">
      <alignment vertical="center"/>
    </xf>
    <xf numFmtId="43" fontId="17" fillId="2" borderId="13" xfId="0" applyNumberFormat="1" applyFont="1" applyFill="1" applyBorder="1" applyAlignment="1">
      <alignment horizontal="right" vertical="center"/>
    </xf>
    <xf numFmtId="43" fontId="4" fillId="2" borderId="13" xfId="0" applyNumberFormat="1" applyFont="1" applyFill="1" applyBorder="1" applyAlignment="1">
      <alignment horizontal="right" vertical="center"/>
    </xf>
    <xf numFmtId="49" fontId="0" fillId="0" borderId="43" xfId="0" applyNumberFormat="1" applyFill="1" applyBorder="1" applyAlignment="1">
      <alignment horizontal="center" vertical="center"/>
    </xf>
    <xf numFmtId="3" fontId="0" fillId="0" borderId="43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1" fontId="0" fillId="0" borderId="43" xfId="0" applyNumberFormat="1" applyFill="1" applyBorder="1" applyAlignment="1">
      <alignment horizontal="right" vertical="center"/>
    </xf>
    <xf numFmtId="43" fontId="4" fillId="2" borderId="40" xfId="0" quotePrefix="1" applyNumberFormat="1" applyFont="1" applyFill="1" applyBorder="1" applyAlignment="1">
      <alignment horizontal="center" wrapText="1"/>
    </xf>
    <xf numFmtId="49" fontId="0" fillId="2" borderId="9" xfId="24" applyNumberFormat="1" applyFont="1" applyFill="1" applyBorder="1" applyAlignment="1">
      <alignment horizontal="center" vertical="center"/>
    </xf>
    <xf numFmtId="0" fontId="0" fillId="51" borderId="44" xfId="0" applyFill="1" applyBorder="1"/>
    <xf numFmtId="169" fontId="0" fillId="0" borderId="0" xfId="0" applyNumberFormat="1"/>
    <xf numFmtId="43" fontId="0" fillId="2" borderId="7" xfId="0" applyNumberFormat="1" applyFill="1" applyBorder="1" applyAlignment="1">
      <alignment horizontal="right" vertical="center"/>
    </xf>
    <xf numFmtId="43" fontId="0" fillId="0" borderId="42" xfId="24" applyNumberFormat="1" applyFont="1" applyBorder="1" applyAlignment="1">
      <alignment horizontal="right" vertical="center"/>
    </xf>
    <xf numFmtId="43" fontId="0" fillId="0" borderId="30" xfId="24" applyNumberFormat="1" applyFont="1" applyBorder="1" applyAlignment="1">
      <alignment horizontal="right" vertical="center"/>
    </xf>
    <xf numFmtId="43" fontId="0" fillId="0" borderId="0" xfId="24" applyNumberFormat="1" applyFont="1" applyAlignment="1">
      <alignment horizontal="right" vertical="center"/>
    </xf>
    <xf numFmtId="43" fontId="0" fillId="0" borderId="0" xfId="0" applyNumberFormat="1" applyFill="1" applyBorder="1" applyAlignment="1">
      <alignment horizontal="right" vertical="center"/>
    </xf>
    <xf numFmtId="43" fontId="0" fillId="0" borderId="0" xfId="0" applyNumberFormat="1" applyFill="1"/>
    <xf numFmtId="43" fontId="0" fillId="0" borderId="0" xfId="24" applyNumberFormat="1" applyFont="1" applyFill="1" applyAlignment="1">
      <alignment horizontal="right" vertical="center"/>
    </xf>
    <xf numFmtId="43" fontId="4" fillId="2" borderId="7" xfId="0" applyNumberFormat="1" applyFont="1" applyFill="1" applyBorder="1" applyAlignment="1">
      <alignment horizontal="right" vertical="center"/>
    </xf>
    <xf numFmtId="49" fontId="0" fillId="0" borderId="45" xfId="0" applyNumberFormat="1" applyFill="1" applyBorder="1" applyAlignment="1">
      <alignment horizontal="center" vertical="center"/>
    </xf>
    <xf numFmtId="0" fontId="0" fillId="0" borderId="45" xfId="0" applyFill="1" applyBorder="1"/>
    <xf numFmtId="0" fontId="8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17" fontId="4" fillId="0" borderId="29" xfId="0" quotePrefix="1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49" fontId="0" fillId="51" borderId="47" xfId="0" applyNumberFormat="1" applyFill="1" applyBorder="1" applyAlignment="1">
      <alignment horizontal="center" vertical="center"/>
    </xf>
    <xf numFmtId="0" fontId="0" fillId="51" borderId="47" xfId="0" applyFont="1" applyFill="1" applyBorder="1" applyAlignment="1">
      <alignment horizontal="center"/>
    </xf>
    <xf numFmtId="41" fontId="17" fillId="51" borderId="47" xfId="0" applyNumberFormat="1" applyFont="1" applyFill="1" applyBorder="1" applyAlignment="1">
      <alignment horizontal="right" vertical="center" wrapText="1"/>
    </xf>
    <xf numFmtId="49" fontId="0" fillId="2" borderId="48" xfId="0" quotePrefix="1" applyNumberFormat="1" applyFont="1" applyFill="1" applyBorder="1" applyAlignment="1">
      <alignment horizontal="center" wrapText="1"/>
    </xf>
    <xf numFmtId="43" fontId="0" fillId="2" borderId="49" xfId="0" quotePrefix="1" applyNumberFormat="1" applyFont="1" applyFill="1" applyBorder="1" applyAlignment="1">
      <alignment horizontal="center" wrapText="1"/>
    </xf>
    <xf numFmtId="41" fontId="0" fillId="2" borderId="49" xfId="24" applyNumberFormat="1" applyFont="1" applyFill="1" applyBorder="1" applyAlignment="1">
      <alignment horizontal="right" vertical="center"/>
    </xf>
    <xf numFmtId="49" fontId="0" fillId="2" borderId="51" xfId="0" quotePrefix="1" applyNumberFormat="1" applyFont="1" applyFill="1" applyBorder="1" applyAlignment="1">
      <alignment horizontal="center" wrapText="1"/>
    </xf>
    <xf numFmtId="43" fontId="0" fillId="2" borderId="52" xfId="0" quotePrefix="1" applyNumberFormat="1" applyFont="1" applyFill="1" applyBorder="1" applyAlignment="1">
      <alignment horizontal="center" wrapText="1"/>
    </xf>
    <xf numFmtId="41" fontId="0" fillId="2" borderId="52" xfId="24" applyNumberFormat="1" applyFont="1" applyFill="1" applyBorder="1" applyAlignment="1">
      <alignment horizontal="right" vertical="center"/>
    </xf>
    <xf numFmtId="41" fontId="0" fillId="0" borderId="0" xfId="0" applyNumberFormat="1" applyFill="1"/>
    <xf numFmtId="41" fontId="0" fillId="0" borderId="0" xfId="0" applyNumberFormat="1" applyFill="1" applyAlignment="1">
      <alignment horizontal="right"/>
    </xf>
    <xf numFmtId="49" fontId="5" fillId="2" borderId="13" xfId="0" applyNumberFormat="1" applyFont="1" applyFill="1" applyBorder="1" applyAlignment="1">
      <alignment horizontal="left" vertical="center" wrapText="1"/>
    </xf>
    <xf numFmtId="49" fontId="3" fillId="2" borderId="9" xfId="24" applyNumberFormat="1" applyFont="1" applyFill="1" applyBorder="1" applyAlignment="1">
      <alignment horizontal="center" vertical="center"/>
    </xf>
    <xf numFmtId="49" fontId="3" fillId="2" borderId="9" xfId="24" applyNumberFormat="1" applyFont="1" applyFill="1" applyBorder="1" applyAlignment="1">
      <alignment horizontal="left" vertical="center"/>
    </xf>
    <xf numFmtId="49" fontId="0" fillId="2" borderId="9" xfId="24" quotePrefix="1" applyNumberFormat="1" applyFont="1" applyFill="1" applyBorder="1" applyAlignment="1">
      <alignment horizontal="center" vertical="center"/>
    </xf>
    <xf numFmtId="49" fontId="0" fillId="2" borderId="9" xfId="24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 wrapText="1"/>
    </xf>
    <xf numFmtId="0" fontId="0" fillId="2" borderId="7" xfId="24" applyNumberFormat="1" applyFont="1" applyFill="1" applyBorder="1" applyAlignment="1">
      <alignment horizontal="right" vertical="center"/>
    </xf>
    <xf numFmtId="41" fontId="0" fillId="2" borderId="7" xfId="24" applyNumberFormat="1" applyFont="1" applyFill="1" applyBorder="1" applyAlignment="1">
      <alignment horizontal="right" vertical="center" wrapText="1"/>
    </xf>
    <xf numFmtId="43" fontId="0" fillId="51" borderId="0" xfId="24" applyNumberFormat="1" applyFont="1" applyFill="1" applyAlignment="1">
      <alignment horizontal="right" vertical="center"/>
    </xf>
    <xf numFmtId="43" fontId="4" fillId="2" borderId="7" xfId="24" applyNumberFormat="1" applyFont="1" applyFill="1" applyBorder="1" applyAlignment="1">
      <alignment horizontal="right" vertical="center"/>
    </xf>
    <xf numFmtId="44" fontId="0" fillId="0" borderId="0" xfId="0" applyNumberFormat="1" applyFill="1"/>
    <xf numFmtId="41" fontId="4" fillId="0" borderId="54" xfId="24" applyNumberFormat="1" applyFont="1" applyFill="1" applyBorder="1" applyAlignment="1">
      <alignment horizontal="right" vertical="center"/>
    </xf>
    <xf numFmtId="43" fontId="0" fillId="0" borderId="0" xfId="24" applyNumberFormat="1" applyFont="1" applyBorder="1" applyAlignment="1">
      <alignment horizontal="right" vertical="center"/>
    </xf>
    <xf numFmtId="43" fontId="0" fillId="0" borderId="0" xfId="24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left" vertical="center"/>
    </xf>
    <xf numFmtId="4" fontId="0" fillId="2" borderId="7" xfId="0" applyNumberFormat="1" applyFill="1" applyBorder="1" applyAlignment="1">
      <alignment horizontal="center"/>
    </xf>
    <xf numFmtId="43" fontId="0" fillId="0" borderId="30" xfId="0" applyNumberFormat="1" applyFill="1" applyBorder="1" applyAlignment="1">
      <alignment horizontal="right" vertical="center"/>
    </xf>
    <xf numFmtId="17" fontId="4" fillId="0" borderId="30" xfId="0" quotePrefix="1" applyNumberFormat="1" applyFont="1" applyFill="1" applyBorder="1" applyAlignment="1">
      <alignment horizontal="center" vertical="center" wrapText="1"/>
    </xf>
    <xf numFmtId="17" fontId="4" fillId="0" borderId="29" xfId="0" quotePrefix="1" applyNumberFormat="1" applyFont="1" applyFill="1" applyBorder="1" applyAlignment="1">
      <alignment horizontal="center" vertical="center" wrapText="1"/>
    </xf>
    <xf numFmtId="41" fontId="0" fillId="0" borderId="57" xfId="24" applyNumberFormat="1" applyFont="1" applyFill="1" applyBorder="1" applyAlignment="1">
      <alignment horizontal="right" vertical="center"/>
    </xf>
    <xf numFmtId="41" fontId="0" fillId="51" borderId="57" xfId="24" applyNumberFormat="1" applyFont="1" applyFill="1" applyBorder="1" applyAlignment="1">
      <alignment horizontal="right" vertical="center"/>
    </xf>
    <xf numFmtId="0" fontId="0" fillId="0" borderId="57" xfId="0" applyBorder="1"/>
    <xf numFmtId="41" fontId="0" fillId="2" borderId="59" xfId="24" applyNumberFormat="1" applyFont="1" applyFill="1" applyBorder="1" applyAlignment="1">
      <alignment horizontal="right" vertical="center"/>
    </xf>
    <xf numFmtId="41" fontId="0" fillId="0" borderId="60" xfId="24" applyNumberFormat="1" applyFont="1" applyFill="1" applyBorder="1" applyAlignment="1">
      <alignment horizontal="right" vertical="center"/>
    </xf>
    <xf numFmtId="0" fontId="0" fillId="0" borderId="60" xfId="0" applyBorder="1"/>
    <xf numFmtId="0" fontId="0" fillId="0" borderId="60" xfId="0" applyFill="1" applyBorder="1"/>
    <xf numFmtId="41" fontId="0" fillId="51" borderId="60" xfId="24" applyNumberFormat="1" applyFont="1" applyFill="1" applyBorder="1" applyAlignment="1">
      <alignment horizontal="right" vertical="center"/>
    </xf>
    <xf numFmtId="168" fontId="0" fillId="0" borderId="60" xfId="0" applyNumberFormat="1" applyFill="1" applyBorder="1"/>
    <xf numFmtId="3" fontId="0" fillId="0" borderId="60" xfId="0" applyNumberFormat="1" applyFill="1" applyBorder="1"/>
    <xf numFmtId="0" fontId="0" fillId="2" borderId="60" xfId="0" applyFill="1" applyBorder="1"/>
    <xf numFmtId="3" fontId="0" fillId="2" borderId="60" xfId="0" applyNumberFormat="1" applyFill="1" applyBorder="1"/>
    <xf numFmtId="3" fontId="0" fillId="0" borderId="60" xfId="0" applyNumberFormat="1" applyBorder="1"/>
    <xf numFmtId="4" fontId="0" fillId="0" borderId="0" xfId="24" applyNumberFormat="1" applyFont="1" applyAlignment="1">
      <alignment horizontal="right" vertical="center"/>
    </xf>
    <xf numFmtId="4" fontId="0" fillId="0" borderId="0" xfId="24" applyNumberFormat="1" applyFont="1" applyFill="1" applyBorder="1" applyAlignment="1">
      <alignment horizontal="right" vertical="center"/>
    </xf>
    <xf numFmtId="4" fontId="4" fillId="2" borderId="9" xfId="24" applyNumberFormat="1" applyFont="1" applyFill="1" applyBorder="1" applyAlignment="1">
      <alignment horizontal="right" vertical="center"/>
    </xf>
    <xf numFmtId="4" fontId="0" fillId="0" borderId="57" xfId="24" applyNumberFormat="1" applyFont="1" applyFill="1" applyBorder="1" applyAlignment="1">
      <alignment horizontal="right" vertical="center"/>
    </xf>
    <xf numFmtId="4" fontId="4" fillId="2" borderId="57" xfId="24" applyNumberFormat="1" applyFont="1" applyFill="1" applyBorder="1" applyAlignment="1">
      <alignment horizontal="right" vertical="center"/>
    </xf>
    <xf numFmtId="4" fontId="0" fillId="0" borderId="0" xfId="24" applyNumberFormat="1" applyFont="1" applyFill="1" applyAlignment="1">
      <alignment horizontal="right" vertical="center"/>
    </xf>
    <xf numFmtId="4" fontId="0" fillId="0" borderId="0" xfId="0" applyNumberFormat="1"/>
    <xf numFmtId="4" fontId="3" fillId="2" borderId="9" xfId="24" applyNumberFormat="1" applyFont="1" applyFill="1" applyBorder="1" applyAlignment="1">
      <alignment horizontal="right" vertical="center"/>
    </xf>
    <xf numFmtId="4" fontId="3" fillId="2" borderId="58" xfId="24" applyNumberFormat="1" applyFont="1" applyFill="1" applyBorder="1" applyAlignment="1">
      <alignment horizontal="right" vertical="center"/>
    </xf>
    <xf numFmtId="4" fontId="0" fillId="51" borderId="57" xfId="24" applyNumberFormat="1" applyFont="1" applyFill="1" applyBorder="1" applyAlignment="1">
      <alignment horizontal="right" vertical="center"/>
    </xf>
    <xf numFmtId="4" fontId="0" fillId="0" borderId="57" xfId="0" applyNumberFormat="1" applyBorder="1"/>
    <xf numFmtId="4" fontId="3" fillId="2" borderId="0" xfId="24" applyNumberFormat="1" applyFont="1" applyFill="1" applyBorder="1" applyAlignment="1">
      <alignment horizontal="right" vertical="center"/>
    </xf>
    <xf numFmtId="4" fontId="0" fillId="0" borderId="57" xfId="0" applyNumberFormat="1" applyFill="1" applyBorder="1"/>
    <xf numFmtId="4" fontId="5" fillId="51" borderId="57" xfId="24" applyNumberFormat="1" applyFont="1" applyFill="1" applyBorder="1" applyAlignment="1">
      <alignment horizontal="right" vertical="center"/>
    </xf>
    <xf numFmtId="4" fontId="3" fillId="2" borderId="56" xfId="24" applyNumberFormat="1" applyFont="1" applyFill="1" applyBorder="1" applyAlignment="1">
      <alignment horizontal="right" vertical="center"/>
    </xf>
    <xf numFmtId="4" fontId="3" fillId="2" borderId="16" xfId="24" applyNumberFormat="1" applyFont="1" applyFill="1" applyBorder="1" applyAlignment="1">
      <alignment horizontal="right" vertical="center"/>
    </xf>
    <xf numFmtId="4" fontId="4" fillId="2" borderId="58" xfId="24" applyNumberFormat="1" applyFont="1" applyFill="1" applyBorder="1" applyAlignment="1">
      <alignment horizontal="right" vertical="center"/>
    </xf>
    <xf numFmtId="4" fontId="0" fillId="0" borderId="0" xfId="24" applyNumberFormat="1" applyFont="1" applyFill="1" applyAlignment="1">
      <alignment vertical="center"/>
    </xf>
    <xf numFmtId="4" fontId="0" fillId="51" borderId="44" xfId="24" applyNumberFormat="1" applyFont="1" applyFill="1" applyBorder="1" applyAlignment="1">
      <alignment vertical="center" wrapText="1"/>
    </xf>
    <xf numFmtId="4" fontId="0" fillId="51" borderId="44" xfId="0" applyNumberFormat="1" applyFill="1" applyBorder="1"/>
    <xf numFmtId="4" fontId="4" fillId="2" borderId="13" xfId="0" applyNumberFormat="1" applyFont="1" applyFill="1" applyBorder="1" applyAlignment="1">
      <alignment horizontal="right" vertical="center"/>
    </xf>
    <xf numFmtId="4" fontId="4" fillId="0" borderId="0" xfId="0" applyNumberFormat="1" applyFont="1" applyFill="1"/>
    <xf numFmtId="4" fontId="0" fillId="51" borderId="0" xfId="24" applyNumberFormat="1" applyFont="1" applyFill="1" applyAlignment="1">
      <alignment horizontal="right" vertical="center"/>
    </xf>
    <xf numFmtId="4" fontId="0" fillId="0" borderId="0" xfId="0" applyNumberFormat="1" applyFont="1"/>
    <xf numFmtId="4" fontId="4" fillId="2" borderId="13" xfId="24" applyNumberFormat="1" applyFont="1" applyFill="1" applyBorder="1" applyAlignment="1">
      <alignment horizontal="right" vertical="center"/>
    </xf>
    <xf numFmtId="4" fontId="0" fillId="2" borderId="7" xfId="24" applyNumberFormat="1" applyFont="1" applyFill="1" applyBorder="1" applyAlignment="1">
      <alignment horizontal="right" vertical="center"/>
    </xf>
    <xf numFmtId="4" fontId="0" fillId="2" borderId="13" xfId="24" applyNumberFormat="1" applyFont="1" applyFill="1" applyBorder="1" applyAlignment="1">
      <alignment horizontal="right" vertical="center"/>
    </xf>
    <xf numFmtId="4" fontId="0" fillId="2" borderId="14" xfId="24" applyNumberFormat="1" applyFont="1" applyFill="1" applyBorder="1" applyAlignment="1">
      <alignment horizontal="right" vertical="center"/>
    </xf>
    <xf numFmtId="4" fontId="0" fillId="2" borderId="49" xfId="24" applyNumberFormat="1" applyFont="1" applyFill="1" applyBorder="1" applyAlignment="1">
      <alignment horizontal="right" vertical="center"/>
    </xf>
    <xf numFmtId="4" fontId="0" fillId="2" borderId="49" xfId="0" applyNumberFormat="1" applyFill="1" applyBorder="1" applyAlignment="1">
      <alignment vertical="center"/>
    </xf>
    <xf numFmtId="4" fontId="0" fillId="2" borderId="50" xfId="0" applyNumberFormat="1" applyFill="1" applyBorder="1" applyAlignment="1">
      <alignment vertical="center"/>
    </xf>
    <xf numFmtId="4" fontId="0" fillId="2" borderId="52" xfId="24" applyNumberFormat="1" applyFont="1" applyFill="1" applyBorder="1" applyAlignment="1">
      <alignment horizontal="right" vertical="center"/>
    </xf>
    <xf numFmtId="4" fontId="0" fillId="2" borderId="52" xfId="0" applyNumberFormat="1" applyFill="1" applyBorder="1" applyAlignment="1">
      <alignment vertical="center"/>
    </xf>
    <xf numFmtId="4" fontId="0" fillId="2" borderId="53" xfId="0" applyNumberFormat="1" applyFill="1" applyBorder="1" applyAlignment="1">
      <alignment vertical="center"/>
    </xf>
    <xf numFmtId="4" fontId="17" fillId="51" borderId="47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horizontal="right"/>
    </xf>
    <xf numFmtId="4" fontId="0" fillId="2" borderId="11" xfId="24" applyNumberFormat="1" applyFont="1" applyFill="1" applyBorder="1" applyAlignment="1">
      <alignment horizontal="right" vertical="center"/>
    </xf>
    <xf numFmtId="4" fontId="0" fillId="2" borderId="5" xfId="24" applyNumberFormat="1" applyFont="1" applyFill="1" applyBorder="1" applyAlignment="1">
      <alignment horizontal="right" vertical="center"/>
    </xf>
    <xf numFmtId="4" fontId="0" fillId="2" borderId="16" xfId="24" applyNumberFormat="1" applyFont="1" applyFill="1" applyBorder="1" applyAlignment="1">
      <alignment horizontal="right" vertical="center"/>
    </xf>
    <xf numFmtId="4" fontId="0" fillId="0" borderId="45" xfId="24" applyNumberFormat="1" applyFont="1" applyFill="1" applyBorder="1" applyAlignment="1">
      <alignment horizontal="right" vertical="center"/>
    </xf>
    <xf numFmtId="4" fontId="0" fillId="0" borderId="43" xfId="24" applyNumberFormat="1" applyFont="1" applyFill="1" applyBorder="1" applyAlignment="1">
      <alignment horizontal="right" vertical="center"/>
    </xf>
    <xf numFmtId="4" fontId="0" fillId="0" borderId="46" xfId="24" applyNumberFormat="1" applyFont="1" applyFill="1" applyBorder="1" applyAlignment="1">
      <alignment horizontal="right" vertical="center"/>
    </xf>
    <xf numFmtId="4" fontId="0" fillId="0" borderId="0" xfId="0" applyNumberFormat="1" applyFill="1" applyBorder="1"/>
    <xf numFmtId="4" fontId="4" fillId="2" borderId="7" xfId="24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>
      <alignment horizontal="right" vertical="center" wrapText="1"/>
    </xf>
    <xf numFmtId="4" fontId="0" fillId="0" borderId="0" xfId="24" applyNumberFormat="1" applyFont="1" applyAlignment="1">
      <alignment wrapText="1"/>
    </xf>
    <xf numFmtId="4" fontId="5" fillId="2" borderId="13" xfId="0" applyNumberFormat="1" applyFont="1" applyFill="1" applyBorder="1" applyAlignment="1">
      <alignment horizontal="left" vertical="center" wrapText="1"/>
    </xf>
    <xf numFmtId="4" fontId="17" fillId="2" borderId="13" xfId="0" applyNumberFormat="1" applyFont="1" applyFill="1" applyBorder="1" applyAlignment="1">
      <alignment horizontal="right" vertical="center" wrapText="1"/>
    </xf>
    <xf numFmtId="43" fontId="71" fillId="0" borderId="0" xfId="24" applyNumberFormat="1" applyFont="1" applyAlignment="1">
      <alignment horizontal="right" vertical="center"/>
    </xf>
    <xf numFmtId="43" fontId="4" fillId="2" borderId="5" xfId="0" applyNumberFormat="1" applyFont="1" applyFill="1" applyBorder="1" applyAlignment="1">
      <alignment horizontal="right" vertical="center"/>
    </xf>
    <xf numFmtId="43" fontId="0" fillId="0" borderId="61" xfId="24" applyNumberFormat="1" applyFont="1" applyBorder="1" applyAlignment="1">
      <alignment horizontal="right" vertical="center"/>
    </xf>
    <xf numFmtId="43" fontId="0" fillId="0" borderId="61" xfId="24" applyNumberFormat="1" applyFont="1" applyFill="1" applyBorder="1" applyAlignment="1">
      <alignment horizontal="right" vertical="center"/>
    </xf>
    <xf numFmtId="43" fontId="0" fillId="51" borderId="61" xfId="24" applyNumberFormat="1" applyFont="1" applyFill="1" applyBorder="1" applyAlignment="1">
      <alignment horizontal="right" vertical="center"/>
    </xf>
    <xf numFmtId="43" fontId="0" fillId="0" borderId="61" xfId="0" applyNumberFormat="1" applyFill="1" applyBorder="1" applyAlignment="1">
      <alignment horizontal="right" vertical="center"/>
    </xf>
    <xf numFmtId="43" fontId="0" fillId="51" borderId="61" xfId="0" applyNumberFormat="1" applyFill="1" applyBorder="1" applyAlignment="1">
      <alignment horizontal="right" vertical="center"/>
    </xf>
    <xf numFmtId="3" fontId="0" fillId="0" borderId="61" xfId="0" applyNumberFormat="1" applyBorder="1" applyAlignment="1">
      <alignment vertical="top"/>
    </xf>
    <xf numFmtId="43" fontId="5" fillId="0" borderId="61" xfId="24" applyNumberFormat="1" applyFont="1" applyBorder="1" applyAlignment="1">
      <alignment horizontal="right" vertical="center"/>
    </xf>
    <xf numFmtId="43" fontId="5" fillId="51" borderId="61" xfId="24" applyNumberFormat="1" applyFont="1" applyFill="1" applyBorder="1" applyAlignment="1">
      <alignment horizontal="right" vertical="center"/>
    </xf>
    <xf numFmtId="0" fontId="0" fillId="0" borderId="61" xfId="0" applyBorder="1"/>
    <xf numFmtId="4" fontId="0" fillId="2" borderId="7" xfId="0" applyNumberFormat="1" applyFill="1" applyBorder="1" applyAlignment="1">
      <alignment horizontal="right" vertical="center"/>
    </xf>
    <xf numFmtId="4" fontId="0" fillId="0" borderId="0" xfId="24" applyNumberFormat="1" applyFont="1" applyBorder="1" applyAlignment="1">
      <alignment horizontal="right" vertical="center"/>
    </xf>
    <xf numFmtId="4" fontId="0" fillId="0" borderId="30" xfId="24" applyNumberFormat="1" applyFont="1" applyBorder="1" applyAlignment="1">
      <alignment horizontal="right" vertical="center"/>
    </xf>
    <xf numFmtId="4" fontId="0" fillId="2" borderId="43" xfId="0" applyNumberForma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top"/>
    </xf>
    <xf numFmtId="43" fontId="0" fillId="0" borderId="0" xfId="24" applyFont="1"/>
    <xf numFmtId="4" fontId="4" fillId="0" borderId="0" xfId="0" quotePrefix="1" applyNumberFormat="1" applyFont="1" applyFill="1" applyBorder="1" applyAlignment="1">
      <alignment horizontal="center" vertical="center" wrapText="1"/>
    </xf>
    <xf numFmtId="4" fontId="0" fillId="0" borderId="0" xfId="24" applyNumberFormat="1" applyFont="1" applyFill="1" applyAlignment="1">
      <alignment wrapText="1"/>
    </xf>
    <xf numFmtId="4" fontId="0" fillId="0" borderId="0" xfId="0" applyNumberFormat="1" applyFill="1" applyBorder="1" applyAlignment="1">
      <alignment horizontal="right" vertical="center"/>
    </xf>
    <xf numFmtId="4" fontId="0" fillId="0" borderId="42" xfId="24" applyNumberFormat="1" applyFont="1" applyBorder="1" applyAlignment="1">
      <alignment horizontal="right" vertical="center"/>
    </xf>
    <xf numFmtId="41" fontId="5" fillId="2" borderId="13" xfId="0" applyNumberFormat="1" applyFont="1" applyFill="1" applyBorder="1" applyAlignment="1">
      <alignment horizontal="right" vertical="center"/>
    </xf>
    <xf numFmtId="169" fontId="5" fillId="2" borderId="28" xfId="0" applyNumberFormat="1" applyFont="1" applyFill="1" applyBorder="1" applyAlignment="1">
      <alignment horizontal="right" vertical="center"/>
    </xf>
    <xf numFmtId="169" fontId="4" fillId="2" borderId="13" xfId="0" applyNumberFormat="1" applyFont="1" applyFill="1" applyBorder="1" applyAlignment="1">
      <alignment horizontal="right" vertical="center"/>
    </xf>
    <xf numFmtId="43" fontId="5" fillId="0" borderId="61" xfId="24" applyNumberFormat="1" applyFont="1" applyFill="1" applyBorder="1" applyAlignment="1">
      <alignment horizontal="right" vertical="center"/>
    </xf>
    <xf numFmtId="49" fontId="0" fillId="2" borderId="62" xfId="0" quotePrefix="1" applyNumberFormat="1" applyFont="1" applyFill="1" applyBorder="1" applyAlignment="1">
      <alignment horizontal="center" wrapText="1"/>
    </xf>
    <xf numFmtId="17" fontId="4" fillId="52" borderId="1" xfId="0" quotePrefix="1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1" fontId="0" fillId="2" borderId="8" xfId="24" applyNumberFormat="1" applyFont="1" applyFill="1" applyBorder="1" applyAlignment="1">
      <alignment horizontal="right" vertical="center"/>
    </xf>
    <xf numFmtId="4" fontId="0" fillId="52" borderId="52" xfId="0" applyNumberFormat="1" applyFill="1" applyBorder="1" applyAlignment="1"/>
    <xf numFmtId="17" fontId="4" fillId="2" borderId="1" xfId="0" quotePrefix="1" applyNumberFormat="1" applyFont="1" applyFill="1" applyBorder="1" applyAlignment="1">
      <alignment horizontal="center" wrapText="1"/>
    </xf>
    <xf numFmtId="41" fontId="0" fillId="2" borderId="63" xfId="24" applyNumberFormat="1" applyFont="1" applyFill="1" applyBorder="1" applyAlignment="1">
      <alignment horizontal="center" wrapText="1"/>
    </xf>
    <xf numFmtId="4" fontId="0" fillId="2" borderId="0" xfId="0" applyNumberFormat="1" applyFill="1" applyAlignment="1"/>
    <xf numFmtId="4" fontId="0" fillId="52" borderId="63" xfId="0" applyNumberFormat="1" applyFill="1" applyBorder="1" applyAlignment="1"/>
    <xf numFmtId="41" fontId="0" fillId="2" borderId="52" xfId="24" applyNumberFormat="1" applyFont="1" applyFill="1" applyBorder="1" applyAlignment="1">
      <alignment horizontal="center" wrapText="1"/>
    </xf>
    <xf numFmtId="49" fontId="0" fillId="51" borderId="47" xfId="0" applyNumberFormat="1" applyFill="1" applyBorder="1" applyAlignment="1">
      <alignment horizontal="center"/>
    </xf>
    <xf numFmtId="41" fontId="17" fillId="51" borderId="47" xfId="0" applyNumberFormat="1" applyFont="1" applyFill="1" applyBorder="1" applyAlignment="1">
      <alignment horizontal="right" wrapText="1"/>
    </xf>
    <xf numFmtId="4" fontId="17" fillId="52" borderId="47" xfId="0" applyNumberFormat="1" applyFont="1" applyFill="1" applyBorder="1" applyAlignment="1">
      <alignment horizontal="right" wrapText="1"/>
    </xf>
    <xf numFmtId="49" fontId="4" fillId="2" borderId="12" xfId="0" applyNumberFormat="1" applyFont="1" applyFill="1" applyBorder="1" applyAlignment="1">
      <alignment horizontal="center"/>
    </xf>
    <xf numFmtId="41" fontId="4" fillId="2" borderId="13" xfId="0" applyNumberFormat="1" applyFont="1" applyFill="1" applyBorder="1" applyAlignment="1">
      <alignment horizontal="right"/>
    </xf>
    <xf numFmtId="4" fontId="4" fillId="52" borderId="13" xfId="0" applyNumberFormat="1" applyFont="1" applyFill="1" applyBorder="1" applyAlignment="1">
      <alignment horizontal="right"/>
    </xf>
    <xf numFmtId="43" fontId="5" fillId="0" borderId="0" xfId="24" applyNumberFormat="1" applyFont="1" applyAlignment="1">
      <alignment horizontal="right" vertical="center"/>
    </xf>
    <xf numFmtId="17" fontId="4" fillId="52" borderId="1" xfId="0" quotePrefix="1" applyNumberFormat="1" applyFont="1" applyFill="1" applyBorder="1" applyAlignment="1">
      <alignment horizontal="center" vertical="center" wrapText="1"/>
    </xf>
    <xf numFmtId="4" fontId="0" fillId="52" borderId="65" xfId="24" applyNumberFormat="1" applyFont="1" applyFill="1" applyBorder="1" applyAlignment="1">
      <alignment horizontal="right" vertical="center"/>
    </xf>
    <xf numFmtId="4" fontId="0" fillId="52" borderId="65" xfId="0" applyNumberFormat="1" applyFill="1" applyBorder="1"/>
    <xf numFmtId="41" fontId="0" fillId="2" borderId="8" xfId="24" applyNumberFormat="1" applyFont="1" applyFill="1" applyBorder="1" applyAlignment="1">
      <alignment horizontal="right" vertical="center" wrapText="1"/>
    </xf>
    <xf numFmtId="0" fontId="4" fillId="2" borderId="64" xfId="0" applyFont="1" applyFill="1" applyBorder="1"/>
    <xf numFmtId="41" fontId="0" fillId="2" borderId="65" xfId="24" applyNumberFormat="1" applyFont="1" applyFill="1" applyBorder="1" applyAlignment="1">
      <alignment horizontal="right" vertical="center"/>
    </xf>
    <xf numFmtId="41" fontId="0" fillId="52" borderId="65" xfId="24" applyNumberFormat="1" applyFont="1" applyFill="1" applyBorder="1" applyAlignment="1">
      <alignment horizontal="right" vertical="center"/>
    </xf>
    <xf numFmtId="4" fontId="0" fillId="0" borderId="65" xfId="24" applyNumberFormat="1" applyFont="1" applyBorder="1" applyAlignment="1">
      <alignment horizontal="right" vertical="center"/>
    </xf>
    <xf numFmtId="0" fontId="0" fillId="2" borderId="65" xfId="0" applyFill="1" applyBorder="1"/>
    <xf numFmtId="0" fontId="0" fillId="52" borderId="65" xfId="0" applyFill="1" applyBorder="1"/>
    <xf numFmtId="4" fontId="0" fillId="0" borderId="65" xfId="0" applyNumberFormat="1" applyBorder="1"/>
    <xf numFmtId="41" fontId="4" fillId="2" borderId="65" xfId="24" applyNumberFormat="1" applyFont="1" applyFill="1" applyBorder="1" applyAlignment="1">
      <alignment horizontal="right" vertical="center"/>
    </xf>
    <xf numFmtId="41" fontId="4" fillId="52" borderId="65" xfId="24" applyNumberFormat="1" applyFont="1" applyFill="1" applyBorder="1" applyAlignment="1">
      <alignment horizontal="right" vertical="center"/>
    </xf>
    <xf numFmtId="4" fontId="4" fillId="2" borderId="65" xfId="24" applyNumberFormat="1" applyFont="1" applyFill="1" applyBorder="1" applyAlignment="1">
      <alignment horizontal="right" vertical="center"/>
    </xf>
    <xf numFmtId="41" fontId="0" fillId="0" borderId="65" xfId="24" applyNumberFormat="1" applyFont="1" applyFill="1" applyBorder="1" applyAlignment="1">
      <alignment horizontal="right" vertical="center"/>
    </xf>
    <xf numFmtId="4" fontId="4" fillId="0" borderId="65" xfId="24" applyNumberFormat="1" applyFont="1" applyFill="1" applyBorder="1" applyAlignment="1">
      <alignment horizontal="right" vertical="center"/>
    </xf>
    <xf numFmtId="17" fontId="4" fillId="0" borderId="66" xfId="0" quotePrefix="1" applyNumberFormat="1" applyFont="1" applyFill="1" applyBorder="1" applyAlignment="1">
      <alignment horizontal="center" wrapText="1"/>
    </xf>
    <xf numFmtId="41" fontId="0" fillId="0" borderId="66" xfId="24" applyNumberFormat="1" applyFont="1" applyFill="1" applyBorder="1" applyAlignment="1">
      <alignment horizontal="right" vertical="center"/>
    </xf>
    <xf numFmtId="4" fontId="0" fillId="0" borderId="66" xfId="24" applyNumberFormat="1" applyFont="1" applyBorder="1" applyAlignment="1">
      <alignment horizontal="right" vertical="center"/>
    </xf>
    <xf numFmtId="4" fontId="0" fillId="52" borderId="66" xfId="24" applyNumberFormat="1" applyFont="1" applyFill="1" applyBorder="1" applyAlignment="1">
      <alignment horizontal="right" vertical="center"/>
    </xf>
    <xf numFmtId="17" fontId="4" fillId="2" borderId="1" xfId="0" quotePrefix="1" applyNumberFormat="1" applyFont="1" applyFill="1" applyBorder="1" applyAlignment="1">
      <alignment horizontal="center" vertical="center" wrapText="1"/>
    </xf>
    <xf numFmtId="4" fontId="0" fillId="2" borderId="66" xfId="24" applyNumberFormat="1" applyFont="1" applyFill="1" applyBorder="1" applyAlignment="1">
      <alignment horizontal="right" vertical="center"/>
    </xf>
    <xf numFmtId="4" fontId="0" fillId="2" borderId="65" xfId="24" applyNumberFormat="1" applyFont="1" applyFill="1" applyBorder="1" applyAlignment="1">
      <alignment horizontal="right" vertical="center"/>
    </xf>
    <xf numFmtId="4" fontId="0" fillId="2" borderId="65" xfId="0" applyNumberFormat="1" applyFill="1" applyBorder="1"/>
    <xf numFmtId="41" fontId="0" fillId="2" borderId="66" xfId="24" applyNumberFormat="1" applyFont="1" applyFill="1" applyBorder="1" applyAlignment="1">
      <alignment horizontal="right" vertical="center"/>
    </xf>
    <xf numFmtId="41" fontId="0" fillId="52" borderId="66" xfId="24" applyNumberFormat="1" applyFont="1" applyFill="1" applyBorder="1" applyAlignment="1">
      <alignment horizontal="right" vertical="center"/>
    </xf>
    <xf numFmtId="4" fontId="0" fillId="0" borderId="0" xfId="24" applyNumberFormat="1" applyFont="1" applyFill="1" applyAlignment="1"/>
    <xf numFmtId="4" fontId="0" fillId="0" borderId="0" xfId="0" applyNumberFormat="1" applyFill="1" applyAlignment="1"/>
    <xf numFmtId="4" fontId="0" fillId="0" borderId="44" xfId="24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 horizontal="right"/>
    </xf>
    <xf numFmtId="4" fontId="0" fillId="2" borderId="0" xfId="24" applyNumberFormat="1" applyFont="1" applyFill="1" applyAlignment="1">
      <alignment vertical="center"/>
    </xf>
    <xf numFmtId="4" fontId="0" fillId="2" borderId="44" xfId="24" applyNumberFormat="1" applyFont="1" applyFill="1" applyBorder="1" applyAlignment="1">
      <alignment vertical="center" wrapText="1"/>
    </xf>
    <xf numFmtId="4" fontId="0" fillId="52" borderId="0" xfId="24" applyNumberFormat="1" applyFont="1" applyFill="1" applyAlignment="1">
      <alignment vertical="center"/>
    </xf>
    <xf numFmtId="4" fontId="0" fillId="52" borderId="44" xfId="24" applyNumberFormat="1" applyFont="1" applyFill="1" applyBorder="1" applyAlignment="1">
      <alignment vertical="center" wrapText="1"/>
    </xf>
    <xf numFmtId="4" fontId="4" fillId="52" borderId="13" xfId="0" applyNumberFormat="1" applyFont="1" applyFill="1" applyBorder="1" applyAlignment="1">
      <alignment horizontal="right" vertical="center"/>
    </xf>
    <xf numFmtId="49" fontId="0" fillId="2" borderId="67" xfId="24" applyNumberFormat="1" applyFont="1" applyFill="1" applyBorder="1" applyAlignment="1">
      <alignment horizontal="center" vertical="center"/>
    </xf>
    <xf numFmtId="49" fontId="5" fillId="2" borderId="67" xfId="0" applyNumberFormat="1" applyFont="1" applyFill="1" applyBorder="1" applyAlignment="1">
      <alignment horizontal="left" vertical="center" wrapText="1"/>
    </xf>
    <xf numFmtId="4" fontId="3" fillId="2" borderId="68" xfId="24" applyNumberFormat="1" applyFont="1" applyFill="1" applyBorder="1" applyAlignment="1">
      <alignment horizontal="right" vertical="center"/>
    </xf>
    <xf numFmtId="49" fontId="0" fillId="2" borderId="15" xfId="24" applyNumberFormat="1" applyFont="1" applyFill="1" applyBorder="1" applyAlignment="1">
      <alignment horizontal="center" vertical="center"/>
    </xf>
    <xf numFmtId="49" fontId="0" fillId="2" borderId="55" xfId="24" quotePrefix="1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left" vertical="center" wrapText="1"/>
    </xf>
    <xf numFmtId="49" fontId="0" fillId="2" borderId="55" xfId="24" applyNumberFormat="1" applyFont="1" applyFill="1" applyBorder="1" applyAlignment="1">
      <alignment horizontal="left" vertical="center"/>
    </xf>
    <xf numFmtId="4" fontId="0" fillId="2" borderId="5" xfId="0" applyNumberFormat="1" applyFill="1" applyBorder="1" applyAlignment="1">
      <alignment horizontal="right" vertical="center"/>
    </xf>
    <xf numFmtId="169" fontId="0" fillId="0" borderId="0" xfId="0" applyNumberFormat="1" applyFill="1" applyAlignment="1">
      <alignment vertical="center"/>
    </xf>
    <xf numFmtId="41" fontId="0" fillId="2" borderId="49" xfId="24" applyNumberFormat="1" applyFont="1" applyFill="1" applyBorder="1" applyAlignment="1">
      <alignment horizontal="left" vertical="center" wrapText="1"/>
    </xf>
    <xf numFmtId="41" fontId="0" fillId="2" borderId="52" xfId="24" applyNumberFormat="1" applyFont="1" applyFill="1" applyBorder="1" applyAlignment="1">
      <alignment horizontal="left" vertical="center" wrapText="1"/>
    </xf>
    <xf numFmtId="4" fontId="0" fillId="3" borderId="5" xfId="24" applyNumberFormat="1" applyFont="1" applyFill="1" applyBorder="1" applyAlignment="1">
      <alignment horizontal="right" vertical="center"/>
    </xf>
    <xf numFmtId="41" fontId="0" fillId="2" borderId="7" xfId="24" applyNumberFormat="1" applyFont="1" applyFill="1" applyBorder="1" applyAlignment="1">
      <alignment horizontal="left" vertical="center"/>
    </xf>
    <xf numFmtId="8" fontId="0" fillId="0" borderId="0" xfId="24" applyNumberFormat="1" applyFont="1" applyAlignment="1">
      <alignment horizontal="right" vertical="center"/>
    </xf>
    <xf numFmtId="0" fontId="18" fillId="2" borderId="41" xfId="0" applyFont="1" applyFill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0" fillId="0" borderId="41" xfId="0" applyBorder="1" applyAlignment="1"/>
  </cellXfs>
  <cellStyles count="282">
    <cellStyle name="20% - Accent1" xfId="180" builtinId="30" customBuiltin="1"/>
    <cellStyle name="20% - Accent1 2" xfId="25" xr:uid="{00000000-0005-0000-0000-000001000000}"/>
    <cellStyle name="20% - Accent2" xfId="184" builtinId="34" customBuiltin="1"/>
    <cellStyle name="20% - Accent2 2" xfId="26" xr:uid="{00000000-0005-0000-0000-000003000000}"/>
    <cellStyle name="20% - Accent3" xfId="188" builtinId="38" customBuiltin="1"/>
    <cellStyle name="20% - Accent3 2" xfId="27" xr:uid="{00000000-0005-0000-0000-000005000000}"/>
    <cellStyle name="20% - Accent4" xfId="192" builtinId="42" customBuiltin="1"/>
    <cellStyle name="20% - Accent4 2" xfId="28" xr:uid="{00000000-0005-0000-0000-000007000000}"/>
    <cellStyle name="20% - Accent5" xfId="196" builtinId="46" customBuiltin="1"/>
    <cellStyle name="20% - Accent5 2" xfId="29" xr:uid="{00000000-0005-0000-0000-000009000000}"/>
    <cellStyle name="20% - Accent6" xfId="200" builtinId="50" customBuiltin="1"/>
    <cellStyle name="20% - Accent6 2" xfId="30" xr:uid="{00000000-0005-0000-0000-00000B000000}"/>
    <cellStyle name="40% - Accent1" xfId="181" builtinId="31" customBuiltin="1"/>
    <cellStyle name="40% - Accent1 2" xfId="31" xr:uid="{00000000-0005-0000-0000-00000D000000}"/>
    <cellStyle name="40% - Accent2" xfId="185" builtinId="35" customBuiltin="1"/>
    <cellStyle name="40% - Accent2 2" xfId="32" xr:uid="{00000000-0005-0000-0000-00000F000000}"/>
    <cellStyle name="40% - Accent3" xfId="189" builtinId="39" customBuiltin="1"/>
    <cellStyle name="40% - Accent3 2" xfId="33" xr:uid="{00000000-0005-0000-0000-000011000000}"/>
    <cellStyle name="40% - Accent4" xfId="193" builtinId="43" customBuiltin="1"/>
    <cellStyle name="40% - Accent4 2" xfId="34" xr:uid="{00000000-0005-0000-0000-000013000000}"/>
    <cellStyle name="40% - Accent5" xfId="197" builtinId="47" customBuiltin="1"/>
    <cellStyle name="40% - Accent5 2" xfId="35" xr:uid="{00000000-0005-0000-0000-000015000000}"/>
    <cellStyle name="40% - Accent6" xfId="201" builtinId="51" customBuiltin="1"/>
    <cellStyle name="40% - Accent6 2" xfId="36" xr:uid="{00000000-0005-0000-0000-000017000000}"/>
    <cellStyle name="60% - Accent1" xfId="182" builtinId="32" customBuiltin="1"/>
    <cellStyle name="60% - Accent1 2" xfId="37" xr:uid="{00000000-0005-0000-0000-000019000000}"/>
    <cellStyle name="60% - Accent2" xfId="186" builtinId="36" customBuiltin="1"/>
    <cellStyle name="60% - Accent2 2" xfId="38" xr:uid="{00000000-0005-0000-0000-00001B000000}"/>
    <cellStyle name="60% - Accent3" xfId="190" builtinId="40" customBuiltin="1"/>
    <cellStyle name="60% - Accent3 2" xfId="39" xr:uid="{00000000-0005-0000-0000-00001D000000}"/>
    <cellStyle name="60% - Accent4" xfId="194" builtinId="44" customBuiltin="1"/>
    <cellStyle name="60% - Accent4 2" xfId="40" xr:uid="{00000000-0005-0000-0000-00001F000000}"/>
    <cellStyle name="60% - Accent5" xfId="198" builtinId="48" customBuiltin="1"/>
    <cellStyle name="60% - Accent5 2" xfId="41" xr:uid="{00000000-0005-0000-0000-000021000000}"/>
    <cellStyle name="60% - Accent6" xfId="202" builtinId="52" customBuiltin="1"/>
    <cellStyle name="60% - Accent6 2" xfId="42" xr:uid="{00000000-0005-0000-0000-000023000000}"/>
    <cellStyle name="Accent1" xfId="179" builtinId="29" customBuiltin="1"/>
    <cellStyle name="Accent1 2" xfId="43" xr:uid="{00000000-0005-0000-0000-000025000000}"/>
    <cellStyle name="Accent2" xfId="183" builtinId="33" customBuiltin="1"/>
    <cellStyle name="Accent2 2" xfId="44" xr:uid="{00000000-0005-0000-0000-000027000000}"/>
    <cellStyle name="Accent3" xfId="187" builtinId="37" customBuiltin="1"/>
    <cellStyle name="Accent3 2" xfId="45" xr:uid="{00000000-0005-0000-0000-000029000000}"/>
    <cellStyle name="Accent4" xfId="191" builtinId="41" customBuiltin="1"/>
    <cellStyle name="Accent4 2" xfId="46" xr:uid="{00000000-0005-0000-0000-00002B000000}"/>
    <cellStyle name="Accent5" xfId="195" builtinId="45" customBuiltin="1"/>
    <cellStyle name="Accent5 2" xfId="47" xr:uid="{00000000-0005-0000-0000-00002D000000}"/>
    <cellStyle name="Accent6" xfId="199" builtinId="49" customBuiltin="1"/>
    <cellStyle name="Accent6 2" xfId="48" xr:uid="{00000000-0005-0000-0000-00002F000000}"/>
    <cellStyle name="Bad" xfId="168" builtinId="27" customBuiltin="1"/>
    <cellStyle name="Bad 2" xfId="49" xr:uid="{00000000-0005-0000-0000-000031000000}"/>
    <cellStyle name="Calculation" xfId="172" builtinId="22" customBuiltin="1"/>
    <cellStyle name="Calculation 2" xfId="50" xr:uid="{00000000-0005-0000-0000-000033000000}"/>
    <cellStyle name="Check Cell" xfId="174" builtinId="23" customBuiltin="1"/>
    <cellStyle name="Check Cell 2" xfId="51" xr:uid="{00000000-0005-0000-0000-000035000000}"/>
    <cellStyle name="Comma" xfId="24" builtinId="3"/>
    <cellStyle name="Comma 12" xfId="205" xr:uid="{00000000-0005-0000-0000-000037000000}"/>
    <cellStyle name="Comma 12 2" xfId="206" xr:uid="{00000000-0005-0000-0000-000038000000}"/>
    <cellStyle name="Comma 12 2 2" xfId="207" xr:uid="{00000000-0005-0000-0000-000039000000}"/>
    <cellStyle name="Comma 12 3" xfId="208" xr:uid="{00000000-0005-0000-0000-00003A000000}"/>
    <cellStyle name="Comma 2" xfId="1" xr:uid="{00000000-0005-0000-0000-00003B000000}"/>
    <cellStyle name="Comma 2 2" xfId="5" xr:uid="{00000000-0005-0000-0000-00003C000000}"/>
    <cellStyle name="Comma 2 2 2" xfId="80" xr:uid="{00000000-0005-0000-0000-00003D000000}"/>
    <cellStyle name="Comma 2 2 2 2" xfId="266" xr:uid="{00000000-0005-0000-0000-00003E000000}"/>
    <cellStyle name="Comma 2 3" xfId="6" xr:uid="{00000000-0005-0000-0000-00003F000000}"/>
    <cellStyle name="Comma 2 3 2" xfId="81" xr:uid="{00000000-0005-0000-0000-000040000000}"/>
    <cellStyle name="Comma 2 3 3" xfId="265" xr:uid="{00000000-0005-0000-0000-000041000000}"/>
    <cellStyle name="Comma 2 4" xfId="4" xr:uid="{00000000-0005-0000-0000-000042000000}"/>
    <cellStyle name="Comma 2 4 2" xfId="75" xr:uid="{00000000-0005-0000-0000-000043000000}"/>
    <cellStyle name="Comma 2 4 3" xfId="79" xr:uid="{00000000-0005-0000-0000-000044000000}"/>
    <cellStyle name="Comma 2 4 4" xfId="73" xr:uid="{00000000-0005-0000-0000-000045000000}"/>
    <cellStyle name="Comma 2 5" xfId="20" xr:uid="{00000000-0005-0000-0000-000046000000}"/>
    <cellStyle name="Comma 3" xfId="17" xr:uid="{00000000-0005-0000-0000-000047000000}"/>
    <cellStyle name="Comma 3 2" xfId="87" xr:uid="{00000000-0005-0000-0000-000048000000}"/>
    <cellStyle name="Comma 4" xfId="92" xr:uid="{00000000-0005-0000-0000-000049000000}"/>
    <cellStyle name="Comma 4 2" xfId="116" xr:uid="{00000000-0005-0000-0000-00004A000000}"/>
    <cellStyle name="Comma 5" xfId="111" xr:uid="{00000000-0005-0000-0000-00004B000000}"/>
    <cellStyle name="Comma 5 2" xfId="141" xr:uid="{00000000-0005-0000-0000-00004C000000}"/>
    <cellStyle name="Comma 6" xfId="209" xr:uid="{00000000-0005-0000-0000-00004D000000}"/>
    <cellStyle name="Comma 6 2" xfId="210" xr:uid="{00000000-0005-0000-0000-00004E000000}"/>
    <cellStyle name="Comma 8" xfId="117" xr:uid="{00000000-0005-0000-0000-00004F000000}"/>
    <cellStyle name="Comma0" xfId="93" xr:uid="{00000000-0005-0000-0000-000050000000}"/>
    <cellStyle name="Comma0 2" xfId="94" xr:uid="{00000000-0005-0000-0000-000051000000}"/>
    <cellStyle name="Currency 2" xfId="12" xr:uid="{00000000-0005-0000-0000-000052000000}"/>
    <cellStyle name="Currency 2 2" xfId="85" xr:uid="{00000000-0005-0000-0000-000053000000}"/>
    <cellStyle name="Currency 2 2 2" xfId="125" xr:uid="{00000000-0005-0000-0000-000054000000}"/>
    <cellStyle name="Currency 2 2 2 2" xfId="267" xr:uid="{00000000-0005-0000-0000-000055000000}"/>
    <cellStyle name="Currency 2 3" xfId="136" xr:uid="{00000000-0005-0000-0000-000056000000}"/>
    <cellStyle name="Currency 3" xfId="15" xr:uid="{00000000-0005-0000-0000-000057000000}"/>
    <cellStyle name="Currency 3 2" xfId="96" xr:uid="{00000000-0005-0000-0000-000058000000}"/>
    <cellStyle name="Currency 3 3" xfId="126" xr:uid="{00000000-0005-0000-0000-000059000000}"/>
    <cellStyle name="Currency 4" xfId="95" xr:uid="{00000000-0005-0000-0000-00005A000000}"/>
    <cellStyle name="Currency 4 2" xfId="137" xr:uid="{00000000-0005-0000-0000-00005B000000}"/>
    <cellStyle name="Currency 4 2 2" xfId="148" xr:uid="{00000000-0005-0000-0000-00005C000000}"/>
    <cellStyle name="Currency 4 2 3" xfId="161" xr:uid="{00000000-0005-0000-0000-00005D000000}"/>
    <cellStyle name="Currency 4 3" xfId="140" xr:uid="{00000000-0005-0000-0000-00005E000000}"/>
    <cellStyle name="Currency 4 4" xfId="156" xr:uid="{00000000-0005-0000-0000-00005F000000}"/>
    <cellStyle name="Currency 5" xfId="152" xr:uid="{00000000-0005-0000-0000-000060000000}"/>
    <cellStyle name="Currency 6" xfId="115" xr:uid="{00000000-0005-0000-0000-000061000000}"/>
    <cellStyle name="Currency 8" xfId="52" xr:uid="{00000000-0005-0000-0000-000062000000}"/>
    <cellStyle name="Explanatory Text" xfId="177" builtinId="53" customBuiltin="1"/>
    <cellStyle name="Explanatory Text 2" xfId="53" xr:uid="{00000000-0005-0000-0000-000064000000}"/>
    <cellStyle name="Good" xfId="167" builtinId="26" customBuiltin="1"/>
    <cellStyle name="Good 2" xfId="54" xr:uid="{00000000-0005-0000-0000-000066000000}"/>
    <cellStyle name="Heading 1" xfId="163" builtinId="16" customBuiltin="1"/>
    <cellStyle name="Heading 1 2" xfId="55" xr:uid="{00000000-0005-0000-0000-000068000000}"/>
    <cellStyle name="Heading 2" xfId="164" builtinId="17" customBuiltin="1"/>
    <cellStyle name="Heading 2 2" xfId="56" xr:uid="{00000000-0005-0000-0000-00006A000000}"/>
    <cellStyle name="Heading 3" xfId="165" builtinId="18" customBuiltin="1"/>
    <cellStyle name="Heading 3 2" xfId="57" xr:uid="{00000000-0005-0000-0000-00006C000000}"/>
    <cellStyle name="Heading 4" xfId="166" builtinId="19" customBuiltin="1"/>
    <cellStyle name="Heading 4 2" xfId="58" xr:uid="{00000000-0005-0000-0000-00006E000000}"/>
    <cellStyle name="Hyperlink" xfId="281" builtinId="8" customBuiltin="1"/>
    <cellStyle name="Hyperlink 2" xfId="120" xr:uid="{00000000-0005-0000-0000-000070000000}"/>
    <cellStyle name="Hyperlink 2 2" xfId="133" xr:uid="{00000000-0005-0000-0000-000071000000}"/>
    <cellStyle name="Hyperlink 2 3" xfId="151" xr:uid="{00000000-0005-0000-0000-000072000000}"/>
    <cellStyle name="Hyperlink 3" xfId="131" xr:uid="{00000000-0005-0000-0000-000073000000}"/>
    <cellStyle name="Hyperlink 4" xfId="157" xr:uid="{00000000-0005-0000-0000-000074000000}"/>
    <cellStyle name="Input" xfId="170" builtinId="20" customBuiltin="1"/>
    <cellStyle name="Input 2" xfId="59" xr:uid="{00000000-0005-0000-0000-000076000000}"/>
    <cellStyle name="Linked Cell" xfId="173" builtinId="24" customBuiltin="1"/>
    <cellStyle name="Linked Cell 2" xfId="60" xr:uid="{00000000-0005-0000-0000-000078000000}"/>
    <cellStyle name="Neutral" xfId="169" builtinId="28" customBuiltin="1"/>
    <cellStyle name="Neutral 2" xfId="61" xr:uid="{00000000-0005-0000-0000-00007A000000}"/>
    <cellStyle name="Normal" xfId="0" builtinId="0"/>
    <cellStyle name="Normal 10" xfId="97" xr:uid="{00000000-0005-0000-0000-00007C000000}"/>
    <cellStyle name="Normal 10 2" xfId="204" xr:uid="{00000000-0005-0000-0000-00007D000000}"/>
    <cellStyle name="Normal 10 2 2" xfId="212" xr:uid="{00000000-0005-0000-0000-00007E000000}"/>
    <cellStyle name="Normal 10 3" xfId="211" xr:uid="{00000000-0005-0000-0000-00007F000000}"/>
    <cellStyle name="Normal 11" xfId="98" xr:uid="{00000000-0005-0000-0000-000080000000}"/>
    <cellStyle name="Normal 11 2" xfId="142" xr:uid="{00000000-0005-0000-0000-000081000000}"/>
    <cellStyle name="Normal 11 3" xfId="213" xr:uid="{00000000-0005-0000-0000-000082000000}"/>
    <cellStyle name="Normal 12" xfId="91" xr:uid="{00000000-0005-0000-0000-000083000000}"/>
    <cellStyle name="Normal 12 2" xfId="215" xr:uid="{00000000-0005-0000-0000-000084000000}"/>
    <cellStyle name="Normal 12 3" xfId="214" xr:uid="{00000000-0005-0000-0000-000085000000}"/>
    <cellStyle name="Normal 13" xfId="110" xr:uid="{00000000-0005-0000-0000-000086000000}"/>
    <cellStyle name="Normal 13 2" xfId="143" xr:uid="{00000000-0005-0000-0000-000087000000}"/>
    <cellStyle name="Normal 13 3" xfId="279" xr:uid="{00000000-0005-0000-0000-000088000000}"/>
    <cellStyle name="Normal 2" xfId="2" xr:uid="{00000000-0005-0000-0000-000089000000}"/>
    <cellStyle name="Normal 2 2" xfId="8" xr:uid="{00000000-0005-0000-0000-00008A000000}"/>
    <cellStyle name="Normal 2 2 2" xfId="69" xr:uid="{00000000-0005-0000-0000-00008B000000}"/>
    <cellStyle name="Normal 2 2 2 2" xfId="154" xr:uid="{00000000-0005-0000-0000-00008C000000}"/>
    <cellStyle name="Normal 2 2 2 3" xfId="216" xr:uid="{00000000-0005-0000-0000-00008D000000}"/>
    <cellStyle name="Normal 2 2 3" xfId="68" xr:uid="{00000000-0005-0000-0000-00008E000000}"/>
    <cellStyle name="Normal 2 2 4" xfId="99" xr:uid="{00000000-0005-0000-0000-00008F000000}"/>
    <cellStyle name="Normal 2 2 5" xfId="113" xr:uid="{00000000-0005-0000-0000-000090000000}"/>
    <cellStyle name="Normal 2 2 5 2" xfId="277" xr:uid="{00000000-0005-0000-0000-000091000000}"/>
    <cellStyle name="Normal 2 3" xfId="9" xr:uid="{00000000-0005-0000-0000-000092000000}"/>
    <cellStyle name="Normal 2 3 2" xfId="100" xr:uid="{00000000-0005-0000-0000-000093000000}"/>
    <cellStyle name="Normal 2 3 2 2" xfId="218" xr:uid="{00000000-0005-0000-0000-000094000000}"/>
    <cellStyle name="Normal 2 3 3" xfId="153" xr:uid="{00000000-0005-0000-0000-000095000000}"/>
    <cellStyle name="Normal 2 3 3 2" xfId="268" xr:uid="{00000000-0005-0000-0000-000096000000}"/>
    <cellStyle name="Normal 2 3 4" xfId="217" xr:uid="{00000000-0005-0000-0000-000097000000}"/>
    <cellStyle name="Normal 2 4" xfId="7" xr:uid="{00000000-0005-0000-0000-000098000000}"/>
    <cellStyle name="Normal 2 4 2" xfId="76" xr:uid="{00000000-0005-0000-0000-000099000000}"/>
    <cellStyle name="Normal 2 4 3" xfId="82" xr:uid="{00000000-0005-0000-0000-00009A000000}"/>
    <cellStyle name="Normal 2 4 3 2" xfId="269" xr:uid="{00000000-0005-0000-0000-00009B000000}"/>
    <cellStyle name="Normal 2 4 4" xfId="72" xr:uid="{00000000-0005-0000-0000-00009C000000}"/>
    <cellStyle name="Normal 2 4 5" xfId="101" xr:uid="{00000000-0005-0000-0000-00009D000000}"/>
    <cellStyle name="Normal 2 4 5 2" xfId="144" xr:uid="{00000000-0005-0000-0000-00009E000000}"/>
    <cellStyle name="Normal 2 5" xfId="18" xr:uid="{00000000-0005-0000-0000-00009F000000}"/>
    <cellStyle name="Normal 2 5 2" xfId="219" xr:uid="{00000000-0005-0000-0000-0000A0000000}"/>
    <cellStyle name="Normal 2 6" xfId="78" xr:uid="{00000000-0005-0000-0000-0000A1000000}"/>
    <cellStyle name="Normal 2 6 2" xfId="275" xr:uid="{00000000-0005-0000-0000-0000A2000000}"/>
    <cellStyle name="Normal 2 7" xfId="112" xr:uid="{00000000-0005-0000-0000-0000A3000000}"/>
    <cellStyle name="Normal 2 8" xfId="150" xr:uid="{00000000-0005-0000-0000-0000A4000000}"/>
    <cellStyle name="Normal 2 9" xfId="280" xr:uid="{00000000-0005-0000-0000-0000A5000000}"/>
    <cellStyle name="Normal 2_Sheet1" xfId="102" xr:uid="{00000000-0005-0000-0000-0000A6000000}"/>
    <cellStyle name="Normal 3" xfId="13" xr:uid="{00000000-0005-0000-0000-0000A7000000}"/>
    <cellStyle name="Normal 3 10" xfId="278" xr:uid="{00000000-0005-0000-0000-0000A8000000}"/>
    <cellStyle name="Normal 3 2" xfId="10" xr:uid="{00000000-0005-0000-0000-0000A9000000}"/>
    <cellStyle name="Normal 3 2 2" xfId="83" xr:uid="{00000000-0005-0000-0000-0000AA000000}"/>
    <cellStyle name="Normal 3 2 2 2" xfId="159" xr:uid="{00000000-0005-0000-0000-0000AB000000}"/>
    <cellStyle name="Normal 3 2 2 2 2" xfId="220" xr:uid="{00000000-0005-0000-0000-0000AC000000}"/>
    <cellStyle name="Normal 3 2 3" xfId="104" xr:uid="{00000000-0005-0000-0000-0000AD000000}"/>
    <cellStyle name="Normal 3 2 3 2" xfId="221" xr:uid="{00000000-0005-0000-0000-0000AE000000}"/>
    <cellStyle name="Normal 3 2 4" xfId="134" xr:uid="{00000000-0005-0000-0000-0000AF000000}"/>
    <cellStyle name="Normal 3 2 4 2" xfId="271" xr:uid="{00000000-0005-0000-0000-0000B0000000}"/>
    <cellStyle name="Normal 3 3" xfId="11" xr:uid="{00000000-0005-0000-0000-0000B1000000}"/>
    <cellStyle name="Normal 3 3 2" xfId="84" xr:uid="{00000000-0005-0000-0000-0000B2000000}"/>
    <cellStyle name="Normal 3 3 2 2" xfId="158" xr:uid="{00000000-0005-0000-0000-0000B3000000}"/>
    <cellStyle name="Normal 3 3 2 2 2" xfId="222" xr:uid="{00000000-0005-0000-0000-0000B4000000}"/>
    <cellStyle name="Normal 3 3 3" xfId="132" xr:uid="{00000000-0005-0000-0000-0000B5000000}"/>
    <cellStyle name="Normal 3 3 3 2" xfId="223" xr:uid="{00000000-0005-0000-0000-0000B6000000}"/>
    <cellStyle name="Normal 3 3 4" xfId="272" xr:uid="{00000000-0005-0000-0000-0000B7000000}"/>
    <cellStyle name="Normal 3 4" xfId="19" xr:uid="{00000000-0005-0000-0000-0000B8000000}"/>
    <cellStyle name="Normal 3 4 2" xfId="127" xr:uid="{00000000-0005-0000-0000-0000B9000000}"/>
    <cellStyle name="Normal 3 4 2 2" xfId="226" xr:uid="{00000000-0005-0000-0000-0000BA000000}"/>
    <cellStyle name="Normal 3 4 2 3" xfId="225" xr:uid="{00000000-0005-0000-0000-0000BB000000}"/>
    <cellStyle name="Normal 3 4 3" xfId="227" xr:uid="{00000000-0005-0000-0000-0000BC000000}"/>
    <cellStyle name="Normal 3 4 4" xfId="224" xr:uid="{00000000-0005-0000-0000-0000BD000000}"/>
    <cellStyle name="Normal 3 5" xfId="77" xr:uid="{00000000-0005-0000-0000-0000BE000000}"/>
    <cellStyle name="Normal 3 5 2" xfId="229" xr:uid="{00000000-0005-0000-0000-0000BF000000}"/>
    <cellStyle name="Normal 3 5 2 2" xfId="230" xr:uid="{00000000-0005-0000-0000-0000C0000000}"/>
    <cellStyle name="Normal 3 5 3" xfId="231" xr:uid="{00000000-0005-0000-0000-0000C1000000}"/>
    <cellStyle name="Normal 3 5 4" xfId="228" xr:uid="{00000000-0005-0000-0000-0000C2000000}"/>
    <cellStyle name="Normal 3 6" xfId="71" xr:uid="{00000000-0005-0000-0000-0000C3000000}"/>
    <cellStyle name="Normal 3 6 2" xfId="233" xr:uid="{00000000-0005-0000-0000-0000C4000000}"/>
    <cellStyle name="Normal 3 6 3" xfId="232" xr:uid="{00000000-0005-0000-0000-0000C5000000}"/>
    <cellStyle name="Normal 3 7" xfId="103" xr:uid="{00000000-0005-0000-0000-0000C6000000}"/>
    <cellStyle name="Normal 3 7 2" xfId="234" xr:uid="{00000000-0005-0000-0000-0000C7000000}"/>
    <cellStyle name="Normal 3 8" xfId="264" xr:uid="{00000000-0005-0000-0000-0000C8000000}"/>
    <cellStyle name="Normal 3 9" xfId="270" xr:uid="{00000000-0005-0000-0000-0000C9000000}"/>
    <cellStyle name="Normal 4" xfId="14" xr:uid="{00000000-0005-0000-0000-0000CA000000}"/>
    <cellStyle name="Normal 4 2" xfId="21" xr:uid="{00000000-0005-0000-0000-0000CB000000}"/>
    <cellStyle name="Normal 4 2 2" xfId="89" xr:uid="{00000000-0005-0000-0000-0000CC000000}"/>
    <cellStyle name="Normal 4 2 2 2" xfId="237" xr:uid="{00000000-0005-0000-0000-0000CD000000}"/>
    <cellStyle name="Normal 4 2 2 3" xfId="236" xr:uid="{00000000-0005-0000-0000-0000CE000000}"/>
    <cellStyle name="Normal 4 2 3" xfId="106" xr:uid="{00000000-0005-0000-0000-0000CF000000}"/>
    <cellStyle name="Normal 4 2 3 2" xfId="238" xr:uid="{00000000-0005-0000-0000-0000D0000000}"/>
    <cellStyle name="Normal 4 2 4" xfId="135" xr:uid="{00000000-0005-0000-0000-0000D1000000}"/>
    <cellStyle name="Normal 4 2 4 2" xfId="273" xr:uid="{00000000-0005-0000-0000-0000D2000000}"/>
    <cellStyle name="Normal 4 2 5" xfId="235" xr:uid="{00000000-0005-0000-0000-0000D3000000}"/>
    <cellStyle name="Normal 4 3" xfId="86" xr:uid="{00000000-0005-0000-0000-0000D4000000}"/>
    <cellStyle name="Normal 4 3 2" xfId="128" xr:uid="{00000000-0005-0000-0000-0000D5000000}"/>
    <cellStyle name="Normal 4 3 2 2" xfId="241" xr:uid="{00000000-0005-0000-0000-0000D6000000}"/>
    <cellStyle name="Normal 4 3 2 3" xfId="240" xr:uid="{00000000-0005-0000-0000-0000D7000000}"/>
    <cellStyle name="Normal 4 3 3" xfId="242" xr:uid="{00000000-0005-0000-0000-0000D8000000}"/>
    <cellStyle name="Normal 4 3 4" xfId="239" xr:uid="{00000000-0005-0000-0000-0000D9000000}"/>
    <cellStyle name="Normal 4 4" xfId="70" xr:uid="{00000000-0005-0000-0000-0000DA000000}"/>
    <cellStyle name="Normal 4 4 2" xfId="244" xr:uid="{00000000-0005-0000-0000-0000DB000000}"/>
    <cellStyle name="Normal 4 4 2 2" xfId="245" xr:uid="{00000000-0005-0000-0000-0000DC000000}"/>
    <cellStyle name="Normal 4 4 3" xfId="246" xr:uid="{00000000-0005-0000-0000-0000DD000000}"/>
    <cellStyle name="Normal 4 4 4" xfId="243" xr:uid="{00000000-0005-0000-0000-0000DE000000}"/>
    <cellStyle name="Normal 4 5" xfId="105" xr:uid="{00000000-0005-0000-0000-0000DF000000}"/>
    <cellStyle name="Normal 4 5 2" xfId="248" xr:uid="{00000000-0005-0000-0000-0000E0000000}"/>
    <cellStyle name="Normal 4 5 2 2" xfId="249" xr:uid="{00000000-0005-0000-0000-0000E1000000}"/>
    <cellStyle name="Normal 4 5 3" xfId="250" xr:uid="{00000000-0005-0000-0000-0000E2000000}"/>
    <cellStyle name="Normal 4 5 4" xfId="247" xr:uid="{00000000-0005-0000-0000-0000E3000000}"/>
    <cellStyle name="Normal 4 6" xfId="121" xr:uid="{00000000-0005-0000-0000-0000E4000000}"/>
    <cellStyle name="Normal 4 6 2" xfId="251" xr:uid="{00000000-0005-0000-0000-0000E5000000}"/>
    <cellStyle name="Normal 4 7" xfId="252" xr:uid="{00000000-0005-0000-0000-0000E6000000}"/>
    <cellStyle name="Normal 4 8" xfId="276" xr:uid="{00000000-0005-0000-0000-0000E7000000}"/>
    <cellStyle name="Normal 4 9" xfId="203" xr:uid="{00000000-0005-0000-0000-0000E8000000}"/>
    <cellStyle name="Normal 5" xfId="16" xr:uid="{00000000-0005-0000-0000-0000E9000000}"/>
    <cellStyle name="Normal 5 2" xfId="22" xr:uid="{00000000-0005-0000-0000-0000EA000000}"/>
    <cellStyle name="Normal 5 2 2" xfId="274" xr:uid="{00000000-0005-0000-0000-0000EB000000}"/>
    <cellStyle name="Normal 5 3" xfId="129" xr:uid="{00000000-0005-0000-0000-0000EC000000}"/>
    <cellStyle name="Normal 5 3 2" xfId="146" xr:uid="{00000000-0005-0000-0000-0000ED000000}"/>
    <cellStyle name="Normal 5 4" xfId="253" xr:uid="{00000000-0005-0000-0000-0000EE000000}"/>
    <cellStyle name="Normal 6" xfId="62" xr:uid="{00000000-0005-0000-0000-0000EF000000}"/>
    <cellStyle name="Normal 6 2" xfId="107" xr:uid="{00000000-0005-0000-0000-0000F0000000}"/>
    <cellStyle name="Normal 6 2 2" xfId="124" xr:uid="{00000000-0005-0000-0000-0000F1000000}"/>
    <cellStyle name="Normal 6 2 2 2" xfId="256" xr:uid="{00000000-0005-0000-0000-0000F2000000}"/>
    <cellStyle name="Normal 6 2 3" xfId="255" xr:uid="{00000000-0005-0000-0000-0000F3000000}"/>
    <cellStyle name="Normal 6 3" xfId="257" xr:uid="{00000000-0005-0000-0000-0000F4000000}"/>
    <cellStyle name="Normal 6 4" xfId="254" xr:uid="{00000000-0005-0000-0000-0000F5000000}"/>
    <cellStyle name="Normal 7" xfId="108" xr:uid="{00000000-0005-0000-0000-0000F6000000}"/>
    <cellStyle name="Normal 7 2" xfId="114" xr:uid="{00000000-0005-0000-0000-0000F7000000}"/>
    <cellStyle name="Normal 7 2 2" xfId="160" xr:uid="{00000000-0005-0000-0000-0000F8000000}"/>
    <cellStyle name="Normal 7 2 2 2" xfId="260" xr:uid="{00000000-0005-0000-0000-0000F9000000}"/>
    <cellStyle name="Normal 7 2 3" xfId="259" xr:uid="{00000000-0005-0000-0000-0000FA000000}"/>
    <cellStyle name="Normal 7 3" xfId="122" xr:uid="{00000000-0005-0000-0000-0000FB000000}"/>
    <cellStyle name="Normal 7 3 2" xfId="145" xr:uid="{00000000-0005-0000-0000-0000FC000000}"/>
    <cellStyle name="Normal 7 3 3" xfId="261" xr:uid="{00000000-0005-0000-0000-0000FD000000}"/>
    <cellStyle name="Normal 7 4" xfId="155" xr:uid="{00000000-0005-0000-0000-0000FE000000}"/>
    <cellStyle name="Normal 7 4 2" xfId="258" xr:uid="{00000000-0005-0000-0000-0000FF000000}"/>
    <cellStyle name="Normal 8" xfId="90" xr:uid="{00000000-0005-0000-0000-000000010000}"/>
    <cellStyle name="Normal 8 2" xfId="149" xr:uid="{00000000-0005-0000-0000-000001010000}"/>
    <cellStyle name="Normal 8 2 2" xfId="262" xr:uid="{00000000-0005-0000-0000-000002010000}"/>
    <cellStyle name="Normal 9" xfId="109" xr:uid="{00000000-0005-0000-0000-000003010000}"/>
    <cellStyle name="Normal 9 2" xfId="263" xr:uid="{00000000-0005-0000-0000-000004010000}"/>
    <cellStyle name="Note" xfId="176" builtinId="10" customBuiltin="1"/>
    <cellStyle name="Note 2" xfId="63" xr:uid="{00000000-0005-0000-0000-000006010000}"/>
    <cellStyle name="Output" xfId="171" builtinId="21" customBuiltin="1"/>
    <cellStyle name="Output 2" xfId="64" xr:uid="{00000000-0005-0000-0000-000008010000}"/>
    <cellStyle name="Percent 2" xfId="3" xr:uid="{00000000-0005-0000-0000-000009010000}"/>
    <cellStyle name="Percent 2 2" xfId="23" xr:uid="{00000000-0005-0000-0000-00000A010000}"/>
    <cellStyle name="Percent 2 2 2" xfId="88" xr:uid="{00000000-0005-0000-0000-00000B010000}"/>
    <cellStyle name="Percent 2 2 3" xfId="130" xr:uid="{00000000-0005-0000-0000-00000C010000}"/>
    <cellStyle name="Percent 2 2 3 2" xfId="147" xr:uid="{00000000-0005-0000-0000-00000D010000}"/>
    <cellStyle name="Percent 2 2 4" xfId="139" xr:uid="{00000000-0005-0000-0000-00000E010000}"/>
    <cellStyle name="Percent 2 3" xfId="118" xr:uid="{00000000-0005-0000-0000-00000F010000}"/>
    <cellStyle name="Percent 3" xfId="74" xr:uid="{00000000-0005-0000-0000-000010010000}"/>
    <cellStyle name="Percent 3 2" xfId="119" xr:uid="{00000000-0005-0000-0000-000011010000}"/>
    <cellStyle name="Percent 4" xfId="123" xr:uid="{00000000-0005-0000-0000-000012010000}"/>
    <cellStyle name="Percent 4 2" xfId="138" xr:uid="{00000000-0005-0000-0000-000013010000}"/>
    <cellStyle name="Title" xfId="162" builtinId="15" customBuiltin="1"/>
    <cellStyle name="Title 2" xfId="65" xr:uid="{00000000-0005-0000-0000-000015010000}"/>
    <cellStyle name="Total" xfId="178" builtinId="25" customBuiltin="1"/>
    <cellStyle name="Total 2" xfId="66" xr:uid="{00000000-0005-0000-0000-000017010000}"/>
    <cellStyle name="Warning Text" xfId="175" builtinId="11" customBuiltin="1"/>
    <cellStyle name="Warning Text 2" xfId="67" xr:uid="{00000000-0005-0000-0000-000019010000}"/>
  </cellStyles>
  <dxfs count="0"/>
  <tableStyles count="0" defaultTableStyle="TableStyleMedium9" defaultPivotStyle="PivotStyleLight16"/>
  <colors>
    <mruColors>
      <color rgb="FFCCFFCC"/>
      <color rgb="FFC3E6BA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>
    <tabColor theme="2"/>
  </sheetPr>
  <dimension ref="A1:AT56"/>
  <sheetViews>
    <sheetView tabSelected="1" zoomScale="70" zoomScaleNormal="70" workbookViewId="0">
      <pane xSplit="9" ySplit="8" topLeftCell="U9" activePane="bottomRight" state="frozen"/>
      <selection activeCell="A44" sqref="A44:XFD44"/>
      <selection pane="topRight" activeCell="A44" sqref="A44:XFD44"/>
      <selection pane="bottomLeft" activeCell="A44" sqref="A44:XFD44"/>
      <selection pane="bottomRight" activeCell="U31" sqref="U31"/>
    </sheetView>
  </sheetViews>
  <sheetFormatPr defaultColWidth="8.7265625" defaultRowHeight="14.5" x14ac:dyDescent="0.35"/>
  <cols>
    <col min="1" max="1" width="8.7265625" style="65"/>
    <col min="2" max="2" width="31.54296875" style="44" customWidth="1"/>
    <col min="3" max="3" width="11.26953125" style="65" customWidth="1"/>
    <col min="4" max="4" width="30.54296875" style="44" customWidth="1"/>
    <col min="5" max="5" width="17.7265625" style="45" bestFit="1" customWidth="1"/>
    <col min="6" max="6" width="14.7265625" style="45" customWidth="1"/>
    <col min="7" max="7" width="24.7265625" style="45" bestFit="1" customWidth="1"/>
    <col min="8" max="8" width="19.7265625" style="45" bestFit="1" customWidth="1"/>
    <col min="9" max="9" width="16.81640625" style="45" bestFit="1" customWidth="1"/>
    <col min="10" max="26" width="15.7265625" style="44" customWidth="1"/>
    <col min="27" max="28" width="21.26953125" style="44" customWidth="1"/>
    <col min="29" max="16384" width="8.7265625" style="44"/>
  </cols>
  <sheetData>
    <row r="1" spans="1:45" s="45" customFormat="1" ht="21" x14ac:dyDescent="0.5">
      <c r="A1" s="62" t="s">
        <v>0</v>
      </c>
      <c r="B1" s="53"/>
      <c r="C1" s="66" t="s">
        <v>151</v>
      </c>
      <c r="D1" s="50"/>
      <c r="E1" s="50"/>
      <c r="F1" s="50"/>
      <c r="G1" s="50"/>
      <c r="H1" s="50"/>
      <c r="I1" s="54"/>
      <c r="J1" s="53"/>
      <c r="K1" s="48"/>
      <c r="L1" s="66" t="str">
        <f>$C$1</f>
        <v>21st Century Cohort 7</v>
      </c>
      <c r="M1" s="53"/>
      <c r="N1" s="53"/>
      <c r="O1" s="48"/>
      <c r="P1" s="53"/>
      <c r="Q1" s="53"/>
      <c r="R1" s="66" t="str">
        <f>$C$1</f>
        <v>21st Century Cohort 7</v>
      </c>
      <c r="S1" s="48"/>
      <c r="T1" s="48"/>
      <c r="U1" s="53"/>
      <c r="V1" s="48"/>
      <c r="W1" s="53"/>
      <c r="X1" s="53"/>
      <c r="Y1" s="66" t="str">
        <f>$C$1</f>
        <v>21st Century Cohort 7</v>
      </c>
      <c r="Z1" s="53"/>
      <c r="AA1" s="47"/>
      <c r="AB1" s="47"/>
    </row>
    <row r="2" spans="1:45" s="3" customFormat="1" ht="21" x14ac:dyDescent="0.5">
      <c r="A2" s="47" t="s">
        <v>155</v>
      </c>
      <c r="B2" s="49"/>
      <c r="C2" s="62" t="s">
        <v>157</v>
      </c>
      <c r="D2" s="48"/>
      <c r="E2" s="48"/>
      <c r="F2" s="48"/>
      <c r="G2" s="48"/>
      <c r="H2" s="48"/>
      <c r="I2" s="15"/>
      <c r="J2" s="49"/>
      <c r="K2" s="49"/>
      <c r="L2" s="50" t="str">
        <f>"FY"&amp;$C$4</f>
        <v>FY2019-20</v>
      </c>
      <c r="M2" s="49"/>
      <c r="N2" s="49"/>
      <c r="O2" s="49"/>
      <c r="P2" s="49"/>
      <c r="Q2" s="49"/>
      <c r="R2" s="50" t="str">
        <f>"FY"&amp;$C$4</f>
        <v>FY2019-20</v>
      </c>
      <c r="S2" s="49"/>
      <c r="T2" s="49"/>
      <c r="U2" s="49"/>
      <c r="V2" s="49"/>
      <c r="W2" s="49"/>
      <c r="X2" s="49"/>
      <c r="Y2" s="50" t="str">
        <f>"FY"&amp;$C$4</f>
        <v>FY2019-20</v>
      </c>
      <c r="Z2" s="49"/>
      <c r="AA2" s="47"/>
      <c r="AB2" s="47"/>
    </row>
    <row r="3" spans="1:45" s="45" customFormat="1" ht="15.5" x14ac:dyDescent="0.35">
      <c r="A3" s="63" t="s">
        <v>1</v>
      </c>
      <c r="B3" s="53"/>
      <c r="C3" s="67">
        <v>5287</v>
      </c>
      <c r="D3" s="50"/>
      <c r="E3" s="50"/>
      <c r="F3" s="50"/>
      <c r="G3" s="50"/>
      <c r="H3" s="50"/>
      <c r="I3" s="54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4"/>
    </row>
    <row r="4" spans="1:45" s="45" customFormat="1" ht="15.5" x14ac:dyDescent="0.35">
      <c r="A4" s="63" t="s">
        <v>2</v>
      </c>
      <c r="B4" s="53"/>
      <c r="C4" s="67" t="s">
        <v>440</v>
      </c>
      <c r="D4" s="50"/>
      <c r="E4" s="50"/>
      <c r="F4" s="50"/>
      <c r="G4" s="50"/>
      <c r="H4" s="50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</row>
    <row r="5" spans="1:45" s="45" customFormat="1" ht="15.5" x14ac:dyDescent="0.35">
      <c r="A5" s="63" t="s">
        <v>524</v>
      </c>
      <c r="B5" s="53"/>
      <c r="C5" s="67" t="s">
        <v>445</v>
      </c>
      <c r="D5" s="50"/>
      <c r="E5" s="50"/>
      <c r="F5" s="50"/>
      <c r="G5" s="50"/>
      <c r="H5" s="50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2"/>
      <c r="AB5" s="52"/>
    </row>
    <row r="6" spans="1:45" s="45" customFormat="1" ht="15.5" x14ac:dyDescent="0.35">
      <c r="A6" s="63"/>
      <c r="B6" s="53"/>
      <c r="C6" s="50"/>
      <c r="D6" s="50"/>
      <c r="E6" s="50"/>
      <c r="F6" s="50"/>
      <c r="G6" s="50"/>
      <c r="H6" s="50"/>
      <c r="I6" s="52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2"/>
      <c r="AB6" s="52"/>
    </row>
    <row r="7" spans="1:45" s="45" customFormat="1" ht="24" thickBot="1" x14ac:dyDescent="0.6">
      <c r="A7" s="365"/>
      <c r="B7" s="366"/>
      <c r="C7" s="366"/>
      <c r="D7" s="366"/>
      <c r="E7" s="366"/>
      <c r="F7" s="366"/>
      <c r="G7" s="366"/>
      <c r="H7" s="367"/>
      <c r="I7" s="367"/>
      <c r="J7" s="52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2"/>
      <c r="AB7" s="52"/>
    </row>
    <row r="8" spans="1:45" ht="29.5" thickBot="1" x14ac:dyDescent="0.4">
      <c r="A8" s="11" t="s">
        <v>145</v>
      </c>
      <c r="B8" s="12" t="s">
        <v>139</v>
      </c>
      <c r="C8" s="11" t="s">
        <v>152</v>
      </c>
      <c r="D8" s="12" t="s">
        <v>43</v>
      </c>
      <c r="E8" s="13" t="s">
        <v>15</v>
      </c>
      <c r="F8" s="13" t="s">
        <v>476</v>
      </c>
      <c r="G8" s="13" t="s">
        <v>477</v>
      </c>
      <c r="H8" s="12" t="s">
        <v>16</v>
      </c>
      <c r="I8" s="29" t="s">
        <v>17</v>
      </c>
      <c r="J8" s="26" t="s">
        <v>133</v>
      </c>
      <c r="K8" s="27" t="s">
        <v>134</v>
      </c>
      <c r="L8" s="26" t="s">
        <v>135</v>
      </c>
      <c r="M8" s="27" t="s">
        <v>172</v>
      </c>
      <c r="N8" s="26" t="s">
        <v>173</v>
      </c>
      <c r="O8" s="27" t="s">
        <v>137</v>
      </c>
      <c r="P8" s="27" t="s">
        <v>252</v>
      </c>
      <c r="Q8" s="27" t="s">
        <v>253</v>
      </c>
      <c r="R8" s="27" t="s">
        <v>254</v>
      </c>
      <c r="S8" s="27" t="s">
        <v>255</v>
      </c>
      <c r="T8" s="27" t="s">
        <v>256</v>
      </c>
      <c r="U8" s="27" t="s">
        <v>441</v>
      </c>
      <c r="V8" s="26" t="s">
        <v>258</v>
      </c>
      <c r="W8" s="27" t="s">
        <v>259</v>
      </c>
      <c r="X8" s="27" t="s">
        <v>260</v>
      </c>
      <c r="Y8" s="27" t="s">
        <v>442</v>
      </c>
      <c r="Z8" s="26" t="s">
        <v>443</v>
      </c>
      <c r="AA8" s="12" t="s">
        <v>166</v>
      </c>
      <c r="AB8" s="12" t="s">
        <v>167</v>
      </c>
    </row>
    <row r="9" spans="1:45" s="37" customFormat="1" ht="15" thickBot="1" x14ac:dyDescent="0.4">
      <c r="A9" s="96" t="s">
        <v>66</v>
      </c>
      <c r="B9" s="93" t="s">
        <v>174</v>
      </c>
      <c r="C9" s="92" t="s">
        <v>98</v>
      </c>
      <c r="D9" s="93" t="s">
        <v>101</v>
      </c>
      <c r="E9" s="281">
        <v>90000</v>
      </c>
      <c r="F9" s="281"/>
      <c r="G9" s="281">
        <f>SUM(E9:F9)</f>
        <v>90000</v>
      </c>
      <c r="H9" s="281">
        <f>SUM(J9:AB9)</f>
        <v>58847.229999999996</v>
      </c>
      <c r="I9" s="281">
        <f>G9-H9</f>
        <v>31152.770000000004</v>
      </c>
      <c r="J9" s="292"/>
      <c r="K9" s="283"/>
      <c r="L9" s="283"/>
      <c r="M9" s="222">
        <v>6637.82</v>
      </c>
      <c r="N9" s="283">
        <v>6829.97</v>
      </c>
      <c r="O9" s="283">
        <v>8299.18</v>
      </c>
      <c r="P9" s="283"/>
      <c r="Q9" s="283">
        <f>4420.28+10673.14</f>
        <v>15093.419999999998</v>
      </c>
      <c r="R9" s="283"/>
      <c r="S9" s="283">
        <f>6670.03+7466.46</f>
        <v>14136.49</v>
      </c>
      <c r="T9" s="283">
        <v>7850.35</v>
      </c>
      <c r="U9" s="283"/>
      <c r="V9" s="283"/>
      <c r="W9" s="283"/>
      <c r="X9" s="283"/>
      <c r="Y9" s="283"/>
      <c r="Z9" s="283"/>
      <c r="AA9" s="228"/>
      <c r="AB9" s="228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</row>
    <row r="10" spans="1:45" s="37" customFormat="1" ht="73" thickBot="1" x14ac:dyDescent="0.4">
      <c r="A10" s="96" t="s">
        <v>22</v>
      </c>
      <c r="B10" s="93" t="s">
        <v>79</v>
      </c>
      <c r="C10" s="97" t="s">
        <v>183</v>
      </c>
      <c r="D10" s="93" t="s">
        <v>196</v>
      </c>
      <c r="E10" s="281">
        <v>535513</v>
      </c>
      <c r="F10" s="281">
        <v>107106</v>
      </c>
      <c r="G10" s="281">
        <f t="shared" ref="G10:G30" si="0">SUM(E10:F10)</f>
        <v>642619</v>
      </c>
      <c r="H10" s="281">
        <f t="shared" ref="H10:H30" si="1">SUM(J10:AB10)</f>
        <v>428935.02999999997</v>
      </c>
      <c r="I10" s="281">
        <f t="shared" ref="I10:I30" si="2">G10-H10</f>
        <v>213683.97000000003</v>
      </c>
      <c r="J10" s="222"/>
      <c r="K10" s="222"/>
      <c r="L10" s="222">
        <f>34113+23888.41</f>
        <v>58001.41</v>
      </c>
      <c r="M10" s="222">
        <v>44154.77</v>
      </c>
      <c r="N10" s="222">
        <v>49212.18</v>
      </c>
      <c r="O10" s="222">
        <v>24044.53</v>
      </c>
      <c r="P10" s="222">
        <v>49881.37</v>
      </c>
      <c r="Q10" s="222">
        <v>49305.65</v>
      </c>
      <c r="R10" s="222">
        <v>55473.82</v>
      </c>
      <c r="S10" s="222">
        <v>59555.11</v>
      </c>
      <c r="T10" s="222">
        <v>39306.19</v>
      </c>
      <c r="U10" s="222"/>
      <c r="V10" s="222"/>
      <c r="W10" s="222"/>
      <c r="X10" s="222"/>
      <c r="Y10" s="222"/>
      <c r="Z10" s="222"/>
      <c r="AA10" s="228"/>
      <c r="AB10" s="228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</row>
    <row r="11" spans="1:45" s="37" customFormat="1" ht="29.5" thickBot="1" x14ac:dyDescent="0.4">
      <c r="A11" s="96" t="s">
        <v>23</v>
      </c>
      <c r="B11" s="93" t="s">
        <v>175</v>
      </c>
      <c r="C11" s="92" t="s">
        <v>99</v>
      </c>
      <c r="D11" s="93" t="s">
        <v>102</v>
      </c>
      <c r="E11" s="281">
        <v>90000</v>
      </c>
      <c r="F11" s="281">
        <v>0</v>
      </c>
      <c r="G11" s="281">
        <f t="shared" si="0"/>
        <v>90000</v>
      </c>
      <c r="H11" s="281">
        <f t="shared" si="1"/>
        <v>43381</v>
      </c>
      <c r="I11" s="281">
        <f t="shared" si="2"/>
        <v>46619</v>
      </c>
      <c r="J11" s="282"/>
      <c r="K11" s="282"/>
      <c r="L11" s="282">
        <v>2595</v>
      </c>
      <c r="M11" s="222">
        <v>2830</v>
      </c>
      <c r="N11" s="282"/>
      <c r="O11" s="282">
        <v>13750</v>
      </c>
      <c r="P11" s="282">
        <v>4092</v>
      </c>
      <c r="Q11" s="282">
        <v>1842</v>
      </c>
      <c r="R11" s="282">
        <v>7731</v>
      </c>
      <c r="S11" s="282">
        <v>5064</v>
      </c>
      <c r="T11" s="282">
        <v>5477</v>
      </c>
      <c r="U11" s="282"/>
      <c r="V11" s="282"/>
      <c r="W11" s="282"/>
      <c r="X11" s="282"/>
      <c r="Y11" s="282"/>
      <c r="Z11" s="282"/>
      <c r="AA11" s="228"/>
      <c r="AB11" s="228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</row>
    <row r="12" spans="1:45" s="37" customFormat="1" ht="15" thickBot="1" x14ac:dyDescent="0.4">
      <c r="A12" s="96" t="s">
        <v>23</v>
      </c>
      <c r="B12" s="93" t="s">
        <v>175</v>
      </c>
      <c r="C12" s="92" t="s">
        <v>184</v>
      </c>
      <c r="D12" s="93" t="s">
        <v>197</v>
      </c>
      <c r="E12" s="281">
        <v>90000</v>
      </c>
      <c r="F12" s="281">
        <v>21185</v>
      </c>
      <c r="G12" s="281">
        <f t="shared" si="0"/>
        <v>111185</v>
      </c>
      <c r="H12" s="281">
        <f t="shared" si="1"/>
        <v>51424</v>
      </c>
      <c r="I12" s="281">
        <f t="shared" si="2"/>
        <v>59761</v>
      </c>
      <c r="J12" s="291"/>
      <c r="K12" s="291"/>
      <c r="L12" s="291">
        <f>5000+7940</f>
        <v>12940</v>
      </c>
      <c r="M12" s="222">
        <v>5636</v>
      </c>
      <c r="N12" s="291"/>
      <c r="O12" s="291">
        <v>11149</v>
      </c>
      <c r="P12" s="291">
        <v>6010</v>
      </c>
      <c r="Q12" s="291">
        <v>4623</v>
      </c>
      <c r="R12" s="291"/>
      <c r="S12" s="291">
        <v>2618</v>
      </c>
      <c r="T12" s="291">
        <v>8448</v>
      </c>
      <c r="U12" s="222"/>
      <c r="V12" s="291"/>
      <c r="W12" s="291"/>
      <c r="X12" s="291"/>
      <c r="Y12" s="291"/>
      <c r="Z12" s="291"/>
      <c r="AA12" s="228"/>
      <c r="AB12" s="228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</row>
    <row r="13" spans="1:45" s="37" customFormat="1" ht="15" thickBot="1" x14ac:dyDescent="0.4">
      <c r="A13" s="96" t="s">
        <v>23</v>
      </c>
      <c r="B13" s="93" t="s">
        <v>175</v>
      </c>
      <c r="C13" s="92" t="s">
        <v>185</v>
      </c>
      <c r="D13" s="93" t="s">
        <v>103</v>
      </c>
      <c r="E13" s="281">
        <v>90000</v>
      </c>
      <c r="F13" s="281">
        <v>10952</v>
      </c>
      <c r="G13" s="281">
        <f t="shared" si="0"/>
        <v>100952</v>
      </c>
      <c r="H13" s="281">
        <f t="shared" si="1"/>
        <v>85115.760000000009</v>
      </c>
      <c r="I13" s="281">
        <f t="shared" si="2"/>
        <v>15836.239999999991</v>
      </c>
      <c r="J13" s="222"/>
      <c r="K13" s="222"/>
      <c r="L13" s="222">
        <v>10454</v>
      </c>
      <c r="M13" s="222"/>
      <c r="N13" s="222"/>
      <c r="O13" s="222">
        <v>38902.76</v>
      </c>
      <c r="P13" s="287">
        <v>4117</v>
      </c>
      <c r="Q13" s="222">
        <v>8062</v>
      </c>
      <c r="R13" s="222">
        <v>6890</v>
      </c>
      <c r="S13" s="222">
        <v>10953</v>
      </c>
      <c r="T13" s="222">
        <v>5737</v>
      </c>
      <c r="U13" s="222"/>
      <c r="V13" s="222"/>
      <c r="W13" s="222"/>
      <c r="X13" s="222"/>
      <c r="Y13" s="222"/>
      <c r="Z13" s="222"/>
      <c r="AA13" s="6"/>
      <c r="AB13" s="6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</row>
    <row r="14" spans="1:45" s="37" customFormat="1" ht="44" thickBot="1" x14ac:dyDescent="0.4">
      <c r="A14" s="96" t="s">
        <v>4</v>
      </c>
      <c r="B14" s="93" t="s">
        <v>92</v>
      </c>
      <c r="C14" s="92" t="s">
        <v>186</v>
      </c>
      <c r="D14" s="93" t="s">
        <v>198</v>
      </c>
      <c r="E14" s="281">
        <v>270000</v>
      </c>
      <c r="F14" s="281">
        <v>46566</v>
      </c>
      <c r="G14" s="281">
        <f t="shared" si="0"/>
        <v>316566</v>
      </c>
      <c r="H14" s="281">
        <f t="shared" si="1"/>
        <v>198139.78000000003</v>
      </c>
      <c r="I14" s="281">
        <f t="shared" si="2"/>
        <v>118426.21999999997</v>
      </c>
      <c r="J14" s="222"/>
      <c r="K14" s="222"/>
      <c r="L14" s="222"/>
      <c r="M14" s="222">
        <v>23714.6</v>
      </c>
      <c r="N14" s="222">
        <v>29974.53</v>
      </c>
      <c r="O14" s="222"/>
      <c r="P14" s="222">
        <v>20807.03</v>
      </c>
      <c r="Q14" s="222">
        <v>43170.79</v>
      </c>
      <c r="R14" s="222">
        <v>34586.230000000003</v>
      </c>
      <c r="S14" s="222">
        <v>35135.72</v>
      </c>
      <c r="T14" s="222">
        <v>10750.88</v>
      </c>
      <c r="U14" s="222"/>
      <c r="V14" s="222"/>
      <c r="W14" s="222"/>
      <c r="X14" s="222"/>
      <c r="Y14" s="222"/>
      <c r="Z14" s="222"/>
      <c r="AA14" s="6"/>
      <c r="AB14" s="6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</row>
    <row r="15" spans="1:45" s="37" customFormat="1" ht="15" thickBot="1" x14ac:dyDescent="0.4">
      <c r="A15" s="96" t="s">
        <v>5</v>
      </c>
      <c r="B15" s="93" t="s">
        <v>176</v>
      </c>
      <c r="C15" s="92" t="s">
        <v>187</v>
      </c>
      <c r="D15" s="93" t="s">
        <v>199</v>
      </c>
      <c r="E15" s="281">
        <v>90000</v>
      </c>
      <c r="F15" s="281">
        <v>3947</v>
      </c>
      <c r="G15" s="281">
        <f t="shared" si="0"/>
        <v>93947</v>
      </c>
      <c r="H15" s="281">
        <f t="shared" si="1"/>
        <v>81061.200000000012</v>
      </c>
      <c r="I15" s="281">
        <f t="shared" si="2"/>
        <v>12885.799999999988</v>
      </c>
      <c r="J15" s="222"/>
      <c r="K15" s="222"/>
      <c r="L15" s="222">
        <v>16824.55</v>
      </c>
      <c r="M15" s="222">
        <v>6868.05</v>
      </c>
      <c r="N15" s="222">
        <v>9781.86</v>
      </c>
      <c r="O15" s="222">
        <v>7774.68</v>
      </c>
      <c r="P15" s="222">
        <v>6589.78</v>
      </c>
      <c r="Q15" s="222">
        <v>8291.0499999999993</v>
      </c>
      <c r="R15" s="222">
        <v>8179.12</v>
      </c>
      <c r="S15" s="222"/>
      <c r="T15" s="291">
        <v>16752.11</v>
      </c>
      <c r="U15" s="222"/>
      <c r="V15" s="222"/>
      <c r="W15" s="222"/>
      <c r="X15" s="222"/>
      <c r="Y15" s="222"/>
      <c r="Z15" s="222"/>
      <c r="AA15" s="228"/>
      <c r="AB15" s="228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</row>
    <row r="16" spans="1:45" s="37" customFormat="1" ht="58.5" thickBot="1" x14ac:dyDescent="0.4">
      <c r="A16" s="96" t="s">
        <v>51</v>
      </c>
      <c r="B16" s="93" t="s">
        <v>177</v>
      </c>
      <c r="C16" s="95" t="s">
        <v>188</v>
      </c>
      <c r="D16" s="93" t="s">
        <v>200</v>
      </c>
      <c r="E16" s="281">
        <v>269669</v>
      </c>
      <c r="F16" s="281">
        <v>29299</v>
      </c>
      <c r="G16" s="281">
        <f t="shared" si="0"/>
        <v>298968</v>
      </c>
      <c r="H16" s="281">
        <f t="shared" si="1"/>
        <v>250185.24999999997</v>
      </c>
      <c r="I16" s="281">
        <f t="shared" si="2"/>
        <v>48782.750000000029</v>
      </c>
      <c r="J16" s="222"/>
      <c r="K16" s="222">
        <v>17316.7</v>
      </c>
      <c r="L16" s="222"/>
      <c r="M16" s="222"/>
      <c r="N16" s="222"/>
      <c r="O16" s="222">
        <v>79087.91</v>
      </c>
      <c r="P16" s="222"/>
      <c r="Q16" s="222">
        <v>28718.959999999999</v>
      </c>
      <c r="R16" s="222">
        <f>36212.85+51539.82</f>
        <v>87752.67</v>
      </c>
      <c r="S16" s="222">
        <v>34189.11</v>
      </c>
      <c r="T16" s="222"/>
      <c r="U16" s="222">
        <v>3119.9</v>
      </c>
      <c r="V16" s="222"/>
      <c r="W16" s="222"/>
      <c r="X16" s="222"/>
      <c r="Y16" s="222"/>
      <c r="Z16" s="222"/>
      <c r="AA16" s="228"/>
      <c r="AB16" s="228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</row>
    <row r="17" spans="1:46" s="37" customFormat="1" ht="44" thickBot="1" x14ac:dyDescent="0.4">
      <c r="A17" s="96" t="s">
        <v>51</v>
      </c>
      <c r="B17" s="93" t="s">
        <v>177</v>
      </c>
      <c r="C17" s="92" t="s">
        <v>189</v>
      </c>
      <c r="D17" s="93" t="s">
        <v>201</v>
      </c>
      <c r="E17" s="281">
        <v>90000</v>
      </c>
      <c r="F17" s="281">
        <v>0</v>
      </c>
      <c r="G17" s="281">
        <f t="shared" si="0"/>
        <v>90000</v>
      </c>
      <c r="H17" s="281">
        <f t="shared" si="1"/>
        <v>70853.279999999999</v>
      </c>
      <c r="I17" s="281">
        <f t="shared" si="2"/>
        <v>19146.72</v>
      </c>
      <c r="J17" s="222"/>
      <c r="K17" s="222"/>
      <c r="L17" s="222"/>
      <c r="M17" s="222">
        <v>10714.34</v>
      </c>
      <c r="N17" s="222"/>
      <c r="O17" s="222"/>
      <c r="P17" s="222"/>
      <c r="Q17" s="222"/>
      <c r="R17" s="222"/>
      <c r="S17" s="222">
        <f>31954.49+7176.52</f>
        <v>39131.01</v>
      </c>
      <c r="T17" s="222">
        <v>21007.93</v>
      </c>
      <c r="U17" s="222"/>
      <c r="V17" s="222"/>
      <c r="W17" s="222"/>
      <c r="X17" s="222"/>
      <c r="Y17" s="222"/>
      <c r="Z17" s="222"/>
      <c r="AA17" s="227"/>
      <c r="AB17" s="22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</row>
    <row r="18" spans="1:46" s="37" customFormat="1" ht="44" thickBot="1" x14ac:dyDescent="0.4">
      <c r="A18" s="96" t="s">
        <v>51</v>
      </c>
      <c r="B18" s="93" t="s">
        <v>177</v>
      </c>
      <c r="C18" s="92" t="s">
        <v>190</v>
      </c>
      <c r="D18" s="93" t="s">
        <v>202</v>
      </c>
      <c r="E18" s="281">
        <v>89974</v>
      </c>
      <c r="F18" s="281">
        <v>5044.8</v>
      </c>
      <c r="G18" s="281">
        <f t="shared" si="0"/>
        <v>95018.8</v>
      </c>
      <c r="H18" s="281">
        <f t="shared" si="1"/>
        <v>84408.2</v>
      </c>
      <c r="I18" s="281">
        <f t="shared" si="2"/>
        <v>10610.600000000006</v>
      </c>
      <c r="J18" s="222"/>
      <c r="K18" s="222"/>
      <c r="L18" s="222"/>
      <c r="M18" s="222"/>
      <c r="N18" s="222"/>
      <c r="O18" s="222">
        <f>5044.8+40933.71</f>
        <v>45978.51</v>
      </c>
      <c r="P18" s="222"/>
      <c r="Q18" s="222">
        <v>7536.78</v>
      </c>
      <c r="R18" s="222">
        <f>11015.43+8803.53</f>
        <v>19818.96</v>
      </c>
      <c r="S18" s="222"/>
      <c r="T18" s="222">
        <v>11073.95</v>
      </c>
      <c r="U18" s="222"/>
      <c r="V18" s="222"/>
      <c r="W18" s="222"/>
      <c r="X18" s="222"/>
      <c r="Y18" s="222"/>
      <c r="Z18" s="222"/>
      <c r="AA18" s="228"/>
      <c r="AB18" s="228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</row>
    <row r="19" spans="1:46" s="37" customFormat="1" ht="44" thickBot="1" x14ac:dyDescent="0.4">
      <c r="A19" s="96" t="s">
        <v>51</v>
      </c>
      <c r="B19" s="93" t="s">
        <v>177</v>
      </c>
      <c r="C19" s="92" t="s">
        <v>191</v>
      </c>
      <c r="D19" s="93" t="s">
        <v>104</v>
      </c>
      <c r="E19" s="281">
        <v>90000</v>
      </c>
      <c r="F19" s="281">
        <v>6911</v>
      </c>
      <c r="G19" s="281">
        <f t="shared" si="0"/>
        <v>96911</v>
      </c>
      <c r="H19" s="281">
        <f t="shared" si="1"/>
        <v>41862.15</v>
      </c>
      <c r="I19" s="281">
        <f t="shared" si="2"/>
        <v>55048.85</v>
      </c>
      <c r="J19" s="222"/>
      <c r="K19" s="222"/>
      <c r="L19" s="222"/>
      <c r="M19" s="222"/>
      <c r="N19" s="222"/>
      <c r="O19" s="222"/>
      <c r="P19" s="222"/>
      <c r="Q19" s="222">
        <v>41862.15</v>
      </c>
      <c r="R19" s="222"/>
      <c r="S19" s="222"/>
      <c r="T19" s="283"/>
      <c r="U19" s="222"/>
      <c r="V19" s="222"/>
      <c r="W19" s="222"/>
      <c r="X19" s="222"/>
      <c r="Y19" s="222"/>
      <c r="Z19" s="222"/>
      <c r="AA19" s="228"/>
      <c r="AB19" s="228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</row>
    <row r="20" spans="1:46" s="37" customFormat="1" ht="15" thickBot="1" x14ac:dyDescent="0.4">
      <c r="A20" s="96" t="s">
        <v>29</v>
      </c>
      <c r="B20" s="93" t="s">
        <v>81</v>
      </c>
      <c r="C20" s="92" t="s">
        <v>100</v>
      </c>
      <c r="D20" s="93" t="s">
        <v>203</v>
      </c>
      <c r="E20" s="281">
        <v>90000</v>
      </c>
      <c r="F20" s="281">
        <v>12837</v>
      </c>
      <c r="G20" s="281">
        <f t="shared" si="0"/>
        <v>102837</v>
      </c>
      <c r="H20" s="281">
        <f t="shared" si="1"/>
        <v>76408.2</v>
      </c>
      <c r="I20" s="281">
        <f t="shared" si="2"/>
        <v>26428.800000000003</v>
      </c>
      <c r="J20" s="222"/>
      <c r="K20" s="222"/>
      <c r="L20" s="222"/>
      <c r="M20" s="222">
        <v>4714.13</v>
      </c>
      <c r="N20" s="222">
        <v>5956.85</v>
      </c>
      <c r="O20" s="222">
        <v>7149.12</v>
      </c>
      <c r="P20" s="222">
        <v>4686.07</v>
      </c>
      <c r="Q20" s="222">
        <v>32612.67</v>
      </c>
      <c r="R20" s="222">
        <v>7671.88</v>
      </c>
      <c r="S20" s="222">
        <v>7675.99</v>
      </c>
      <c r="T20" s="222">
        <v>5941.49</v>
      </c>
      <c r="U20" s="222"/>
      <c r="V20" s="222"/>
      <c r="W20" s="222"/>
      <c r="X20" s="222"/>
      <c r="Y20" s="222"/>
      <c r="Z20" s="222"/>
      <c r="AA20" s="228"/>
      <c r="AB20" s="228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</row>
    <row r="21" spans="1:46" s="37" customFormat="1" ht="44" thickBot="1" x14ac:dyDescent="0.4">
      <c r="A21" s="96" t="s">
        <v>29</v>
      </c>
      <c r="B21" s="93" t="s">
        <v>81</v>
      </c>
      <c r="C21" s="92" t="s">
        <v>192</v>
      </c>
      <c r="D21" s="93" t="s">
        <v>204</v>
      </c>
      <c r="E21" s="281">
        <v>270000</v>
      </c>
      <c r="F21" s="281">
        <v>18658</v>
      </c>
      <c r="G21" s="281">
        <f t="shared" si="0"/>
        <v>288658</v>
      </c>
      <c r="H21" s="281">
        <f t="shared" si="1"/>
        <v>183983.85</v>
      </c>
      <c r="I21" s="281">
        <f t="shared" si="2"/>
        <v>104674.15</v>
      </c>
      <c r="J21" s="222"/>
      <c r="K21" s="222"/>
      <c r="L21" s="222"/>
      <c r="M21" s="222">
        <v>25396.09</v>
      </c>
      <c r="N21" s="222">
        <v>27938.240000000002</v>
      </c>
      <c r="O21" s="222">
        <v>30748.14</v>
      </c>
      <c r="P21" s="222">
        <v>16616.400000000001</v>
      </c>
      <c r="Q21" s="222">
        <v>15970.54</v>
      </c>
      <c r="R21" s="222">
        <v>30174.85</v>
      </c>
      <c r="S21" s="222">
        <v>24225.47</v>
      </c>
      <c r="T21" s="222">
        <v>12914.12</v>
      </c>
      <c r="U21" s="222"/>
      <c r="V21" s="222"/>
      <c r="W21" s="222"/>
      <c r="X21" s="222"/>
      <c r="Y21" s="222"/>
      <c r="Z21" s="222"/>
      <c r="AA21" s="227"/>
      <c r="AB21" s="22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</row>
    <row r="22" spans="1:46" s="37" customFormat="1" ht="15" thickBot="1" x14ac:dyDescent="0.4">
      <c r="A22" s="96" t="s">
        <v>29</v>
      </c>
      <c r="B22" s="93" t="s">
        <v>81</v>
      </c>
      <c r="C22" s="92" t="s">
        <v>193</v>
      </c>
      <c r="D22" s="93" t="s">
        <v>464</v>
      </c>
      <c r="E22" s="281">
        <v>88011</v>
      </c>
      <c r="F22" s="281">
        <v>0</v>
      </c>
      <c r="G22" s="281">
        <f t="shared" si="0"/>
        <v>88011</v>
      </c>
      <c r="H22" s="281">
        <f t="shared" si="1"/>
        <v>70511.850000000006</v>
      </c>
      <c r="I22" s="281">
        <f t="shared" si="2"/>
        <v>17499.149999999994</v>
      </c>
      <c r="J22" s="222"/>
      <c r="K22" s="222"/>
      <c r="L22" s="222"/>
      <c r="M22" s="222">
        <v>12341.93</v>
      </c>
      <c r="N22" s="222">
        <v>10632.92</v>
      </c>
      <c r="O22" s="222">
        <v>7967.56</v>
      </c>
      <c r="P22" s="222">
        <v>8018.2</v>
      </c>
      <c r="Q22" s="222">
        <v>6942.56</v>
      </c>
      <c r="R22" s="222">
        <v>15572.04</v>
      </c>
      <c r="S22" s="222">
        <v>2443.7199999999998</v>
      </c>
      <c r="T22" s="222">
        <v>6592.92</v>
      </c>
      <c r="U22" s="222"/>
      <c r="V22" s="222"/>
      <c r="W22" s="222"/>
      <c r="X22" s="222"/>
      <c r="Y22" s="222"/>
      <c r="Z22" s="222"/>
      <c r="AA22" s="227"/>
      <c r="AB22" s="22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</row>
    <row r="23" spans="1:46" s="37" customFormat="1" ht="29.5" thickBot="1" x14ac:dyDescent="0.4">
      <c r="A23" s="96" t="s">
        <v>34</v>
      </c>
      <c r="B23" s="93" t="s">
        <v>178</v>
      </c>
      <c r="C23" s="92" t="s">
        <v>194</v>
      </c>
      <c r="D23" s="93" t="s">
        <v>205</v>
      </c>
      <c r="E23" s="281">
        <v>83094</v>
      </c>
      <c r="F23" s="281">
        <v>15100</v>
      </c>
      <c r="G23" s="281">
        <f t="shared" si="0"/>
        <v>98194</v>
      </c>
      <c r="H23" s="281">
        <f t="shared" si="1"/>
        <v>60078</v>
      </c>
      <c r="I23" s="281">
        <f t="shared" si="2"/>
        <v>38116</v>
      </c>
      <c r="J23" s="222"/>
      <c r="K23" s="222"/>
      <c r="L23" s="222"/>
      <c r="M23" s="222"/>
      <c r="N23" s="222"/>
      <c r="O23" s="222">
        <f>15100+11843</f>
        <v>26943</v>
      </c>
      <c r="P23" s="222"/>
      <c r="Q23" s="222"/>
      <c r="R23" s="222">
        <v>16450</v>
      </c>
      <c r="S23" s="222">
        <v>16685</v>
      </c>
      <c r="T23" s="282"/>
      <c r="U23" s="222"/>
      <c r="V23" s="222"/>
      <c r="W23" s="222"/>
      <c r="X23" s="222"/>
      <c r="Y23" s="222"/>
      <c r="Z23" s="222"/>
      <c r="AA23" s="228"/>
      <c r="AB23" s="228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</row>
    <row r="24" spans="1:46" s="37" customFormat="1" ht="44" thickBot="1" x14ac:dyDescent="0.4">
      <c r="A24" s="96" t="s">
        <v>28</v>
      </c>
      <c r="B24" s="93" t="s">
        <v>85</v>
      </c>
      <c r="C24" s="92" t="s">
        <v>195</v>
      </c>
      <c r="D24" s="93" t="s">
        <v>206</v>
      </c>
      <c r="E24" s="281">
        <v>234000</v>
      </c>
      <c r="F24" s="281">
        <v>18015</v>
      </c>
      <c r="G24" s="281">
        <f t="shared" si="0"/>
        <v>252015</v>
      </c>
      <c r="H24" s="281">
        <f t="shared" si="1"/>
        <v>159555.88999999998</v>
      </c>
      <c r="I24" s="281">
        <f t="shared" si="2"/>
        <v>92459.110000000015</v>
      </c>
      <c r="J24" s="222"/>
      <c r="K24" s="222"/>
      <c r="L24" s="222"/>
      <c r="M24" s="222">
        <v>32074.17</v>
      </c>
      <c r="N24" s="222"/>
      <c r="O24" s="222">
        <f>27657.53+25862</f>
        <v>53519.53</v>
      </c>
      <c r="P24" s="222">
        <v>18189.080000000002</v>
      </c>
      <c r="Q24" s="222"/>
      <c r="R24" s="222">
        <v>9640.43</v>
      </c>
      <c r="S24" s="222">
        <f>13460.13+23803.66+8868.89</f>
        <v>46132.68</v>
      </c>
      <c r="T24" s="222"/>
      <c r="U24" s="222"/>
      <c r="V24" s="222"/>
      <c r="W24" s="222"/>
      <c r="X24" s="222"/>
      <c r="Y24" s="222"/>
      <c r="Z24" s="222"/>
      <c r="AA24" s="228"/>
      <c r="AB24" s="228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</row>
    <row r="25" spans="1:46" s="37" customFormat="1" ht="44" thickBot="1" x14ac:dyDescent="0.4">
      <c r="A25" s="95" t="s">
        <v>95</v>
      </c>
      <c r="B25" s="93" t="s">
        <v>179</v>
      </c>
      <c r="C25" s="97"/>
      <c r="D25" s="93" t="s">
        <v>207</v>
      </c>
      <c r="E25" s="281">
        <v>269818</v>
      </c>
      <c r="F25" s="281">
        <v>47604</v>
      </c>
      <c r="G25" s="281">
        <f t="shared" si="0"/>
        <v>317422</v>
      </c>
      <c r="H25" s="281">
        <f t="shared" si="1"/>
        <v>205299.69</v>
      </c>
      <c r="I25" s="281">
        <f t="shared" si="2"/>
        <v>112122.31</v>
      </c>
      <c r="J25" s="222"/>
      <c r="K25" s="222"/>
      <c r="L25" s="222"/>
      <c r="M25" s="222">
        <v>38547</v>
      </c>
      <c r="N25" s="222">
        <v>40113</v>
      </c>
      <c r="O25" s="222">
        <v>35287</v>
      </c>
      <c r="P25" s="222"/>
      <c r="Q25" s="222"/>
      <c r="R25" s="222">
        <f>21354.12+21588.21</f>
        <v>42942.33</v>
      </c>
      <c r="S25" s="222">
        <v>18497.71</v>
      </c>
      <c r="T25" s="222">
        <v>29912.65</v>
      </c>
      <c r="U25" s="222"/>
      <c r="V25" s="222"/>
      <c r="W25" s="222"/>
      <c r="X25" s="222"/>
      <c r="Y25" s="222"/>
      <c r="Z25" s="222"/>
      <c r="AA25" s="228"/>
      <c r="AB25" s="228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</row>
    <row r="26" spans="1:46" s="37" customFormat="1" ht="29.5" thickBot="1" x14ac:dyDescent="0.4">
      <c r="A26" s="95" t="s">
        <v>73</v>
      </c>
      <c r="B26" s="93" t="s">
        <v>180</v>
      </c>
      <c r="C26" s="97"/>
      <c r="D26" s="93" t="s">
        <v>208</v>
      </c>
      <c r="E26" s="281">
        <v>52340</v>
      </c>
      <c r="F26" s="281">
        <v>7103</v>
      </c>
      <c r="G26" s="281">
        <f t="shared" si="0"/>
        <v>59443</v>
      </c>
      <c r="H26" s="281">
        <f t="shared" si="1"/>
        <v>51974.1</v>
      </c>
      <c r="I26" s="281">
        <f t="shared" si="2"/>
        <v>7468.9000000000015</v>
      </c>
      <c r="J26" s="222"/>
      <c r="K26" s="222">
        <f>5083.06+4192.06</f>
        <v>9275.1200000000008</v>
      </c>
      <c r="L26" s="222">
        <f>4192.06+5944.64</f>
        <v>10136.700000000001</v>
      </c>
      <c r="M26" s="222"/>
      <c r="N26" s="222">
        <f>5206.44+4852.91</f>
        <v>10059.349999999999</v>
      </c>
      <c r="O26" s="222">
        <v>7226.07</v>
      </c>
      <c r="P26" s="222">
        <v>6480.01</v>
      </c>
      <c r="Q26" s="222">
        <v>3576.78</v>
      </c>
      <c r="R26" s="222">
        <v>5220.07</v>
      </c>
      <c r="S26" s="222"/>
      <c r="T26" s="222"/>
      <c r="U26" s="222"/>
      <c r="V26" s="222"/>
      <c r="W26" s="222"/>
      <c r="X26" s="222"/>
      <c r="Y26" s="222"/>
      <c r="Z26" s="222"/>
      <c r="AA26" s="228"/>
      <c r="AB26" s="228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</row>
    <row r="27" spans="1:46" s="37" customFormat="1" ht="29.5" thickBot="1" x14ac:dyDescent="0.4">
      <c r="A27" s="95" t="s">
        <v>96</v>
      </c>
      <c r="B27" s="93" t="s">
        <v>181</v>
      </c>
      <c r="C27" s="97"/>
      <c r="D27" s="93" t="s">
        <v>105</v>
      </c>
      <c r="E27" s="281">
        <v>60000</v>
      </c>
      <c r="F27" s="281">
        <v>56</v>
      </c>
      <c r="G27" s="281">
        <f t="shared" si="0"/>
        <v>60056</v>
      </c>
      <c r="H27" s="281">
        <f t="shared" si="1"/>
        <v>13615.86</v>
      </c>
      <c r="I27" s="281">
        <f t="shared" si="2"/>
        <v>46440.14</v>
      </c>
      <c r="J27" s="222"/>
      <c r="K27" s="222"/>
      <c r="L27" s="222"/>
      <c r="M27" s="222"/>
      <c r="N27" s="222">
        <v>2933.86</v>
      </c>
      <c r="O27" s="222"/>
      <c r="P27" s="222"/>
      <c r="Q27" s="222"/>
      <c r="R27" s="222"/>
      <c r="S27" s="222">
        <v>2478</v>
      </c>
      <c r="T27" s="222">
        <v>8204</v>
      </c>
      <c r="U27" s="222"/>
      <c r="V27" s="222"/>
      <c r="W27" s="222"/>
      <c r="X27" s="222"/>
      <c r="Y27" s="222"/>
      <c r="Z27" s="222"/>
      <c r="AA27" s="228"/>
      <c r="AB27" s="228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</row>
    <row r="28" spans="1:46" s="37" customFormat="1" ht="58.5" thickBot="1" x14ac:dyDescent="0.4">
      <c r="A28" s="95" t="s">
        <v>14</v>
      </c>
      <c r="B28" s="93" t="s">
        <v>24</v>
      </c>
      <c r="C28" s="97"/>
      <c r="D28" s="93" t="s">
        <v>209</v>
      </c>
      <c r="E28" s="281">
        <v>260000</v>
      </c>
      <c r="F28" s="281">
        <v>25370</v>
      </c>
      <c r="G28" s="281">
        <f t="shared" si="0"/>
        <v>285370</v>
      </c>
      <c r="H28" s="281">
        <f t="shared" si="1"/>
        <v>157724</v>
      </c>
      <c r="I28" s="281">
        <f t="shared" si="2"/>
        <v>127646</v>
      </c>
      <c r="J28" s="222"/>
      <c r="K28" s="222"/>
      <c r="L28" s="222"/>
      <c r="M28" s="222"/>
      <c r="N28" s="222"/>
      <c r="O28" s="222">
        <v>56880</v>
      </c>
      <c r="P28" s="222">
        <f>13285+16525</f>
        <v>29810</v>
      </c>
      <c r="Q28" s="222">
        <f>19282+17605</f>
        <v>36887</v>
      </c>
      <c r="R28" s="222">
        <v>15942</v>
      </c>
      <c r="S28" s="222"/>
      <c r="T28" s="222">
        <v>18205</v>
      </c>
      <c r="U28" s="222"/>
      <c r="V28" s="222"/>
      <c r="W28" s="222"/>
      <c r="X28" s="222"/>
      <c r="Y28" s="222"/>
      <c r="Z28" s="222"/>
      <c r="AA28" s="227"/>
      <c r="AB28" s="22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</row>
    <row r="29" spans="1:46" s="37" customFormat="1" ht="15" thickBot="1" x14ac:dyDescent="0.4">
      <c r="A29" s="95" t="s">
        <v>97</v>
      </c>
      <c r="B29" s="93" t="s">
        <v>182</v>
      </c>
      <c r="C29" s="96"/>
      <c r="D29" s="93" t="s">
        <v>210</v>
      </c>
      <c r="E29" s="281">
        <v>90000</v>
      </c>
      <c r="F29" s="281">
        <v>0</v>
      </c>
      <c r="G29" s="281">
        <f t="shared" si="0"/>
        <v>90000</v>
      </c>
      <c r="H29" s="281">
        <f t="shared" si="1"/>
        <v>59086.5</v>
      </c>
      <c r="I29" s="281">
        <f t="shared" si="2"/>
        <v>30913.5</v>
      </c>
      <c r="J29" s="222"/>
      <c r="K29" s="222"/>
      <c r="L29" s="222">
        <f>3262.27+8740.9</f>
        <v>12003.17</v>
      </c>
      <c r="M29" s="222">
        <v>7544.43</v>
      </c>
      <c r="N29" s="222"/>
      <c r="O29" s="222">
        <v>6391.69</v>
      </c>
      <c r="P29" s="222">
        <f>4490.43</f>
        <v>4490.43</v>
      </c>
      <c r="Q29" s="222">
        <v>9413.5300000000007</v>
      </c>
      <c r="R29" s="222">
        <v>8780.9699999999993</v>
      </c>
      <c r="S29" s="222">
        <v>5552.21</v>
      </c>
      <c r="T29" s="222">
        <v>4910.07</v>
      </c>
      <c r="U29" s="222"/>
      <c r="V29" s="222"/>
      <c r="W29" s="222"/>
      <c r="X29" s="222"/>
      <c r="Y29" s="222"/>
      <c r="Z29" s="222"/>
      <c r="AA29" s="228"/>
      <c r="AB29" s="228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</row>
    <row r="30" spans="1:46" ht="29.5" thickBot="1" x14ac:dyDescent="0.4">
      <c r="A30" s="95" t="s">
        <v>91</v>
      </c>
      <c r="B30" s="93" t="s">
        <v>93</v>
      </c>
      <c r="C30" s="96"/>
      <c r="D30" s="93" t="s">
        <v>211</v>
      </c>
      <c r="E30" s="281">
        <v>121394</v>
      </c>
      <c r="F30" s="281">
        <v>16989</v>
      </c>
      <c r="G30" s="281">
        <f t="shared" si="0"/>
        <v>138383</v>
      </c>
      <c r="H30" s="284">
        <f t="shared" si="1"/>
        <v>133586.93</v>
      </c>
      <c r="I30" s="281">
        <f t="shared" si="2"/>
        <v>4796.070000000007</v>
      </c>
      <c r="J30" s="222"/>
      <c r="K30" s="222"/>
      <c r="L30" s="222">
        <f>6128.65+9615.27</f>
        <v>15743.92</v>
      </c>
      <c r="M30" s="222">
        <v>6959.85</v>
      </c>
      <c r="N30" s="222">
        <v>15752.86</v>
      </c>
      <c r="O30" s="222">
        <v>23706.59</v>
      </c>
      <c r="P30" s="222">
        <v>17982.86</v>
      </c>
      <c r="Q30" s="222">
        <v>7398.63</v>
      </c>
      <c r="R30" s="222">
        <f>10509.33-816</f>
        <v>9693.33</v>
      </c>
      <c r="S30" s="222">
        <v>9605.4599999999991</v>
      </c>
      <c r="T30" s="222">
        <v>14550.5</v>
      </c>
      <c r="U30" s="222">
        <v>12192.93</v>
      </c>
      <c r="V30" s="222"/>
      <c r="W30" s="222"/>
      <c r="X30" s="222"/>
      <c r="Y30" s="222"/>
      <c r="Z30" s="222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</row>
    <row r="31" spans="1:46" s="37" customFormat="1" ht="15" thickBot="1" x14ac:dyDescent="0.4">
      <c r="A31" s="98" t="s">
        <v>46</v>
      </c>
      <c r="B31" s="43"/>
      <c r="C31" s="64"/>
      <c r="D31" s="43"/>
      <c r="E31" s="285">
        <f>SUM(E2:E30)</f>
        <v>3413813</v>
      </c>
      <c r="F31" s="285">
        <f t="shared" ref="F31:G31" si="3">SUM(F2:F30)</f>
        <v>392742.8</v>
      </c>
      <c r="G31" s="285">
        <f t="shared" si="3"/>
        <v>3806555.8</v>
      </c>
      <c r="H31" s="285">
        <f>SUM(H9:H30)</f>
        <v>2566037.75</v>
      </c>
      <c r="I31" s="285">
        <f>SUM(I9:I30)</f>
        <v>1240518.05</v>
      </c>
      <c r="J31" s="286">
        <f>SUM(J9:J30)</f>
        <v>0</v>
      </c>
      <c r="K31" s="286">
        <f>SUM(K9:K30)</f>
        <v>26591.82</v>
      </c>
      <c r="L31" s="286">
        <f>SUM(L9:L30)</f>
        <v>138698.75</v>
      </c>
      <c r="M31" s="286">
        <f t="shared" ref="M31:AT31" si="4">SUM(M9:M30)</f>
        <v>228133.18000000002</v>
      </c>
      <c r="N31" s="286">
        <f t="shared" si="4"/>
        <v>209185.62</v>
      </c>
      <c r="O31" s="286">
        <f>SUM(O9:O30)</f>
        <v>484805.27000000008</v>
      </c>
      <c r="P31" s="286">
        <f>SUM(P9:P30)</f>
        <v>197770.22999999998</v>
      </c>
      <c r="Q31" s="286">
        <f t="shared" si="4"/>
        <v>321307.51000000013</v>
      </c>
      <c r="R31" s="286">
        <f t="shared" si="4"/>
        <v>382519.7</v>
      </c>
      <c r="S31" s="286">
        <f>SUM(S9:S30)</f>
        <v>334078.68000000005</v>
      </c>
      <c r="T31" s="286">
        <f t="shared" si="4"/>
        <v>227634.16000000003</v>
      </c>
      <c r="U31" s="286">
        <f t="shared" si="4"/>
        <v>15312.83</v>
      </c>
      <c r="V31" s="286">
        <f t="shared" si="4"/>
        <v>0</v>
      </c>
      <c r="W31" s="286">
        <f t="shared" si="4"/>
        <v>0</v>
      </c>
      <c r="X31" s="286">
        <f t="shared" si="4"/>
        <v>0</v>
      </c>
      <c r="Y31" s="286">
        <f t="shared" si="4"/>
        <v>0</v>
      </c>
      <c r="Z31" s="286">
        <f t="shared" si="4"/>
        <v>0</v>
      </c>
      <c r="AA31" s="286">
        <f t="shared" si="4"/>
        <v>0</v>
      </c>
      <c r="AB31" s="286">
        <f t="shared" si="4"/>
        <v>0</v>
      </c>
      <c r="AC31" s="286">
        <f t="shared" si="4"/>
        <v>0</v>
      </c>
      <c r="AD31" s="286">
        <f t="shared" si="4"/>
        <v>0</v>
      </c>
      <c r="AE31" s="286">
        <f t="shared" si="4"/>
        <v>0</v>
      </c>
      <c r="AF31" s="286">
        <f t="shared" si="4"/>
        <v>0</v>
      </c>
      <c r="AG31" s="286">
        <f t="shared" si="4"/>
        <v>0</v>
      </c>
      <c r="AH31" s="286">
        <f t="shared" si="4"/>
        <v>0</v>
      </c>
      <c r="AI31" s="286">
        <f t="shared" si="4"/>
        <v>0</v>
      </c>
      <c r="AJ31" s="286">
        <f t="shared" si="4"/>
        <v>0</v>
      </c>
      <c r="AK31" s="286">
        <f t="shared" si="4"/>
        <v>0</v>
      </c>
      <c r="AL31" s="286">
        <f t="shared" si="4"/>
        <v>0</v>
      </c>
      <c r="AM31" s="286">
        <f t="shared" si="4"/>
        <v>0</v>
      </c>
      <c r="AN31" s="286">
        <f t="shared" si="4"/>
        <v>0</v>
      </c>
      <c r="AO31" s="286">
        <f t="shared" si="4"/>
        <v>0</v>
      </c>
      <c r="AP31" s="286">
        <f t="shared" si="4"/>
        <v>0</v>
      </c>
      <c r="AQ31" s="286">
        <f t="shared" si="4"/>
        <v>0</v>
      </c>
      <c r="AR31" s="286">
        <f t="shared" si="4"/>
        <v>0</v>
      </c>
      <c r="AS31" s="286">
        <f t="shared" si="4"/>
        <v>0</v>
      </c>
      <c r="AT31" s="286">
        <f t="shared" si="4"/>
        <v>0</v>
      </c>
    </row>
    <row r="32" spans="1:46" x14ac:dyDescent="0.35">
      <c r="E32" s="6"/>
      <c r="F32" s="6"/>
      <c r="G32" s="6"/>
      <c r="H32" s="6"/>
      <c r="I32" s="6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</row>
    <row r="33" spans="3:45" ht="21" hidden="1" customHeight="1" x14ac:dyDescent="0.35">
      <c r="C33" s="46"/>
      <c r="D33" s="46"/>
      <c r="E33" s="6"/>
      <c r="F33" s="6"/>
      <c r="G33" s="6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</row>
    <row r="34" spans="3:45" hidden="1" x14ac:dyDescent="0.35">
      <c r="C34" s="46"/>
      <c r="D34" s="46"/>
      <c r="E34" s="6"/>
      <c r="F34" s="6"/>
      <c r="G34" s="6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>
        <v>35745.370000000003</v>
      </c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</row>
    <row r="35" spans="3:45" hidden="1" x14ac:dyDescent="0.35">
      <c r="C35" s="46"/>
      <c r="D35" s="46"/>
      <c r="E35" s="6"/>
      <c r="F35" s="6"/>
      <c r="G35" s="6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>
        <v>298333.31</v>
      </c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</row>
    <row r="36" spans="3:45" hidden="1" x14ac:dyDescent="0.35">
      <c r="C36" s="46"/>
      <c r="D36" s="46"/>
      <c r="E36" s="6"/>
      <c r="F36" s="6"/>
      <c r="G36" s="6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>
        <f>SUM(S34:S35)</f>
        <v>334078.68</v>
      </c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</row>
    <row r="37" spans="3:45" x14ac:dyDescent="0.35">
      <c r="C37" s="46"/>
      <c r="D37" s="46"/>
      <c r="E37" s="6"/>
      <c r="F37" s="6"/>
      <c r="G37" s="6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</row>
    <row r="38" spans="3:45" x14ac:dyDescent="0.35">
      <c r="C38" s="46"/>
      <c r="D38" s="46"/>
      <c r="E38" s="6"/>
      <c r="F38" s="6"/>
      <c r="G38" s="6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</row>
    <row r="39" spans="3:45" x14ac:dyDescent="0.35">
      <c r="C39" s="46"/>
      <c r="D39" s="46"/>
      <c r="E39" s="6"/>
      <c r="F39" s="6"/>
      <c r="G39" s="6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</row>
    <row r="40" spans="3:45" x14ac:dyDescent="0.35">
      <c r="C40" s="46"/>
      <c r="D40" s="46"/>
      <c r="E40" s="6"/>
      <c r="F40" s="6"/>
      <c r="G40" s="6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</row>
    <row r="41" spans="3:45" x14ac:dyDescent="0.35">
      <c r="C41" s="46"/>
      <c r="D41" s="46"/>
      <c r="E41" s="46"/>
      <c r="F41" s="46"/>
      <c r="G41" s="46"/>
      <c r="H41" s="44"/>
      <c r="I41" s="44"/>
      <c r="AA41" s="30"/>
      <c r="AB41" s="30"/>
    </row>
    <row r="42" spans="3:45" x14ac:dyDescent="0.35">
      <c r="C42" s="46"/>
      <c r="D42" s="46"/>
      <c r="E42" s="46"/>
      <c r="F42" s="46"/>
      <c r="G42" s="46"/>
      <c r="H42" s="44"/>
      <c r="I42" s="44"/>
      <c r="AA42" s="30"/>
      <c r="AB42" s="30"/>
    </row>
    <row r="43" spans="3:45" x14ac:dyDescent="0.35">
      <c r="C43" s="46"/>
      <c r="D43" s="46"/>
      <c r="E43" s="46"/>
      <c r="F43" s="46"/>
      <c r="G43" s="46"/>
      <c r="H43" s="44"/>
      <c r="I43" s="44"/>
      <c r="AA43" s="30"/>
      <c r="AB43" s="30"/>
    </row>
    <row r="44" spans="3:45" x14ac:dyDescent="0.35">
      <c r="C44" s="46"/>
      <c r="D44" s="46"/>
      <c r="E44" s="46"/>
      <c r="F44" s="46"/>
      <c r="G44" s="46"/>
      <c r="H44" s="44"/>
      <c r="I44" s="44"/>
      <c r="AA44" s="30"/>
      <c r="AB44" s="30"/>
    </row>
    <row r="45" spans="3:45" x14ac:dyDescent="0.35">
      <c r="C45" s="46"/>
      <c r="D45" s="46"/>
      <c r="E45" s="46"/>
      <c r="F45" s="46"/>
      <c r="G45" s="46"/>
      <c r="H45" s="44"/>
      <c r="I45" s="44"/>
    </row>
    <row r="46" spans="3:45" x14ac:dyDescent="0.35">
      <c r="C46" s="46"/>
      <c r="D46" s="46"/>
      <c r="E46" s="46"/>
      <c r="F46" s="46"/>
      <c r="G46" s="46"/>
      <c r="H46" s="44"/>
      <c r="I46" s="44"/>
    </row>
    <row r="47" spans="3:45" x14ac:dyDescent="0.35">
      <c r="C47" s="46"/>
      <c r="D47" s="46"/>
      <c r="E47" s="46"/>
      <c r="F47" s="46"/>
      <c r="G47" s="46"/>
      <c r="H47" s="44"/>
      <c r="I47" s="44"/>
    </row>
    <row r="48" spans="3:45" x14ac:dyDescent="0.35">
      <c r="C48" s="46"/>
      <c r="D48" s="46"/>
      <c r="E48" s="46"/>
      <c r="F48" s="46"/>
      <c r="G48" s="46"/>
      <c r="H48" s="44"/>
      <c r="I48" s="44"/>
    </row>
    <row r="49" spans="5:9" x14ac:dyDescent="0.35">
      <c r="E49" s="46"/>
      <c r="F49" s="46"/>
      <c r="G49" s="46"/>
      <c r="H49" s="46"/>
      <c r="I49" s="46"/>
    </row>
    <row r="50" spans="5:9" x14ac:dyDescent="0.35">
      <c r="E50" s="46"/>
      <c r="F50" s="46"/>
      <c r="G50" s="46"/>
      <c r="H50" s="46"/>
      <c r="I50" s="46"/>
    </row>
    <row r="51" spans="5:9" x14ac:dyDescent="0.35">
      <c r="E51" s="46"/>
      <c r="F51" s="46"/>
      <c r="G51" s="46"/>
      <c r="H51" s="46"/>
      <c r="I51" s="46"/>
    </row>
    <row r="52" spans="5:9" x14ac:dyDescent="0.35">
      <c r="E52" s="46"/>
      <c r="F52" s="46"/>
      <c r="G52" s="46"/>
      <c r="H52" s="46"/>
      <c r="I52" s="46"/>
    </row>
    <row r="53" spans="5:9" x14ac:dyDescent="0.35">
      <c r="E53" s="46"/>
      <c r="F53" s="46"/>
      <c r="G53" s="46"/>
      <c r="H53" s="46"/>
      <c r="I53" s="46"/>
    </row>
    <row r="54" spans="5:9" x14ac:dyDescent="0.35">
      <c r="H54" s="46"/>
      <c r="I54" s="46"/>
    </row>
    <row r="55" spans="5:9" x14ac:dyDescent="0.35">
      <c r="H55" s="46"/>
      <c r="I55" s="46"/>
    </row>
    <row r="56" spans="5:9" x14ac:dyDescent="0.35">
      <c r="H56" s="46"/>
      <c r="I56" s="46"/>
    </row>
  </sheetData>
  <sortState xmlns:xlrd2="http://schemas.microsoft.com/office/spreadsheetml/2017/richdata2" ref="A9:AJ30">
    <sortCondition ref="A9:A30"/>
  </sortState>
  <mergeCells count="1">
    <mergeCell ref="A7:I7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5">
    <tabColor theme="2"/>
  </sheetPr>
  <dimension ref="A1:AB41"/>
  <sheetViews>
    <sheetView workbookViewId="0">
      <pane xSplit="7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C5" sqref="C5:C6"/>
    </sheetView>
  </sheetViews>
  <sheetFormatPr defaultColWidth="8.7265625" defaultRowHeight="14.5" x14ac:dyDescent="0.35"/>
  <cols>
    <col min="1" max="1" width="8.7265625" style="65"/>
    <col min="2" max="2" width="36.26953125" style="44" customWidth="1"/>
    <col min="3" max="3" width="11.26953125" style="65" customWidth="1"/>
    <col min="4" max="4" width="30.54296875" style="44" customWidth="1"/>
    <col min="5" max="7" width="14.7265625" style="45" customWidth="1"/>
    <col min="8" max="26" width="15.7265625" style="44" customWidth="1"/>
    <col min="27" max="28" width="21.26953125" style="44" customWidth="1"/>
    <col min="29" max="16384" width="8.7265625" style="44"/>
  </cols>
  <sheetData>
    <row r="1" spans="1:28" s="45" customFormat="1" ht="21" x14ac:dyDescent="0.5">
      <c r="A1" s="62" t="s">
        <v>0</v>
      </c>
      <c r="B1" s="53"/>
      <c r="C1" s="66" t="s">
        <v>234</v>
      </c>
      <c r="D1" s="50"/>
      <c r="E1" s="50"/>
      <c r="F1" s="50"/>
      <c r="G1" s="54"/>
      <c r="H1" s="53"/>
      <c r="I1" s="48"/>
      <c r="J1" s="66" t="str">
        <f>$C$1</f>
        <v>High Flyers</v>
      </c>
      <c r="K1" s="53"/>
      <c r="L1" s="53"/>
      <c r="M1" s="48"/>
      <c r="N1" s="53"/>
      <c r="O1" s="53"/>
      <c r="P1" s="66" t="str">
        <f>$C$1</f>
        <v>High Flyers</v>
      </c>
      <c r="Q1" s="48"/>
      <c r="R1" s="48"/>
      <c r="S1" s="53"/>
      <c r="T1" s="48"/>
      <c r="U1" s="53"/>
      <c r="V1" s="53"/>
      <c r="W1" s="66" t="str">
        <f>$C$1</f>
        <v>High Flyers</v>
      </c>
      <c r="X1" s="53"/>
      <c r="Y1" s="48"/>
      <c r="Z1" s="53"/>
      <c r="AA1" s="47"/>
      <c r="AB1" s="47"/>
    </row>
    <row r="2" spans="1:28" s="3" customFormat="1" ht="21" x14ac:dyDescent="0.5">
      <c r="A2" s="47" t="s">
        <v>155</v>
      </c>
      <c r="B2" s="49"/>
      <c r="C2" s="62" t="s">
        <v>235</v>
      </c>
      <c r="D2" s="48"/>
      <c r="E2" s="48"/>
      <c r="F2" s="48"/>
      <c r="G2" s="15"/>
      <c r="H2" s="49"/>
      <c r="I2" s="49"/>
      <c r="J2" s="50" t="str">
        <f>"FY"&amp;$C$4</f>
        <v>FY2018-19</v>
      </c>
      <c r="K2" s="49"/>
      <c r="L2" s="49"/>
      <c r="M2" s="49"/>
      <c r="N2" s="49"/>
      <c r="O2" s="49"/>
      <c r="P2" s="50" t="str">
        <f>"FY"&amp;$C$4</f>
        <v>FY2018-19</v>
      </c>
      <c r="Q2" s="49"/>
      <c r="R2" s="49"/>
      <c r="S2" s="49"/>
      <c r="T2" s="49"/>
      <c r="U2" s="49"/>
      <c r="V2" s="49"/>
      <c r="W2" s="50" t="str">
        <f>"FY"&amp;$C$4</f>
        <v>FY2018-19</v>
      </c>
      <c r="X2" s="49"/>
      <c r="Y2" s="49"/>
      <c r="Z2" s="49"/>
      <c r="AA2" s="47"/>
      <c r="AB2" s="47"/>
    </row>
    <row r="3" spans="1:28" s="45" customFormat="1" ht="15.5" x14ac:dyDescent="0.35">
      <c r="A3" s="63" t="s">
        <v>1</v>
      </c>
      <c r="B3" s="53"/>
      <c r="C3" s="67" t="s">
        <v>236</v>
      </c>
      <c r="D3" s="50"/>
      <c r="E3" s="50"/>
      <c r="F3" s="50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4"/>
    </row>
    <row r="4" spans="1:28" s="45" customFormat="1" ht="15.5" x14ac:dyDescent="0.35">
      <c r="A4" s="63" t="s">
        <v>2</v>
      </c>
      <c r="B4" s="53"/>
      <c r="C4" s="67" t="s">
        <v>171</v>
      </c>
      <c r="D4" s="50"/>
      <c r="E4" s="50"/>
      <c r="F4" s="50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</row>
    <row r="5" spans="1:28" s="45" customFormat="1" ht="15.5" x14ac:dyDescent="0.35">
      <c r="A5" s="63" t="s">
        <v>18</v>
      </c>
      <c r="B5" s="53"/>
      <c r="C5" s="63" t="s">
        <v>444</v>
      </c>
      <c r="D5" s="50"/>
      <c r="E5" s="50"/>
      <c r="F5" s="50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2"/>
      <c r="AB5" s="52"/>
    </row>
    <row r="6" spans="1:28" s="45" customFormat="1" ht="15.5" x14ac:dyDescent="0.35">
      <c r="A6" s="63" t="s">
        <v>19</v>
      </c>
      <c r="B6" s="53"/>
      <c r="C6" s="67" t="s">
        <v>445</v>
      </c>
      <c r="D6" s="50"/>
      <c r="E6" s="50"/>
      <c r="F6" s="50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2"/>
      <c r="AB6" s="52"/>
    </row>
    <row r="7" spans="1:28" s="45" customFormat="1" ht="24" thickBot="1" x14ac:dyDescent="0.6">
      <c r="A7" s="365"/>
      <c r="B7" s="366"/>
      <c r="C7" s="366"/>
      <c r="D7" s="366"/>
      <c r="E7" s="366"/>
      <c r="F7" s="367"/>
      <c r="G7" s="367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2"/>
      <c r="AB7" s="52"/>
    </row>
    <row r="8" spans="1:28" ht="29.5" thickBot="1" x14ac:dyDescent="0.4">
      <c r="A8" s="11" t="s">
        <v>145</v>
      </c>
      <c r="B8" s="12" t="s">
        <v>139</v>
      </c>
      <c r="C8" s="11" t="s">
        <v>152</v>
      </c>
      <c r="D8" s="12" t="s">
        <v>43</v>
      </c>
      <c r="E8" s="13" t="s">
        <v>15</v>
      </c>
      <c r="F8" s="12" t="s">
        <v>16</v>
      </c>
      <c r="G8" s="29" t="s">
        <v>17</v>
      </c>
      <c r="H8" s="26" t="s">
        <v>133</v>
      </c>
      <c r="I8" s="27" t="s">
        <v>134</v>
      </c>
      <c r="J8" s="26" t="s">
        <v>135</v>
      </c>
      <c r="K8" s="27" t="s">
        <v>172</v>
      </c>
      <c r="L8" s="26" t="s">
        <v>173</v>
      </c>
      <c r="M8" s="27" t="s">
        <v>137</v>
      </c>
      <c r="N8" s="27" t="s">
        <v>252</v>
      </c>
      <c r="O8" s="27" t="s">
        <v>253</v>
      </c>
      <c r="P8" s="27" t="s">
        <v>254</v>
      </c>
      <c r="Q8" s="27" t="s">
        <v>255</v>
      </c>
      <c r="R8" s="27" t="s">
        <v>256</v>
      </c>
      <c r="S8" s="27" t="s">
        <v>441</v>
      </c>
      <c r="T8" s="26" t="s">
        <v>258</v>
      </c>
      <c r="U8" s="27" t="s">
        <v>259</v>
      </c>
      <c r="V8" s="27" t="s">
        <v>260</v>
      </c>
      <c r="W8" s="27" t="s">
        <v>442</v>
      </c>
      <c r="X8" s="26" t="s">
        <v>443</v>
      </c>
      <c r="Y8" s="27" t="s">
        <v>137</v>
      </c>
      <c r="Z8" s="12" t="s">
        <v>166</v>
      </c>
      <c r="AA8" s="12" t="s">
        <v>166</v>
      </c>
      <c r="AB8" s="12" t="s">
        <v>167</v>
      </c>
    </row>
    <row r="9" spans="1:28" s="37" customFormat="1" ht="15" thickBot="1" x14ac:dyDescent="0.4">
      <c r="A9" s="96" t="s">
        <v>51</v>
      </c>
      <c r="B9" s="93" t="s">
        <v>27</v>
      </c>
      <c r="C9" s="92" t="s">
        <v>243</v>
      </c>
      <c r="D9" s="93" t="s">
        <v>245</v>
      </c>
      <c r="E9" s="94">
        <v>20000</v>
      </c>
      <c r="F9" s="94">
        <f>SUM(H9:AB9)</f>
        <v>20000</v>
      </c>
      <c r="G9" s="94">
        <f>E9-F9</f>
        <v>0</v>
      </c>
      <c r="H9" s="125"/>
      <c r="I9" s="116"/>
      <c r="J9" s="116"/>
      <c r="K9" s="116">
        <v>20000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44"/>
      <c r="AB9" s="44"/>
    </row>
    <row r="10" spans="1:28" s="37" customFormat="1" ht="15" thickBot="1" x14ac:dyDescent="0.4">
      <c r="A10" s="96" t="s">
        <v>51</v>
      </c>
      <c r="B10" s="93" t="s">
        <v>27</v>
      </c>
      <c r="C10" s="97" t="s">
        <v>244</v>
      </c>
      <c r="D10" s="93" t="s">
        <v>246</v>
      </c>
      <c r="E10" s="94">
        <v>20000</v>
      </c>
      <c r="F10" s="94">
        <f t="shared" ref="F10:F14" si="0">SUM(H10:AB10)</f>
        <v>20000</v>
      </c>
      <c r="G10" s="94">
        <f t="shared" ref="G10:G14" si="1">E10-F10</f>
        <v>0</v>
      </c>
      <c r="H10" s="74"/>
      <c r="I10" s="74"/>
      <c r="J10" s="74"/>
      <c r="K10" s="116">
        <v>20000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44"/>
      <c r="AB10" s="44"/>
    </row>
    <row r="11" spans="1:28" s="37" customFormat="1" ht="15" thickBot="1" x14ac:dyDescent="0.4">
      <c r="A11" s="96" t="s">
        <v>237</v>
      </c>
      <c r="B11" s="93" t="s">
        <v>240</v>
      </c>
      <c r="C11" s="97"/>
      <c r="D11" s="93" t="s">
        <v>247</v>
      </c>
      <c r="E11" s="94">
        <v>10000</v>
      </c>
      <c r="F11" s="94">
        <f t="shared" si="0"/>
        <v>10000</v>
      </c>
      <c r="G11" s="94">
        <f t="shared" si="1"/>
        <v>0</v>
      </c>
      <c r="H11" s="74"/>
      <c r="I11" s="74"/>
      <c r="J11" s="74"/>
      <c r="K11" s="74">
        <v>10000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44"/>
      <c r="AB11" s="44"/>
    </row>
    <row r="12" spans="1:28" s="37" customFormat="1" ht="15" thickBot="1" x14ac:dyDescent="0.4">
      <c r="A12" s="96" t="s">
        <v>53</v>
      </c>
      <c r="B12" s="93" t="s">
        <v>55</v>
      </c>
      <c r="C12" s="97"/>
      <c r="D12" s="93" t="s">
        <v>248</v>
      </c>
      <c r="E12" s="94">
        <v>10000</v>
      </c>
      <c r="F12" s="94">
        <f t="shared" si="0"/>
        <v>10000</v>
      </c>
      <c r="G12" s="94">
        <f t="shared" si="1"/>
        <v>0</v>
      </c>
      <c r="H12" s="74"/>
      <c r="I12" s="74"/>
      <c r="J12" s="74"/>
      <c r="K12" s="74">
        <v>10000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44"/>
      <c r="AB12" s="44"/>
    </row>
    <row r="13" spans="1:28" s="37" customFormat="1" ht="15" thickBot="1" x14ac:dyDescent="0.4">
      <c r="A13" s="96" t="s">
        <v>238</v>
      </c>
      <c r="B13" s="93" t="s">
        <v>241</v>
      </c>
      <c r="C13" s="97"/>
      <c r="D13" s="93" t="s">
        <v>249</v>
      </c>
      <c r="E13" s="94">
        <v>20000</v>
      </c>
      <c r="F13" s="94">
        <f t="shared" si="0"/>
        <v>20000</v>
      </c>
      <c r="G13" s="94">
        <f t="shared" si="1"/>
        <v>0</v>
      </c>
      <c r="H13" s="74"/>
      <c r="I13" s="74"/>
      <c r="J13" s="74"/>
      <c r="K13" s="74">
        <v>20000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44"/>
      <c r="AB13" s="44"/>
    </row>
    <row r="14" spans="1:28" s="37" customFormat="1" ht="15" thickBot="1" x14ac:dyDescent="0.4">
      <c r="A14" s="96" t="s">
        <v>239</v>
      </c>
      <c r="B14" s="93" t="s">
        <v>242</v>
      </c>
      <c r="C14" s="97"/>
      <c r="D14" s="93" t="s">
        <v>250</v>
      </c>
      <c r="E14" s="94">
        <v>20000</v>
      </c>
      <c r="F14" s="94">
        <f t="shared" si="0"/>
        <v>20000</v>
      </c>
      <c r="G14" s="94">
        <f t="shared" si="1"/>
        <v>0</v>
      </c>
      <c r="H14" s="74"/>
      <c r="I14" s="74"/>
      <c r="J14" s="74"/>
      <c r="K14" s="74">
        <v>20000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44"/>
      <c r="AB14" s="44"/>
    </row>
    <row r="15" spans="1:28" ht="15" thickBot="1" x14ac:dyDescent="0.4">
      <c r="A15" s="154"/>
      <c r="B15" s="155"/>
      <c r="C15" s="156"/>
      <c r="D15" s="155"/>
      <c r="E15" s="157"/>
      <c r="F15" s="157"/>
      <c r="G15" s="157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45"/>
      <c r="AB15" s="45"/>
    </row>
    <row r="16" spans="1:28" s="14" customFormat="1" ht="15" thickBot="1" x14ac:dyDescent="0.4">
      <c r="A16" s="98" t="s">
        <v>46</v>
      </c>
      <c r="B16" s="43"/>
      <c r="C16" s="64"/>
      <c r="D16" s="43"/>
      <c r="E16" s="87">
        <f>SUM(E9:E15)</f>
        <v>100000</v>
      </c>
      <c r="F16" s="87">
        <f>SUM(F9:F15)</f>
        <v>100000</v>
      </c>
      <c r="G16" s="87">
        <f>SUM(G9:G15)</f>
        <v>0</v>
      </c>
      <c r="H16" s="87">
        <f>SUM(H9:H14)</f>
        <v>0</v>
      </c>
      <c r="I16" s="87">
        <f>SUM(I9:I14)</f>
        <v>0</v>
      </c>
      <c r="J16" s="87">
        <f>SUM(J9:J14)</f>
        <v>0</v>
      </c>
      <c r="K16" s="87">
        <f t="shared" ref="K16:AB16" si="2">SUM(K9:K15)</f>
        <v>100000</v>
      </c>
      <c r="L16" s="87">
        <f t="shared" si="2"/>
        <v>0</v>
      </c>
      <c r="M16" s="87">
        <f t="shared" si="2"/>
        <v>0</v>
      </c>
      <c r="N16" s="87">
        <f t="shared" si="2"/>
        <v>0</v>
      </c>
      <c r="O16" s="87">
        <f t="shared" si="2"/>
        <v>0</v>
      </c>
      <c r="P16" s="87">
        <f t="shared" si="2"/>
        <v>0</v>
      </c>
      <c r="Q16" s="87">
        <f t="shared" si="2"/>
        <v>0</v>
      </c>
      <c r="R16" s="87">
        <f t="shared" si="2"/>
        <v>0</v>
      </c>
      <c r="S16" s="87">
        <f t="shared" si="2"/>
        <v>0</v>
      </c>
      <c r="T16" s="87">
        <f t="shared" si="2"/>
        <v>0</v>
      </c>
      <c r="U16" s="87">
        <f t="shared" si="2"/>
        <v>0</v>
      </c>
      <c r="V16" s="87">
        <f t="shared" si="2"/>
        <v>0</v>
      </c>
      <c r="W16" s="87">
        <f t="shared" si="2"/>
        <v>0</v>
      </c>
      <c r="X16" s="87">
        <f t="shared" si="2"/>
        <v>0</v>
      </c>
      <c r="Y16" s="87">
        <f t="shared" si="2"/>
        <v>0</v>
      </c>
      <c r="Z16" s="87">
        <f t="shared" si="2"/>
        <v>0</v>
      </c>
      <c r="AA16" s="87">
        <f t="shared" si="2"/>
        <v>0</v>
      </c>
      <c r="AB16" s="87">
        <f t="shared" si="2"/>
        <v>0</v>
      </c>
    </row>
    <row r="17" spans="3:28" x14ac:dyDescent="0.35">
      <c r="E17" s="46"/>
      <c r="F17" s="46"/>
      <c r="G17" s="46"/>
      <c r="AA17" s="30"/>
      <c r="AB17" s="30"/>
    </row>
    <row r="18" spans="3:28" x14ac:dyDescent="0.35">
      <c r="C18" s="46"/>
      <c r="D18" s="46"/>
      <c r="E18" s="46"/>
      <c r="F18" s="44"/>
      <c r="G18" s="44"/>
      <c r="L18" s="30"/>
      <c r="Q18" s="30"/>
      <c r="R18" s="30"/>
      <c r="X18" s="30"/>
      <c r="AA18" s="30"/>
      <c r="AB18" s="30"/>
    </row>
    <row r="19" spans="3:28" x14ac:dyDescent="0.35">
      <c r="C19" s="46"/>
      <c r="D19" s="46"/>
      <c r="E19" s="46"/>
      <c r="F19" s="44"/>
      <c r="G19" s="44"/>
      <c r="Q19" s="30"/>
      <c r="AA19" s="30"/>
      <c r="AB19" s="30"/>
    </row>
    <row r="20" spans="3:28" x14ac:dyDescent="0.35">
      <c r="C20" s="46"/>
      <c r="D20" s="46"/>
      <c r="E20" s="46"/>
      <c r="F20" s="44"/>
      <c r="G20" s="44"/>
      <c r="AA20" s="30"/>
      <c r="AB20" s="30"/>
    </row>
    <row r="21" spans="3:28" x14ac:dyDescent="0.35">
      <c r="C21" s="46"/>
      <c r="D21" s="46"/>
      <c r="E21" s="46"/>
      <c r="F21" s="44"/>
      <c r="G21" s="44"/>
      <c r="AA21" s="30"/>
      <c r="AB21" s="30"/>
    </row>
    <row r="22" spans="3:28" x14ac:dyDescent="0.35">
      <c r="C22" s="46"/>
      <c r="D22" s="46"/>
      <c r="E22" s="46"/>
      <c r="F22" s="44"/>
      <c r="G22" s="44"/>
      <c r="AA22" s="30"/>
      <c r="AB22" s="30"/>
    </row>
    <row r="23" spans="3:28" x14ac:dyDescent="0.35">
      <c r="C23" s="46"/>
      <c r="D23" s="46"/>
      <c r="E23" s="46"/>
      <c r="F23" s="44"/>
      <c r="G23" s="44"/>
      <c r="AA23" s="30"/>
      <c r="AB23" s="30"/>
    </row>
    <row r="24" spans="3:28" x14ac:dyDescent="0.35">
      <c r="C24" s="46"/>
      <c r="D24" s="46"/>
      <c r="E24" s="46"/>
      <c r="F24" s="44"/>
      <c r="G24" s="44"/>
      <c r="AA24" s="30"/>
      <c r="AB24" s="30"/>
    </row>
    <row r="25" spans="3:28" x14ac:dyDescent="0.35">
      <c r="C25" s="46"/>
      <c r="D25" s="46"/>
      <c r="E25" s="46"/>
      <c r="F25" s="44"/>
      <c r="G25" s="44"/>
      <c r="AA25" s="30"/>
      <c r="AB25" s="30"/>
    </row>
    <row r="26" spans="3:28" x14ac:dyDescent="0.35">
      <c r="C26" s="46"/>
      <c r="D26" s="46"/>
      <c r="E26" s="46"/>
      <c r="F26" s="44"/>
      <c r="G26" s="44"/>
      <c r="AA26" s="30"/>
      <c r="AB26" s="30"/>
    </row>
    <row r="27" spans="3:28" x14ac:dyDescent="0.35">
      <c r="C27" s="46"/>
      <c r="D27" s="46"/>
      <c r="E27" s="46"/>
      <c r="F27" s="44"/>
      <c r="G27" s="44"/>
      <c r="AA27" s="30"/>
      <c r="AB27" s="30"/>
    </row>
    <row r="28" spans="3:28" x14ac:dyDescent="0.35">
      <c r="C28" s="46"/>
      <c r="D28" s="46"/>
      <c r="E28" s="46"/>
      <c r="F28" s="44"/>
      <c r="G28" s="44"/>
      <c r="AA28" s="30"/>
      <c r="AB28" s="30"/>
    </row>
    <row r="29" spans="3:28" x14ac:dyDescent="0.35">
      <c r="C29" s="46"/>
      <c r="D29" s="46"/>
      <c r="E29" s="46"/>
      <c r="F29" s="44"/>
      <c r="G29" s="44"/>
      <c r="AA29" s="30"/>
      <c r="AB29" s="30"/>
    </row>
    <row r="30" spans="3:28" x14ac:dyDescent="0.35">
      <c r="C30" s="46"/>
      <c r="D30" s="46"/>
      <c r="E30" s="46"/>
      <c r="F30" s="44"/>
      <c r="G30" s="44"/>
    </row>
    <row r="31" spans="3:28" x14ac:dyDescent="0.35">
      <c r="C31" s="46"/>
      <c r="D31" s="46"/>
      <c r="E31" s="46"/>
      <c r="F31" s="44"/>
      <c r="G31" s="44"/>
    </row>
    <row r="32" spans="3:28" x14ac:dyDescent="0.35">
      <c r="C32" s="46"/>
      <c r="D32" s="46"/>
      <c r="E32" s="46"/>
      <c r="F32" s="44"/>
      <c r="G32" s="44"/>
    </row>
    <row r="33" spans="3:7" x14ac:dyDescent="0.35">
      <c r="C33" s="46"/>
      <c r="D33" s="46"/>
      <c r="E33" s="46"/>
      <c r="F33" s="44"/>
      <c r="G33" s="44"/>
    </row>
    <row r="34" spans="3:7" x14ac:dyDescent="0.35">
      <c r="E34" s="46"/>
      <c r="F34" s="46"/>
      <c r="G34" s="46"/>
    </row>
    <row r="35" spans="3:7" x14ac:dyDescent="0.35">
      <c r="E35" s="46"/>
      <c r="F35" s="46"/>
      <c r="G35" s="46"/>
    </row>
    <row r="36" spans="3:7" x14ac:dyDescent="0.35">
      <c r="E36" s="46"/>
      <c r="F36" s="46"/>
      <c r="G36" s="46"/>
    </row>
    <row r="37" spans="3:7" x14ac:dyDescent="0.35">
      <c r="E37" s="46"/>
      <c r="F37" s="46"/>
      <c r="G37" s="46"/>
    </row>
    <row r="38" spans="3:7" x14ac:dyDescent="0.35">
      <c r="E38" s="46"/>
      <c r="F38" s="46"/>
      <c r="G38" s="46"/>
    </row>
    <row r="39" spans="3:7" x14ac:dyDescent="0.35">
      <c r="F39" s="46"/>
      <c r="G39" s="46"/>
    </row>
    <row r="40" spans="3:7" x14ac:dyDescent="0.35">
      <c r="F40" s="46"/>
      <c r="G40" s="46"/>
    </row>
    <row r="41" spans="3:7" x14ac:dyDescent="0.35">
      <c r="F41" s="46"/>
      <c r="G41" s="46"/>
    </row>
  </sheetData>
  <mergeCells count="1">
    <mergeCell ref="A7:G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9">
    <tabColor theme="2"/>
  </sheetPr>
  <dimension ref="A1:AJ22"/>
  <sheetViews>
    <sheetView workbookViewId="0">
      <pane xSplit="7" ySplit="8" topLeftCell="R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R16" sqref="R16"/>
    </sheetView>
  </sheetViews>
  <sheetFormatPr defaultRowHeight="14.5" x14ac:dyDescent="0.35"/>
  <cols>
    <col min="1" max="1" width="27.26953125" customWidth="1"/>
    <col min="2" max="2" width="42.7265625" customWidth="1"/>
    <col min="3" max="3" width="18.7265625" customWidth="1"/>
    <col min="4" max="4" width="14.54296875" customWidth="1"/>
    <col min="5" max="5" width="14.453125" customWidth="1"/>
    <col min="6" max="6" width="13.26953125" customWidth="1"/>
    <col min="7" max="7" width="12.26953125" customWidth="1"/>
    <col min="10" max="10" width="14.54296875" customWidth="1"/>
    <col min="11" max="11" width="9.26953125" customWidth="1"/>
    <col min="12" max="12" width="13" customWidth="1"/>
    <col min="13" max="13" width="12.54296875" customWidth="1"/>
    <col min="15" max="15" width="12.26953125" customWidth="1"/>
    <col min="21" max="21" width="10.54296875" bestFit="1" customWidth="1"/>
  </cols>
  <sheetData>
    <row r="1" spans="1:36" ht="21" x14ac:dyDescent="0.5">
      <c r="A1" s="47" t="s">
        <v>0</v>
      </c>
      <c r="B1" s="53"/>
      <c r="C1" s="48" t="s">
        <v>88</v>
      </c>
      <c r="D1" s="48"/>
      <c r="E1" s="48"/>
      <c r="F1" s="47"/>
      <c r="G1" s="49"/>
      <c r="H1" s="54"/>
      <c r="I1" s="54"/>
      <c r="J1" s="48"/>
      <c r="K1" s="48"/>
      <c r="L1" s="48"/>
      <c r="M1" s="47"/>
      <c r="N1" s="47" t="str">
        <f>$C$1</f>
        <v>IEL CIVICS</v>
      </c>
      <c r="O1" s="49"/>
      <c r="P1" s="49"/>
      <c r="Q1" s="54"/>
      <c r="R1" s="54"/>
      <c r="S1" s="48"/>
      <c r="T1" s="47" t="str">
        <f>$C$1</f>
        <v>IEL CIVICS</v>
      </c>
      <c r="U1" s="47"/>
      <c r="V1" s="47"/>
      <c r="W1" s="48"/>
      <c r="X1" s="48"/>
      <c r="Y1" s="47"/>
      <c r="Z1" s="47"/>
      <c r="AA1" s="47" t="str">
        <f>$C$1</f>
        <v>IEL CIVICS</v>
      </c>
      <c r="AB1" s="49"/>
      <c r="AC1" s="54"/>
      <c r="AD1" s="54"/>
      <c r="AE1" s="54"/>
      <c r="AF1" s="48"/>
      <c r="AG1" s="47"/>
      <c r="AH1" s="47" t="str">
        <f>$C$1</f>
        <v>IEL CIVICS</v>
      </c>
      <c r="AI1" s="47"/>
      <c r="AJ1" s="47"/>
    </row>
    <row r="2" spans="1:36" ht="19.5" customHeight="1" x14ac:dyDescent="0.5">
      <c r="A2" s="56" t="s">
        <v>155</v>
      </c>
      <c r="B2" s="56"/>
      <c r="C2" s="56" t="s">
        <v>159</v>
      </c>
      <c r="D2" s="47"/>
      <c r="E2" s="47"/>
      <c r="F2" s="47"/>
      <c r="G2" s="126"/>
      <c r="H2" s="126"/>
      <c r="I2" s="126"/>
      <c r="J2" s="15"/>
      <c r="K2" s="15"/>
      <c r="L2" s="15"/>
      <c r="M2" s="15"/>
      <c r="N2" s="51" t="str">
        <f>"FY"&amp;$C$4</f>
        <v>FY2019-20</v>
      </c>
      <c r="O2" s="15"/>
      <c r="P2" s="15"/>
      <c r="Q2" s="15"/>
      <c r="R2" s="15"/>
      <c r="S2" s="15"/>
      <c r="T2" s="131" t="str">
        <f>"FY"&amp;$C$4</f>
        <v>FY2019-20</v>
      </c>
      <c r="U2" s="15"/>
      <c r="V2" s="15"/>
      <c r="W2" s="15"/>
      <c r="X2" s="15"/>
      <c r="Y2" s="15"/>
      <c r="Z2" s="15"/>
      <c r="AA2" s="131" t="str">
        <f>"FY"&amp;$C$4</f>
        <v>FY2019-20</v>
      </c>
      <c r="AB2" s="15"/>
      <c r="AC2" s="15"/>
      <c r="AD2" s="15"/>
      <c r="AE2" s="15"/>
      <c r="AF2" s="15"/>
      <c r="AG2" s="15"/>
      <c r="AH2" s="131" t="str">
        <f>"FY"&amp;$C$4</f>
        <v>FY2019-20</v>
      </c>
      <c r="AI2" s="47"/>
      <c r="AJ2" s="47"/>
    </row>
    <row r="3" spans="1:36" ht="15.5" x14ac:dyDescent="0.35">
      <c r="A3" s="50" t="s">
        <v>1</v>
      </c>
      <c r="B3" s="53"/>
      <c r="C3" s="51">
        <v>6002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 ht="15.5" x14ac:dyDescent="0.35">
      <c r="A4" s="50" t="s">
        <v>2</v>
      </c>
      <c r="B4" s="53"/>
      <c r="C4" s="51" t="s">
        <v>440</v>
      </c>
      <c r="D4" s="51"/>
      <c r="E4" s="51"/>
      <c r="F4" s="19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ht="15.5" x14ac:dyDescent="0.35">
      <c r="A5" s="50" t="s">
        <v>524</v>
      </c>
      <c r="B5" s="50"/>
      <c r="C5" s="67" t="s">
        <v>445</v>
      </c>
      <c r="D5" s="50"/>
      <c r="E5" s="50"/>
      <c r="F5" s="50"/>
      <c r="G5" s="9"/>
      <c r="H5" s="9"/>
      <c r="I5" s="9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</row>
    <row r="6" spans="1:36" ht="15.5" x14ac:dyDescent="0.35">
      <c r="A6" s="50"/>
      <c r="B6" s="50"/>
      <c r="C6" s="67"/>
      <c r="D6" s="50"/>
      <c r="E6" s="50"/>
      <c r="F6" s="50"/>
      <c r="G6" s="9"/>
      <c r="H6" s="9"/>
      <c r="I6" s="9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21.5" thickBot="1" x14ac:dyDescent="0.55000000000000004">
      <c r="A7" s="47"/>
      <c r="B7" s="50"/>
      <c r="C7" s="53"/>
      <c r="D7" s="53"/>
      <c r="E7" s="53"/>
      <c r="F7" s="50"/>
      <c r="G7" s="9"/>
      <c r="H7" s="9"/>
      <c r="I7" s="9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ht="44" thickBot="1" x14ac:dyDescent="0.4">
      <c r="A8" s="11" t="s">
        <v>145</v>
      </c>
      <c r="B8" s="12" t="s">
        <v>139</v>
      </c>
      <c r="C8" s="13" t="s">
        <v>15</v>
      </c>
      <c r="D8" s="55"/>
      <c r="E8" s="55" t="s">
        <v>147</v>
      </c>
      <c r="F8" s="12" t="s">
        <v>16</v>
      </c>
      <c r="G8" s="25" t="s">
        <v>17</v>
      </c>
      <c r="H8" s="26" t="s">
        <v>133</v>
      </c>
      <c r="I8" s="27" t="s">
        <v>134</v>
      </c>
      <c r="J8" s="26" t="s">
        <v>135</v>
      </c>
      <c r="K8" s="27" t="s">
        <v>172</v>
      </c>
      <c r="L8" s="26" t="s">
        <v>173</v>
      </c>
      <c r="M8" s="27" t="s">
        <v>137</v>
      </c>
      <c r="N8" s="27" t="s">
        <v>252</v>
      </c>
      <c r="O8" s="27" t="s">
        <v>253</v>
      </c>
      <c r="P8" s="27" t="s">
        <v>254</v>
      </c>
      <c r="Q8" s="27" t="s">
        <v>255</v>
      </c>
      <c r="R8" s="27" t="s">
        <v>256</v>
      </c>
      <c r="S8" s="27" t="s">
        <v>257</v>
      </c>
      <c r="T8" s="26" t="s">
        <v>258</v>
      </c>
      <c r="U8" s="27" t="s">
        <v>259</v>
      </c>
      <c r="V8" s="27" t="s">
        <v>260</v>
      </c>
      <c r="W8" s="27" t="s">
        <v>442</v>
      </c>
      <c r="X8" s="26" t="s">
        <v>443</v>
      </c>
      <c r="Y8" s="27" t="s">
        <v>137</v>
      </c>
      <c r="Z8" s="12" t="s">
        <v>166</v>
      </c>
      <c r="AA8" s="27" t="s">
        <v>253</v>
      </c>
      <c r="AB8" s="27" t="s">
        <v>254</v>
      </c>
      <c r="AC8" s="27" t="s">
        <v>255</v>
      </c>
      <c r="AD8" s="27" t="s">
        <v>256</v>
      </c>
      <c r="AE8" s="27" t="s">
        <v>257</v>
      </c>
      <c r="AF8" s="26" t="s">
        <v>258</v>
      </c>
      <c r="AG8" s="27" t="s">
        <v>259</v>
      </c>
      <c r="AH8" s="27" t="s">
        <v>260</v>
      </c>
      <c r="AI8" s="12" t="s">
        <v>166</v>
      </c>
      <c r="AJ8" s="12" t="s">
        <v>167</v>
      </c>
    </row>
    <row r="9" spans="1:36" ht="15" thickBot="1" x14ac:dyDescent="0.4">
      <c r="A9" s="103" t="s">
        <v>74</v>
      </c>
      <c r="B9" s="103" t="s">
        <v>265</v>
      </c>
      <c r="C9" s="103">
        <v>137264</v>
      </c>
      <c r="D9" s="103"/>
      <c r="E9" s="247">
        <f t="shared" ref="E9:E16" si="0">C9+D9</f>
        <v>137264</v>
      </c>
      <c r="F9" s="248">
        <f t="shared" ref="F9:F16" si="1">SUM(H9:AH9)</f>
        <v>111765.6</v>
      </c>
      <c r="G9" s="249">
        <f>E9-F9</f>
        <v>25498.399999999994</v>
      </c>
      <c r="H9" s="222"/>
      <c r="I9" s="222"/>
      <c r="J9" s="222"/>
      <c r="K9" s="228"/>
      <c r="L9" s="228"/>
      <c r="M9" s="222">
        <f>3168.78+14806.06+29224.65+7131.03</f>
        <v>54330.520000000004</v>
      </c>
      <c r="N9" s="222">
        <v>11392.91</v>
      </c>
      <c r="O9" s="222"/>
      <c r="P9" s="222">
        <v>23730.26</v>
      </c>
      <c r="Q9" s="222">
        <v>9852.82</v>
      </c>
      <c r="R9" s="244">
        <v>12459.09</v>
      </c>
      <c r="S9" s="222"/>
      <c r="T9" s="222"/>
      <c r="U9" s="227"/>
      <c r="V9" s="227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7"/>
      <c r="AH9" s="227"/>
      <c r="AI9" s="228"/>
      <c r="AJ9" s="228"/>
    </row>
    <row r="10" spans="1:36" ht="15" thickBot="1" x14ac:dyDescent="0.4">
      <c r="A10" s="103" t="s">
        <v>141</v>
      </c>
      <c r="B10" s="197" t="s">
        <v>447</v>
      </c>
      <c r="C10" s="103">
        <v>100856</v>
      </c>
      <c r="D10" s="103"/>
      <c r="E10" s="247">
        <f t="shared" si="0"/>
        <v>100856</v>
      </c>
      <c r="F10" s="248">
        <f t="shared" si="1"/>
        <v>25803.18</v>
      </c>
      <c r="G10" s="249">
        <f t="shared" ref="G10:G16" si="2">E10-F10</f>
        <v>75052.820000000007</v>
      </c>
      <c r="H10" s="222"/>
      <c r="I10" s="222"/>
      <c r="J10" s="222"/>
      <c r="K10" s="222"/>
      <c r="L10" s="245"/>
      <c r="M10" s="222"/>
      <c r="N10" s="222"/>
      <c r="O10" s="222">
        <v>25803.18</v>
      </c>
      <c r="P10" s="222"/>
      <c r="Q10" s="222"/>
      <c r="R10" s="222"/>
      <c r="S10" s="222"/>
      <c r="T10" s="222"/>
      <c r="U10" s="223"/>
      <c r="V10" s="223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3"/>
      <c r="AH10" s="223"/>
      <c r="AI10" s="228"/>
      <c r="AJ10" s="228"/>
    </row>
    <row r="11" spans="1:36" ht="15" thickBot="1" x14ac:dyDescent="0.4">
      <c r="A11" s="103" t="s">
        <v>7</v>
      </c>
      <c r="B11" s="103" t="s">
        <v>8</v>
      </c>
      <c r="C11" s="103">
        <v>100000</v>
      </c>
      <c r="D11" s="103"/>
      <c r="E11" s="247">
        <f t="shared" si="0"/>
        <v>100000</v>
      </c>
      <c r="F11" s="248">
        <f t="shared" si="1"/>
        <v>70596.459999999992</v>
      </c>
      <c r="G11" s="249">
        <f t="shared" si="2"/>
        <v>29403.540000000008</v>
      </c>
      <c r="H11" s="222"/>
      <c r="I11" s="222"/>
      <c r="J11" s="222"/>
      <c r="K11" s="222"/>
      <c r="L11" s="228"/>
      <c r="M11" s="222"/>
      <c r="N11" s="222">
        <v>42504.75</v>
      </c>
      <c r="O11" s="222"/>
      <c r="P11" s="222"/>
      <c r="Q11" s="222">
        <v>28091.71</v>
      </c>
      <c r="R11" s="222"/>
      <c r="S11" s="222"/>
      <c r="T11" s="222"/>
      <c r="U11" s="227"/>
      <c r="V11" s="227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7"/>
      <c r="AH11" s="227"/>
      <c r="AI11" s="228"/>
      <c r="AJ11" s="228"/>
    </row>
    <row r="12" spans="1:36" ht="15" thickBot="1" x14ac:dyDescent="0.4">
      <c r="A12" s="103" t="s">
        <v>9</v>
      </c>
      <c r="B12" s="103" t="s">
        <v>77</v>
      </c>
      <c r="C12" s="103">
        <v>111880</v>
      </c>
      <c r="D12" s="103"/>
      <c r="E12" s="247">
        <f t="shared" si="0"/>
        <v>111880</v>
      </c>
      <c r="F12" s="248">
        <f t="shared" si="1"/>
        <v>97963.63</v>
      </c>
      <c r="G12" s="249">
        <f t="shared" si="2"/>
        <v>13916.369999999995</v>
      </c>
      <c r="H12" s="222"/>
      <c r="I12" s="222"/>
      <c r="J12" s="222">
        <v>3595.2</v>
      </c>
      <c r="K12" s="222"/>
      <c r="L12" s="228">
        <v>12264.87</v>
      </c>
      <c r="M12" s="222">
        <v>13447.25</v>
      </c>
      <c r="N12" s="222">
        <f>11741.21+9916.29</f>
        <v>21657.5</v>
      </c>
      <c r="O12" s="222"/>
      <c r="P12" s="222">
        <v>9340.0300000000007</v>
      </c>
      <c r="Q12" s="222">
        <v>10679.38</v>
      </c>
      <c r="R12" s="222">
        <v>26979.4</v>
      </c>
      <c r="S12" s="222"/>
      <c r="T12" s="222"/>
      <c r="U12" s="227"/>
      <c r="V12" s="227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7"/>
      <c r="AH12" s="227"/>
      <c r="AI12" s="228"/>
      <c r="AJ12" s="228"/>
    </row>
    <row r="13" spans="1:36" ht="15" thickBot="1" x14ac:dyDescent="0.4">
      <c r="A13" s="103" t="s">
        <v>11</v>
      </c>
      <c r="B13" s="103" t="s">
        <v>12</v>
      </c>
      <c r="C13" s="103">
        <v>100000</v>
      </c>
      <c r="D13" s="103"/>
      <c r="E13" s="247">
        <f t="shared" si="0"/>
        <v>100000</v>
      </c>
      <c r="F13" s="248">
        <f t="shared" si="1"/>
        <v>4224.6099999999997</v>
      </c>
      <c r="G13" s="249">
        <f t="shared" si="2"/>
        <v>95775.39</v>
      </c>
      <c r="H13" s="222"/>
      <c r="I13" s="222"/>
      <c r="J13" s="222"/>
      <c r="K13" s="222">
        <v>4224.6099999999997</v>
      </c>
      <c r="L13" s="228"/>
      <c r="M13" s="222"/>
      <c r="N13" s="222"/>
      <c r="O13" s="222"/>
      <c r="P13" s="222"/>
      <c r="Q13" s="222"/>
      <c r="R13" s="222"/>
      <c r="S13" s="222"/>
      <c r="T13" s="222"/>
      <c r="U13" s="227"/>
      <c r="V13" s="227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7"/>
      <c r="AH13" s="227"/>
      <c r="AI13" s="227"/>
      <c r="AJ13" s="227"/>
    </row>
    <row r="14" spans="1:36" ht="15" thickBot="1" x14ac:dyDescent="0.4">
      <c r="A14" s="103" t="s">
        <v>71</v>
      </c>
      <c r="B14" s="103" t="s">
        <v>262</v>
      </c>
      <c r="C14" s="103">
        <v>100000</v>
      </c>
      <c r="D14" s="103"/>
      <c r="E14" s="247">
        <f t="shared" si="0"/>
        <v>100000</v>
      </c>
      <c r="F14" s="248">
        <f t="shared" si="1"/>
        <v>89072.52</v>
      </c>
      <c r="G14" s="249">
        <f t="shared" si="2"/>
        <v>10927.479999999996</v>
      </c>
      <c r="H14" s="222"/>
      <c r="I14" s="222"/>
      <c r="J14" s="222">
        <v>9498.33</v>
      </c>
      <c r="K14" s="222">
        <v>9333.2900000000009</v>
      </c>
      <c r="L14" s="222">
        <v>9628.33</v>
      </c>
      <c r="M14" s="222">
        <v>9328.39</v>
      </c>
      <c r="N14" s="222">
        <v>9328.39</v>
      </c>
      <c r="O14" s="222">
        <v>8371.94</v>
      </c>
      <c r="P14" s="228">
        <v>17182.28</v>
      </c>
      <c r="Q14" s="222">
        <v>7447.54</v>
      </c>
      <c r="R14" s="222">
        <v>8954.0300000000007</v>
      </c>
      <c r="S14" s="222"/>
      <c r="T14" s="222"/>
      <c r="U14" s="227"/>
      <c r="V14" s="227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7"/>
      <c r="AH14" s="227"/>
      <c r="AI14" s="227"/>
      <c r="AJ14" s="227"/>
    </row>
    <row r="15" spans="1:36" ht="15" thickBot="1" x14ac:dyDescent="0.4">
      <c r="A15" s="103" t="s">
        <v>13</v>
      </c>
      <c r="B15" s="103" t="s">
        <v>264</v>
      </c>
      <c r="C15" s="103">
        <v>100000</v>
      </c>
      <c r="D15" s="103"/>
      <c r="E15" s="247">
        <f t="shared" si="0"/>
        <v>100000</v>
      </c>
      <c r="F15" s="248">
        <f t="shared" si="1"/>
        <v>38899.700000000004</v>
      </c>
      <c r="G15" s="249">
        <f t="shared" si="2"/>
        <v>61100.299999999996</v>
      </c>
      <c r="H15" s="222"/>
      <c r="I15" s="222"/>
      <c r="J15" s="222">
        <v>2324</v>
      </c>
      <c r="K15" s="222"/>
      <c r="L15" s="222">
        <f>12789+4079.29</f>
        <v>16868.29</v>
      </c>
      <c r="M15" s="222">
        <v>3384.52</v>
      </c>
      <c r="N15" s="222">
        <v>1348</v>
      </c>
      <c r="O15" s="222">
        <v>1812</v>
      </c>
      <c r="P15" s="222">
        <v>6504</v>
      </c>
      <c r="Q15" s="222">
        <v>2818.77</v>
      </c>
      <c r="R15" s="222">
        <v>3840.12</v>
      </c>
      <c r="S15" s="222"/>
      <c r="T15" s="222"/>
      <c r="U15" s="227"/>
      <c r="V15" s="227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7"/>
      <c r="AH15" s="227"/>
      <c r="AI15" s="228"/>
      <c r="AJ15" s="228"/>
    </row>
    <row r="16" spans="1:36" ht="15" thickBot="1" x14ac:dyDescent="0.4">
      <c r="A16" s="103" t="s">
        <v>73</v>
      </c>
      <c r="B16" s="103" t="s">
        <v>180</v>
      </c>
      <c r="C16" s="103">
        <v>100000</v>
      </c>
      <c r="D16" s="103"/>
      <c r="E16" s="247">
        <f t="shared" si="0"/>
        <v>100000</v>
      </c>
      <c r="F16" s="248">
        <f t="shared" si="1"/>
        <v>69792.87000000001</v>
      </c>
      <c r="G16" s="249">
        <f t="shared" si="2"/>
        <v>30207.12999999999</v>
      </c>
      <c r="H16" s="222"/>
      <c r="I16" s="222"/>
      <c r="J16" s="222"/>
      <c r="K16" s="222"/>
      <c r="L16" s="222">
        <f>24246+8942.78</f>
        <v>33188.78</v>
      </c>
      <c r="M16" s="222">
        <v>16469.02</v>
      </c>
      <c r="N16" s="222">
        <v>8719.52</v>
      </c>
      <c r="O16" s="222"/>
      <c r="P16" s="222">
        <v>11415.55</v>
      </c>
      <c r="Q16" s="222"/>
      <c r="R16" s="222"/>
      <c r="S16" s="222"/>
      <c r="T16" s="222"/>
      <c r="U16" s="227"/>
      <c r="V16" s="227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7"/>
      <c r="AH16" s="227"/>
      <c r="AI16" s="228"/>
      <c r="AJ16" s="228"/>
    </row>
    <row r="17" spans="1:36" ht="15" thickBot="1" x14ac:dyDescent="0.4">
      <c r="A17" s="44"/>
      <c r="B17" s="44"/>
      <c r="C17" s="44"/>
      <c r="D17" s="44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</row>
    <row r="18" spans="1:36" ht="15" thickBot="1" x14ac:dyDescent="0.4">
      <c r="A18" s="77" t="s">
        <v>46</v>
      </c>
      <c r="B18" s="42"/>
      <c r="C18" s="78">
        <f>SUM(C9:C16)</f>
        <v>850000</v>
      </c>
      <c r="D18" s="78">
        <f t="shared" ref="D18:AE18" si="3">SUM(D9:D16)</f>
        <v>0</v>
      </c>
      <c r="E18" s="246">
        <f t="shared" si="3"/>
        <v>850000</v>
      </c>
      <c r="F18" s="246">
        <f t="shared" si="3"/>
        <v>508118.57</v>
      </c>
      <c r="G18" s="246">
        <f t="shared" si="3"/>
        <v>341881.43</v>
      </c>
      <c r="H18" s="246">
        <f t="shared" si="3"/>
        <v>0</v>
      </c>
      <c r="I18" s="246">
        <f t="shared" si="3"/>
        <v>0</v>
      </c>
      <c r="J18" s="246">
        <f t="shared" si="3"/>
        <v>15417.529999999999</v>
      </c>
      <c r="K18" s="246">
        <f t="shared" si="3"/>
        <v>13557.900000000001</v>
      </c>
      <c r="L18" s="246">
        <f t="shared" si="3"/>
        <v>71950.27</v>
      </c>
      <c r="M18" s="246">
        <f t="shared" si="3"/>
        <v>96959.700000000012</v>
      </c>
      <c r="N18" s="246">
        <f t="shared" si="3"/>
        <v>94951.07</v>
      </c>
      <c r="O18" s="246">
        <f t="shared" si="3"/>
        <v>35987.120000000003</v>
      </c>
      <c r="P18" s="246">
        <f t="shared" si="3"/>
        <v>68172.12</v>
      </c>
      <c r="Q18" s="246">
        <f t="shared" si="3"/>
        <v>58890.219999999994</v>
      </c>
      <c r="R18" s="246">
        <f t="shared" si="3"/>
        <v>52232.640000000007</v>
      </c>
      <c r="S18" s="246">
        <f t="shared" si="3"/>
        <v>0</v>
      </c>
      <c r="T18" s="246">
        <f t="shared" si="3"/>
        <v>0</v>
      </c>
      <c r="U18" s="246">
        <f t="shared" si="3"/>
        <v>0</v>
      </c>
      <c r="V18" s="246">
        <f t="shared" si="3"/>
        <v>0</v>
      </c>
      <c r="W18" s="246">
        <f t="shared" si="3"/>
        <v>0</v>
      </c>
      <c r="X18" s="246">
        <f t="shared" si="3"/>
        <v>0</v>
      </c>
      <c r="Y18" s="246">
        <f t="shared" si="3"/>
        <v>0</v>
      </c>
      <c r="Z18" s="246">
        <f t="shared" si="3"/>
        <v>0</v>
      </c>
      <c r="AA18" s="246">
        <f t="shared" si="3"/>
        <v>0</v>
      </c>
      <c r="AB18" s="246">
        <f t="shared" si="3"/>
        <v>0</v>
      </c>
      <c r="AC18" s="246">
        <f t="shared" si="3"/>
        <v>0</v>
      </c>
      <c r="AD18" s="246">
        <f t="shared" si="3"/>
        <v>0</v>
      </c>
      <c r="AE18" s="246">
        <f t="shared" si="3"/>
        <v>0</v>
      </c>
      <c r="AF18" s="246">
        <f t="shared" ref="AF18:AJ18" si="4">SUM(AF9:AF15)</f>
        <v>0</v>
      </c>
      <c r="AG18" s="246">
        <f t="shared" si="4"/>
        <v>0</v>
      </c>
      <c r="AH18" s="246">
        <f t="shared" si="4"/>
        <v>0</v>
      </c>
      <c r="AI18" s="246">
        <f t="shared" si="4"/>
        <v>0</v>
      </c>
      <c r="AJ18" s="246">
        <f t="shared" si="4"/>
        <v>0</v>
      </c>
    </row>
    <row r="19" spans="1:36" x14ac:dyDescent="0.35"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>
        <v>58890.22</v>
      </c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</row>
    <row r="20" spans="1:36" x14ac:dyDescent="0.35"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</row>
    <row r="21" spans="1:36" x14ac:dyDescent="0.35"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</row>
    <row r="22" spans="1:36" x14ac:dyDescent="0.35"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</row>
  </sheetData>
  <sheetProtection algorithmName="SHA-512" hashValue="La93r1PAOJ1P0fdsYrpI2HHRT6ZuiMH2ddEDEgw0lv6MExncM2vtRVfLbTEru4bJu1ZAenLMy25Dg7MuO3aScg==" saltValue="FRiKni0TaH1t0/W9MMgyTQ==" spinCount="100000" sheet="1" objects="1" scenarios="1"/>
  <dataValidations count="1">
    <dataValidation type="list" allowBlank="1" showInputMessage="1" showErrorMessage="1" sqref="A9:A16" xr:uid="{00000000-0002-0000-0A00-000000000000}">
      <formula1>INDIRECT($A9)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/>
  </sheetPr>
  <dimension ref="A1:AD15"/>
  <sheetViews>
    <sheetView workbookViewId="0">
      <selection activeCell="K35" sqref="K35"/>
    </sheetView>
  </sheetViews>
  <sheetFormatPr defaultRowHeight="14.5" x14ac:dyDescent="0.35"/>
  <cols>
    <col min="3" max="30" width="15.7265625" customWidth="1"/>
  </cols>
  <sheetData>
    <row r="1" spans="1:30" ht="21" x14ac:dyDescent="0.5">
      <c r="A1" s="47" t="s">
        <v>0</v>
      </c>
      <c r="B1" s="53"/>
      <c r="C1" s="48" t="s">
        <v>138</v>
      </c>
      <c r="D1" s="48"/>
      <c r="E1" s="48"/>
      <c r="F1" s="47"/>
      <c r="G1" s="49"/>
      <c r="H1" s="48"/>
      <c r="I1" s="48"/>
      <c r="J1" s="48"/>
      <c r="K1" s="47"/>
      <c r="L1" s="47"/>
      <c r="M1" s="49"/>
      <c r="N1" s="47" t="str">
        <f>$C$1</f>
        <v xml:space="preserve">Javits Gifted and Talented - Right 4 Rural </v>
      </c>
      <c r="O1" s="54"/>
      <c r="P1" s="54"/>
      <c r="Q1" s="48"/>
      <c r="R1" s="48"/>
      <c r="S1" s="47"/>
      <c r="T1" s="47" t="str">
        <f>$C$1</f>
        <v xml:space="preserve">Javits Gifted and Talented - Right 4 Rural </v>
      </c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ht="21" x14ac:dyDescent="0.5">
      <c r="A2" s="47" t="s">
        <v>155</v>
      </c>
      <c r="B2" s="49"/>
      <c r="C2" s="47" t="s">
        <v>154</v>
      </c>
      <c r="D2" s="47"/>
      <c r="E2" s="47"/>
      <c r="F2" s="50"/>
      <c r="G2" s="9"/>
      <c r="H2" s="9"/>
      <c r="I2" s="9"/>
      <c r="J2" s="9"/>
      <c r="K2" s="52"/>
      <c r="L2" s="52"/>
      <c r="M2" s="52"/>
      <c r="N2" s="131" t="str">
        <f>"FY"&amp;$C$4</f>
        <v>FY2018-19</v>
      </c>
      <c r="O2" s="52"/>
      <c r="P2" s="52"/>
      <c r="Q2" s="52"/>
      <c r="R2" s="52"/>
      <c r="S2" s="52"/>
      <c r="T2" s="131" t="str">
        <f>"FY"&amp;$C$4</f>
        <v>FY2018-19</v>
      </c>
      <c r="U2" s="52"/>
      <c r="V2" s="52"/>
      <c r="W2" s="52"/>
      <c r="X2" s="52"/>
      <c r="Y2" s="52"/>
      <c r="Z2" s="52"/>
      <c r="AA2" s="52"/>
      <c r="AB2" s="52"/>
      <c r="AC2" s="47"/>
      <c r="AD2" s="47"/>
    </row>
    <row r="3" spans="1:30" ht="15.5" x14ac:dyDescent="0.35">
      <c r="A3" s="50" t="s">
        <v>1</v>
      </c>
      <c r="B3" s="53"/>
      <c r="C3" s="51">
        <v>5206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15.5" x14ac:dyDescent="0.35">
      <c r="A4" s="50" t="s">
        <v>2</v>
      </c>
      <c r="B4" s="53"/>
      <c r="C4" s="51" t="s">
        <v>171</v>
      </c>
      <c r="D4" s="51"/>
      <c r="E4" s="51"/>
      <c r="F4" s="50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1:30" ht="15.5" x14ac:dyDescent="0.35">
      <c r="A5" s="50" t="s">
        <v>18</v>
      </c>
      <c r="B5" s="53"/>
      <c r="C5" s="50" t="s">
        <v>251</v>
      </c>
      <c r="D5" s="50"/>
      <c r="E5" s="50"/>
      <c r="F5" s="50"/>
      <c r="G5" s="9"/>
      <c r="H5" s="9"/>
      <c r="I5" s="9"/>
      <c r="J5" s="9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1:30" ht="15.5" x14ac:dyDescent="0.35">
      <c r="A6" s="50" t="s">
        <v>19</v>
      </c>
      <c r="B6" s="53"/>
      <c r="C6" s="50" t="s">
        <v>45</v>
      </c>
      <c r="D6" s="50"/>
      <c r="E6" s="50"/>
      <c r="F6" s="50"/>
      <c r="G6" s="9"/>
      <c r="H6" s="9"/>
      <c r="I6" s="9"/>
      <c r="J6" s="9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16" thickBot="1" x14ac:dyDescent="0.4">
      <c r="A7" s="50"/>
      <c r="B7" s="53"/>
      <c r="C7" s="50"/>
      <c r="D7" s="50"/>
      <c r="E7" s="50"/>
      <c r="F7" s="50"/>
      <c r="G7" s="9"/>
      <c r="H7" s="9"/>
      <c r="I7" s="9"/>
      <c r="J7" s="9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ht="44" thickBot="1" x14ac:dyDescent="0.4">
      <c r="A8" s="127" t="s">
        <v>145</v>
      </c>
      <c r="B8" s="12" t="s">
        <v>139</v>
      </c>
      <c r="C8" s="12" t="s">
        <v>15</v>
      </c>
      <c r="D8" s="55" t="s">
        <v>112</v>
      </c>
      <c r="E8" s="55" t="s">
        <v>147</v>
      </c>
      <c r="F8" s="13" t="s">
        <v>16</v>
      </c>
      <c r="G8" s="29" t="s">
        <v>17</v>
      </c>
      <c r="H8" s="26" t="s">
        <v>57</v>
      </c>
      <c r="I8" s="27" t="s">
        <v>58</v>
      </c>
      <c r="J8" s="26" t="s">
        <v>59</v>
      </c>
      <c r="K8" s="27" t="s">
        <v>60</v>
      </c>
      <c r="L8" s="26" t="s">
        <v>61</v>
      </c>
      <c r="M8" s="27" t="s">
        <v>62</v>
      </c>
      <c r="N8" s="27" t="s">
        <v>63</v>
      </c>
      <c r="O8" s="27" t="s">
        <v>64</v>
      </c>
      <c r="P8" s="27" t="s">
        <v>65</v>
      </c>
      <c r="Q8" s="27" t="s">
        <v>125</v>
      </c>
      <c r="R8" s="27" t="s">
        <v>126</v>
      </c>
      <c r="S8" s="27" t="s">
        <v>136</v>
      </c>
      <c r="T8" s="27" t="s">
        <v>127</v>
      </c>
      <c r="U8" s="27" t="s">
        <v>128</v>
      </c>
      <c r="V8" s="27" t="s">
        <v>129</v>
      </c>
      <c r="W8" s="27" t="s">
        <v>130</v>
      </c>
      <c r="X8" s="27" t="s">
        <v>131</v>
      </c>
      <c r="Y8" s="27" t="s">
        <v>132</v>
      </c>
      <c r="Z8" s="27" t="s">
        <v>133</v>
      </c>
      <c r="AA8" s="27" t="s">
        <v>134</v>
      </c>
      <c r="AB8" s="27" t="s">
        <v>135</v>
      </c>
      <c r="AC8" s="12" t="s">
        <v>166</v>
      </c>
      <c r="AD8" s="12" t="s">
        <v>167</v>
      </c>
    </row>
    <row r="9" spans="1:30" ht="15" thickBot="1" x14ac:dyDescent="0.4">
      <c r="A9" s="105"/>
      <c r="B9" s="106"/>
      <c r="C9" s="107"/>
      <c r="D9" s="103">
        <v>0</v>
      </c>
      <c r="E9" s="103">
        <f>C9+D9</f>
        <v>0</v>
      </c>
      <c r="F9" s="107">
        <f>SUM(H9:AC9)</f>
        <v>0</v>
      </c>
      <c r="G9" s="107">
        <f>C9-F9</f>
        <v>0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44"/>
      <c r="AD9" s="44"/>
    </row>
    <row r="10" spans="1:30" ht="15" thickBot="1" x14ac:dyDescent="0.4">
      <c r="A10" s="70"/>
      <c r="B10" s="123"/>
      <c r="C10" s="107"/>
      <c r="D10" s="103">
        <v>0</v>
      </c>
      <c r="E10" s="103">
        <f t="shared" ref="E10:E15" si="0">C10+D10</f>
        <v>0</v>
      </c>
      <c r="F10" s="107">
        <f>SUM(H10:AC10)</f>
        <v>0</v>
      </c>
      <c r="G10" s="107">
        <f t="shared" ref="G10:G12" si="1">C10-F10</f>
        <v>0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44"/>
      <c r="AD10" s="44"/>
    </row>
    <row r="11" spans="1:30" ht="15" thickBot="1" x14ac:dyDescent="0.4">
      <c r="A11" s="124"/>
      <c r="B11" s="123"/>
      <c r="C11" s="107"/>
      <c r="D11" s="103">
        <v>0</v>
      </c>
      <c r="E11" s="103">
        <f t="shared" si="0"/>
        <v>0</v>
      </c>
      <c r="F11" s="107">
        <f>SUM(H11:AC11)</f>
        <v>0</v>
      </c>
      <c r="G11" s="107">
        <f t="shared" si="1"/>
        <v>0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44"/>
      <c r="AD11" s="44"/>
    </row>
    <row r="12" spans="1:30" ht="15" thickBot="1" x14ac:dyDescent="0.4">
      <c r="A12" s="70"/>
      <c r="B12" s="123"/>
      <c r="C12" s="107"/>
      <c r="D12" s="103">
        <v>0</v>
      </c>
      <c r="E12" s="103">
        <f t="shared" si="0"/>
        <v>0</v>
      </c>
      <c r="F12" s="107">
        <f>SUM(H12:AB12)</f>
        <v>0</v>
      </c>
      <c r="G12" s="107">
        <f t="shared" si="1"/>
        <v>0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75"/>
      <c r="AD12" s="75"/>
    </row>
    <row r="13" spans="1:30" ht="15" thickBot="1" x14ac:dyDescent="0.4">
      <c r="A13" s="70"/>
      <c r="B13" s="123"/>
      <c r="C13" s="107"/>
      <c r="D13" s="103">
        <v>0</v>
      </c>
      <c r="E13" s="103">
        <f>C13+D13</f>
        <v>0</v>
      </c>
      <c r="F13" s="107">
        <f>SUM(H13:AC13)</f>
        <v>0</v>
      </c>
      <c r="G13" s="107">
        <f>C13-F13</f>
        <v>0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44"/>
      <c r="AD13" s="44"/>
    </row>
    <row r="14" spans="1:30" ht="15" thickBot="1" x14ac:dyDescent="0.4">
      <c r="A14" s="70"/>
      <c r="B14" s="123"/>
      <c r="C14" s="109"/>
      <c r="D14" s="103"/>
      <c r="E14" s="103"/>
      <c r="F14" s="107"/>
      <c r="G14" s="107"/>
      <c r="H14" s="108"/>
      <c r="I14" s="108"/>
      <c r="J14" s="108"/>
      <c r="K14" s="108"/>
      <c r="L14" s="108"/>
      <c r="M14" s="108"/>
      <c r="N14" s="108"/>
      <c r="O14" s="108"/>
      <c r="P14" s="108"/>
      <c r="Q14" s="108" t="s">
        <v>33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75"/>
      <c r="AD14" s="75"/>
    </row>
    <row r="15" spans="1:30" ht="15" thickBot="1" x14ac:dyDescent="0.4">
      <c r="A15" s="72" t="s">
        <v>46</v>
      </c>
      <c r="B15" s="42"/>
      <c r="C15" s="73">
        <f>SUM(C9:C12)</f>
        <v>0</v>
      </c>
      <c r="D15" s="117">
        <v>0</v>
      </c>
      <c r="E15" s="117">
        <f t="shared" si="0"/>
        <v>0</v>
      </c>
      <c r="F15" s="73">
        <f t="shared" ref="F15:AD15" si="2">SUM(F9:F12)</f>
        <v>0</v>
      </c>
      <c r="G15" s="73">
        <f t="shared" si="2"/>
        <v>0</v>
      </c>
      <c r="H15" s="73">
        <f t="shared" si="2"/>
        <v>0</v>
      </c>
      <c r="I15" s="73">
        <f t="shared" si="2"/>
        <v>0</v>
      </c>
      <c r="J15" s="73">
        <f t="shared" si="2"/>
        <v>0</v>
      </c>
      <c r="K15" s="73">
        <f t="shared" si="2"/>
        <v>0</v>
      </c>
      <c r="L15" s="73">
        <f t="shared" si="2"/>
        <v>0</v>
      </c>
      <c r="M15" s="73">
        <f t="shared" si="2"/>
        <v>0</v>
      </c>
      <c r="N15" s="73">
        <f t="shared" si="2"/>
        <v>0</v>
      </c>
      <c r="O15" s="73">
        <f t="shared" si="2"/>
        <v>0</v>
      </c>
      <c r="P15" s="73">
        <f t="shared" si="2"/>
        <v>0</v>
      </c>
      <c r="Q15" s="73">
        <f t="shared" si="2"/>
        <v>0</v>
      </c>
      <c r="R15" s="73">
        <f t="shared" si="2"/>
        <v>0</v>
      </c>
      <c r="S15" s="73">
        <f t="shared" si="2"/>
        <v>0</v>
      </c>
      <c r="T15" s="73">
        <f t="shared" si="2"/>
        <v>0</v>
      </c>
      <c r="U15" s="73">
        <f t="shared" si="2"/>
        <v>0</v>
      </c>
      <c r="V15" s="73">
        <f t="shared" si="2"/>
        <v>0</v>
      </c>
      <c r="W15" s="73">
        <f t="shared" si="2"/>
        <v>0</v>
      </c>
      <c r="X15" s="73">
        <f t="shared" si="2"/>
        <v>0</v>
      </c>
      <c r="Y15" s="73">
        <f t="shared" si="2"/>
        <v>0</v>
      </c>
      <c r="Z15" s="73">
        <f t="shared" si="2"/>
        <v>0</v>
      </c>
      <c r="AA15" s="73">
        <f t="shared" si="2"/>
        <v>0</v>
      </c>
      <c r="AB15" s="73">
        <f t="shared" si="2"/>
        <v>0</v>
      </c>
      <c r="AC15" s="73">
        <f t="shared" si="2"/>
        <v>0</v>
      </c>
      <c r="AD15" s="73">
        <f t="shared" si="2"/>
        <v>0</v>
      </c>
    </row>
  </sheetData>
  <sheetProtection algorithmName="SHA-512" hashValue="v6JOr2seKewSnceDUvGMDkDSNi+oQvq7L65fcLMZGU7gJvpOtUp4itWoTPuq8YGL4cDhkCDkwr7v13l5UblZLg==" saltValue="DYvGgJCeeaJadFj8hLGnow==" spinCount="100000" sheet="1" objects="1" scenarios="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/>
  </sheetPr>
  <dimension ref="A1:AJ11"/>
  <sheetViews>
    <sheetView workbookViewId="0">
      <pane xSplit="7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L27" sqref="L27"/>
    </sheetView>
  </sheetViews>
  <sheetFormatPr defaultRowHeight="14.5" x14ac:dyDescent="0.35"/>
  <cols>
    <col min="3" max="36" width="15.7265625" customWidth="1"/>
  </cols>
  <sheetData>
    <row r="1" spans="1:36" ht="21" x14ac:dyDescent="0.5">
      <c r="A1" s="47" t="s">
        <v>0</v>
      </c>
      <c r="B1" s="53"/>
      <c r="C1" s="48" t="s">
        <v>138</v>
      </c>
      <c r="D1" s="48"/>
      <c r="E1" s="48"/>
      <c r="F1" s="47"/>
      <c r="G1" s="49"/>
      <c r="H1" s="48"/>
      <c r="I1" s="48"/>
      <c r="J1" s="48"/>
      <c r="K1" s="47"/>
      <c r="L1" s="47"/>
      <c r="M1" s="49"/>
      <c r="N1" s="47" t="str">
        <f>$C$1</f>
        <v xml:space="preserve">Javits Gifted and Talented - Right 4 Rural </v>
      </c>
      <c r="O1" s="54"/>
      <c r="P1" s="54"/>
      <c r="Q1" s="48"/>
      <c r="R1" s="48"/>
      <c r="S1" s="47"/>
      <c r="T1" s="47" t="str">
        <f>$C$1</f>
        <v xml:space="preserve">Javits Gifted and Talented - Right 4 Rural </v>
      </c>
      <c r="U1" s="47"/>
      <c r="V1" s="47"/>
      <c r="W1" s="47"/>
      <c r="X1" s="47"/>
      <c r="Y1" s="47"/>
      <c r="Z1" s="47"/>
      <c r="AA1" s="47" t="str">
        <f>$C$1</f>
        <v xml:space="preserve">Javits Gifted and Talented - Right 4 Rural </v>
      </c>
      <c r="AB1" s="54"/>
      <c r="AC1" s="54"/>
      <c r="AD1" s="54"/>
      <c r="AE1" s="54"/>
      <c r="AF1" s="54"/>
      <c r="AG1" s="54"/>
      <c r="AH1" s="54"/>
      <c r="AI1" s="47"/>
      <c r="AJ1" s="47"/>
    </row>
    <row r="2" spans="1:36" ht="21" x14ac:dyDescent="0.5">
      <c r="A2" s="47" t="s">
        <v>155</v>
      </c>
      <c r="B2" s="49"/>
      <c r="C2" s="47" t="s">
        <v>154</v>
      </c>
      <c r="D2" s="47"/>
      <c r="E2" s="47"/>
      <c r="F2" s="50"/>
      <c r="G2" s="9"/>
      <c r="H2" s="9"/>
      <c r="I2" s="9"/>
      <c r="J2" s="9"/>
      <c r="K2" s="52"/>
      <c r="L2" s="52"/>
      <c r="M2" s="52"/>
      <c r="N2" s="131" t="str">
        <f>"FY"&amp;$C$4</f>
        <v>FY2018-19</v>
      </c>
      <c r="O2" s="52"/>
      <c r="P2" s="52"/>
      <c r="Q2" s="52"/>
      <c r="R2" s="52"/>
      <c r="S2" s="52"/>
      <c r="T2" s="131" t="str">
        <f>"FY"&amp;$C$4</f>
        <v>FY2018-19</v>
      </c>
      <c r="U2" s="52"/>
      <c r="V2" s="52"/>
      <c r="W2" s="52"/>
      <c r="X2" s="52"/>
      <c r="Y2" s="52"/>
      <c r="Z2" s="52"/>
      <c r="AA2" s="131" t="str">
        <f>"FY"&amp;$C$4</f>
        <v>FY2018-19</v>
      </c>
      <c r="AB2" s="54"/>
      <c r="AC2" s="54"/>
      <c r="AD2" s="54"/>
      <c r="AE2" s="54"/>
      <c r="AF2" s="54"/>
      <c r="AG2" s="54"/>
      <c r="AH2" s="54"/>
      <c r="AI2" s="47"/>
      <c r="AJ2" s="47"/>
    </row>
    <row r="3" spans="1:36" ht="15.5" x14ac:dyDescent="0.35">
      <c r="A3" s="50" t="s">
        <v>1</v>
      </c>
      <c r="B3" s="53"/>
      <c r="C3" s="51">
        <v>5206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 ht="15.5" x14ac:dyDescent="0.35">
      <c r="A4" s="50" t="s">
        <v>2</v>
      </c>
      <c r="B4" s="53"/>
      <c r="C4" s="51" t="s">
        <v>171</v>
      </c>
      <c r="D4" s="51"/>
      <c r="E4" s="51"/>
      <c r="F4" s="50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ht="15.5" x14ac:dyDescent="0.35">
      <c r="A5" s="50" t="s">
        <v>18</v>
      </c>
      <c r="B5" s="53"/>
      <c r="C5" s="50" t="s">
        <v>251</v>
      </c>
      <c r="D5" s="50"/>
      <c r="E5" s="50"/>
      <c r="F5" s="50"/>
      <c r="G5" s="9"/>
      <c r="H5" s="9"/>
      <c r="I5" s="9"/>
      <c r="J5" s="9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4"/>
      <c r="AC5" s="54"/>
      <c r="AD5" s="54"/>
      <c r="AE5" s="54"/>
      <c r="AF5" s="54"/>
      <c r="AG5" s="54"/>
      <c r="AH5" s="54"/>
      <c r="AI5" s="52"/>
      <c r="AJ5" s="52"/>
    </row>
    <row r="6" spans="1:36" ht="15.5" x14ac:dyDescent="0.35">
      <c r="A6" s="50" t="s">
        <v>19</v>
      </c>
      <c r="B6" s="53"/>
      <c r="C6" s="50" t="s">
        <v>21</v>
      </c>
      <c r="D6" s="50"/>
      <c r="E6" s="50"/>
      <c r="F6" s="50"/>
      <c r="G6" s="9"/>
      <c r="H6" s="9"/>
      <c r="I6" s="9"/>
      <c r="J6" s="9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21.5" thickBot="1" x14ac:dyDescent="0.55000000000000004">
      <c r="A7" s="47"/>
      <c r="B7" s="53"/>
      <c r="C7" s="19"/>
      <c r="D7" s="19"/>
      <c r="E7" s="19"/>
      <c r="F7" s="19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ht="44" thickBot="1" x14ac:dyDescent="0.4">
      <c r="A8" s="127" t="s">
        <v>145</v>
      </c>
      <c r="B8" s="12" t="s">
        <v>139</v>
      </c>
      <c r="C8" s="12" t="s">
        <v>15</v>
      </c>
      <c r="D8" s="55" t="s">
        <v>112</v>
      </c>
      <c r="E8" s="55" t="s">
        <v>147</v>
      </c>
      <c r="F8" s="13" t="s">
        <v>16</v>
      </c>
      <c r="G8" s="29" t="s">
        <v>17</v>
      </c>
      <c r="H8" s="59" t="s">
        <v>63</v>
      </c>
      <c r="I8" s="55" t="s">
        <v>64</v>
      </c>
      <c r="J8" s="59" t="s">
        <v>65</v>
      </c>
      <c r="K8" s="55" t="s">
        <v>125</v>
      </c>
      <c r="L8" s="59" t="s">
        <v>126</v>
      </c>
      <c r="M8" s="55" t="s">
        <v>136</v>
      </c>
      <c r="N8" s="55" t="s">
        <v>127</v>
      </c>
      <c r="O8" s="55" t="s">
        <v>128</v>
      </c>
      <c r="P8" s="55" t="s">
        <v>129</v>
      </c>
      <c r="Q8" s="55" t="s">
        <v>130</v>
      </c>
      <c r="R8" s="55" t="s">
        <v>131</v>
      </c>
      <c r="S8" s="55" t="s">
        <v>132</v>
      </c>
      <c r="T8" s="59" t="s">
        <v>133</v>
      </c>
      <c r="U8" s="59" t="s">
        <v>134</v>
      </c>
      <c r="V8" s="59" t="s">
        <v>135</v>
      </c>
      <c r="W8" s="59" t="s">
        <v>172</v>
      </c>
      <c r="X8" s="59" t="s">
        <v>173</v>
      </c>
      <c r="Y8" s="59" t="s">
        <v>137</v>
      </c>
      <c r="Z8" s="59" t="s">
        <v>252</v>
      </c>
      <c r="AA8" s="59" t="s">
        <v>253</v>
      </c>
      <c r="AB8" s="59" t="s">
        <v>254</v>
      </c>
      <c r="AC8" s="59" t="s">
        <v>255</v>
      </c>
      <c r="AD8" s="59" t="s">
        <v>256</v>
      </c>
      <c r="AE8" s="59" t="s">
        <v>257</v>
      </c>
      <c r="AF8" s="59" t="s">
        <v>133</v>
      </c>
      <c r="AG8" s="59" t="s">
        <v>134</v>
      </c>
      <c r="AH8" s="59" t="s">
        <v>135</v>
      </c>
      <c r="AI8" s="12" t="s">
        <v>166</v>
      </c>
      <c r="AJ8" s="12" t="s">
        <v>167</v>
      </c>
    </row>
    <row r="9" spans="1:36" ht="15" thickBot="1" x14ac:dyDescent="0.4">
      <c r="A9" s="105"/>
      <c r="B9" s="106"/>
      <c r="C9" s="148"/>
      <c r="D9" s="149">
        <v>0</v>
      </c>
      <c r="E9" s="149">
        <f>C9+D9</f>
        <v>0</v>
      </c>
      <c r="F9" s="148">
        <f>SUM(H9:AL9)</f>
        <v>0</v>
      </c>
      <c r="G9" s="150">
        <f>C9-F9</f>
        <v>0</v>
      </c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68"/>
      <c r="AJ9" s="68"/>
    </row>
    <row r="10" spans="1:36" ht="15" thickBot="1" x14ac:dyDescent="0.4">
      <c r="A10" s="70"/>
      <c r="B10" s="76"/>
      <c r="C10" s="152"/>
      <c r="D10" s="152"/>
      <c r="E10" s="152"/>
      <c r="F10" s="152"/>
      <c r="G10" s="152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68"/>
      <c r="AJ10" s="68"/>
    </row>
    <row r="11" spans="1:36" ht="15" thickBot="1" x14ac:dyDescent="0.4">
      <c r="A11" s="72" t="s">
        <v>46</v>
      </c>
      <c r="B11" s="42"/>
      <c r="C11" s="153">
        <f t="shared" ref="C11:AJ11" si="0">SUM(C9:C10)</f>
        <v>0</v>
      </c>
      <c r="D11" s="153">
        <v>0</v>
      </c>
      <c r="E11" s="153">
        <f>C11+D11</f>
        <v>0</v>
      </c>
      <c r="F11" s="153">
        <f t="shared" si="0"/>
        <v>0</v>
      </c>
      <c r="G11" s="153">
        <f t="shared" si="0"/>
        <v>0</v>
      </c>
      <c r="H11" s="153">
        <f t="shared" si="0"/>
        <v>0</v>
      </c>
      <c r="I11" s="153">
        <f t="shared" si="0"/>
        <v>0</v>
      </c>
      <c r="J11" s="153">
        <f t="shared" si="0"/>
        <v>0</v>
      </c>
      <c r="K11" s="153">
        <f t="shared" si="0"/>
        <v>0</v>
      </c>
      <c r="L11" s="153">
        <f t="shared" si="0"/>
        <v>0</v>
      </c>
      <c r="M11" s="153">
        <f t="shared" si="0"/>
        <v>0</v>
      </c>
      <c r="N11" s="153">
        <f t="shared" si="0"/>
        <v>0</v>
      </c>
      <c r="O11" s="153">
        <f t="shared" si="0"/>
        <v>0</v>
      </c>
      <c r="P11" s="153">
        <f t="shared" si="0"/>
        <v>0</v>
      </c>
      <c r="Q11" s="153">
        <f t="shared" si="0"/>
        <v>0</v>
      </c>
      <c r="R11" s="153">
        <f t="shared" si="0"/>
        <v>0</v>
      </c>
      <c r="S11" s="153">
        <f t="shared" si="0"/>
        <v>0</v>
      </c>
      <c r="T11" s="153">
        <f t="shared" si="0"/>
        <v>0</v>
      </c>
      <c r="U11" s="153">
        <f t="shared" si="0"/>
        <v>0</v>
      </c>
      <c r="V11" s="153">
        <f t="shared" si="0"/>
        <v>0</v>
      </c>
      <c r="W11" s="153">
        <f t="shared" si="0"/>
        <v>0</v>
      </c>
      <c r="X11" s="153">
        <f t="shared" si="0"/>
        <v>0</v>
      </c>
      <c r="Y11" s="153">
        <f t="shared" si="0"/>
        <v>0</v>
      </c>
      <c r="Z11" s="153">
        <f t="shared" si="0"/>
        <v>0</v>
      </c>
      <c r="AA11" s="153">
        <f t="shared" si="0"/>
        <v>0</v>
      </c>
      <c r="AB11" s="153">
        <f t="shared" si="0"/>
        <v>0</v>
      </c>
      <c r="AC11" s="153">
        <f t="shared" si="0"/>
        <v>0</v>
      </c>
      <c r="AD11" s="153">
        <f t="shared" si="0"/>
        <v>0</v>
      </c>
      <c r="AE11" s="153">
        <f t="shared" si="0"/>
        <v>0</v>
      </c>
      <c r="AF11" s="153">
        <f t="shared" si="0"/>
        <v>0</v>
      </c>
      <c r="AG11" s="153">
        <f t="shared" si="0"/>
        <v>0</v>
      </c>
      <c r="AH11" s="153">
        <f t="shared" si="0"/>
        <v>0</v>
      </c>
      <c r="AI11" s="153">
        <f t="shared" si="0"/>
        <v>0</v>
      </c>
      <c r="AJ11" s="153">
        <f t="shared" si="0"/>
        <v>0</v>
      </c>
    </row>
  </sheetData>
  <sheetProtection algorithmName="SHA-512" hashValue="T//sy19S02Bj1yn1aM/9o/MsjSjBj1HctsaSM5k2kK/m4cgelX5i9WQ47dI5rDWrQqyroR9Iczdy8Aw91Zn3XA==" saltValue="7inmFkTYxRMrfxM7ZJa4uA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2"/>
  </sheetPr>
  <dimension ref="A1:AV22"/>
  <sheetViews>
    <sheetView workbookViewId="0">
      <selection activeCell="B27" sqref="B27"/>
    </sheetView>
  </sheetViews>
  <sheetFormatPr defaultColWidth="9.1796875" defaultRowHeight="14.5" x14ac:dyDescent="0.35"/>
  <cols>
    <col min="1" max="1" width="27.26953125" style="44" customWidth="1"/>
    <col min="2" max="2" width="42.7265625" style="44" customWidth="1"/>
    <col min="3" max="3" width="18.7265625" style="44" customWidth="1"/>
    <col min="4" max="4" width="14.54296875" style="44" customWidth="1"/>
    <col min="5" max="5" width="12.54296875" style="44" customWidth="1"/>
    <col min="6" max="6" width="14.54296875" style="44" hidden="1" customWidth="1"/>
    <col min="7" max="7" width="12.54296875" style="44" customWidth="1"/>
    <col min="8" max="8" width="12.54296875" style="44" hidden="1" customWidth="1"/>
    <col min="9" max="9" width="13.54296875" style="44" customWidth="1"/>
    <col min="10" max="10" width="14" style="44" customWidth="1"/>
    <col min="11" max="11" width="15.7265625" style="44" customWidth="1"/>
    <col min="12" max="12" width="17.26953125" style="44" customWidth="1"/>
    <col min="13" max="13" width="11.81640625" style="44" customWidth="1"/>
    <col min="14" max="14" width="13.7265625" style="44" customWidth="1"/>
    <col min="15" max="18" width="12.26953125" style="44" customWidth="1"/>
    <col min="19" max="19" width="9.1796875" style="44"/>
    <col min="20" max="20" width="13.453125" style="44" customWidth="1"/>
    <col min="21" max="21" width="9.1796875" style="44"/>
    <col min="22" max="22" width="13.1796875" style="44" customWidth="1"/>
    <col min="23" max="23" width="9.1796875" style="44"/>
    <col min="24" max="24" width="14.54296875" style="44" customWidth="1"/>
    <col min="25" max="25" width="9.1796875" style="44"/>
    <col min="26" max="26" width="10.54296875" style="44" customWidth="1"/>
    <col min="27" max="32" width="9.1796875" style="44"/>
    <col min="33" max="33" width="10.54296875" style="44" bestFit="1" customWidth="1"/>
    <col min="34" max="16384" width="9.1796875" style="44"/>
  </cols>
  <sheetData>
    <row r="1" spans="1:48" ht="21" x14ac:dyDescent="0.5">
      <c r="A1" s="47" t="s">
        <v>0</v>
      </c>
      <c r="B1" s="53"/>
      <c r="C1" s="48" t="s">
        <v>88</v>
      </c>
      <c r="D1" s="48"/>
      <c r="E1" s="47"/>
      <c r="F1" s="47"/>
      <c r="G1" s="47"/>
      <c r="H1" s="47"/>
      <c r="I1" s="47" t="str">
        <f>$C$1</f>
        <v>IEL CIVICS</v>
      </c>
      <c r="J1" s="47"/>
      <c r="K1" s="47"/>
      <c r="L1" s="47"/>
      <c r="M1" s="47"/>
      <c r="N1" s="47"/>
      <c r="O1" s="49"/>
      <c r="P1" s="49"/>
      <c r="Q1" s="49"/>
      <c r="R1" s="49"/>
      <c r="S1" s="49"/>
      <c r="T1" s="49"/>
      <c r="U1" s="49"/>
      <c r="V1" s="49"/>
      <c r="W1" s="54"/>
      <c r="X1" s="54"/>
      <c r="Y1" s="54"/>
      <c r="Z1" s="54"/>
      <c r="AA1" s="54"/>
      <c r="AB1" s="54"/>
      <c r="AC1" s="54"/>
      <c r="AD1" s="54"/>
      <c r="AE1" s="48"/>
      <c r="AF1" s="47" t="str">
        <f>$C$1</f>
        <v>IEL CIVICS</v>
      </c>
      <c r="AG1" s="47"/>
      <c r="AH1" s="47"/>
      <c r="AI1" s="48"/>
      <c r="AJ1" s="48"/>
      <c r="AK1" s="47"/>
      <c r="AL1" s="47"/>
      <c r="AM1" s="47" t="str">
        <f>$C$1</f>
        <v>IEL CIVICS</v>
      </c>
      <c r="AN1" s="49"/>
      <c r="AO1" s="54"/>
      <c r="AP1" s="54"/>
      <c r="AQ1" s="54"/>
      <c r="AR1" s="48"/>
      <c r="AS1" s="47"/>
      <c r="AT1" s="47" t="str">
        <f>$C$1</f>
        <v>IEL CIVICS</v>
      </c>
      <c r="AU1" s="47"/>
      <c r="AV1" s="47"/>
    </row>
    <row r="2" spans="1:48" ht="19.5" customHeight="1" x14ac:dyDescent="0.5">
      <c r="A2" s="56" t="s">
        <v>155</v>
      </c>
      <c r="B2" s="56"/>
      <c r="C2" s="56" t="s">
        <v>488</v>
      </c>
      <c r="D2" s="47"/>
      <c r="E2" s="15"/>
      <c r="F2" s="15"/>
      <c r="G2" s="15"/>
      <c r="H2" s="15"/>
      <c r="I2" s="51" t="str">
        <f>"FY"&amp;$C$4</f>
        <v>FY2019-20</v>
      </c>
      <c r="J2" s="51"/>
      <c r="K2" s="51"/>
      <c r="L2" s="51"/>
      <c r="M2" s="51"/>
      <c r="N2" s="51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31" t="str">
        <f>"FY"&amp;$C$4</f>
        <v>FY2019-20</v>
      </c>
      <c r="AG2" s="15"/>
      <c r="AH2" s="15"/>
      <c r="AI2" s="15"/>
      <c r="AJ2" s="15"/>
      <c r="AK2" s="15"/>
      <c r="AL2" s="15"/>
      <c r="AM2" s="131" t="str">
        <f>"FY"&amp;$C$4</f>
        <v>FY2019-20</v>
      </c>
      <c r="AN2" s="15"/>
      <c r="AO2" s="15"/>
      <c r="AP2" s="15"/>
      <c r="AQ2" s="15"/>
      <c r="AR2" s="15"/>
      <c r="AS2" s="15"/>
      <c r="AT2" s="131" t="str">
        <f>"FY"&amp;$C$4</f>
        <v>FY2019-20</v>
      </c>
      <c r="AU2" s="47"/>
      <c r="AV2" s="47"/>
    </row>
    <row r="3" spans="1:48" ht="15.5" x14ac:dyDescent="0.35">
      <c r="A3" s="50" t="s">
        <v>1</v>
      </c>
      <c r="B3" s="53"/>
      <c r="C3" s="51">
        <v>6002</v>
      </c>
      <c r="D3" s="51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</row>
    <row r="4" spans="1:48" ht="15.5" x14ac:dyDescent="0.35">
      <c r="A4" s="50" t="s">
        <v>2</v>
      </c>
      <c r="B4" s="53"/>
      <c r="C4" s="51" t="s">
        <v>440</v>
      </c>
      <c r="D4" s="51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</row>
    <row r="5" spans="1:48" ht="15.5" x14ac:dyDescent="0.35">
      <c r="A5" s="50" t="s">
        <v>18</v>
      </c>
      <c r="B5" s="50"/>
      <c r="C5" s="63" t="s">
        <v>444</v>
      </c>
      <c r="D5" s="50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</row>
    <row r="6" spans="1:48" ht="15.5" x14ac:dyDescent="0.35">
      <c r="A6" s="50" t="s">
        <v>19</v>
      </c>
      <c r="B6" s="50"/>
      <c r="C6" s="67" t="s">
        <v>445</v>
      </c>
      <c r="D6" s="50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</row>
    <row r="7" spans="1:48" ht="21.5" thickBot="1" x14ac:dyDescent="0.55000000000000004">
      <c r="A7" s="47"/>
      <c r="B7" s="50"/>
      <c r="C7" s="53"/>
      <c r="D7" s="53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</row>
    <row r="8" spans="1:48" ht="58.5" thickBot="1" x14ac:dyDescent="0.4">
      <c r="A8" s="301" t="s">
        <v>145</v>
      </c>
      <c r="B8" s="300" t="s">
        <v>139</v>
      </c>
      <c r="C8" s="300" t="s">
        <v>479</v>
      </c>
      <c r="D8" s="298" t="s">
        <v>498</v>
      </c>
      <c r="E8" s="27" t="s">
        <v>480</v>
      </c>
      <c r="F8" s="27" t="s">
        <v>500</v>
      </c>
      <c r="G8" s="27" t="s">
        <v>499</v>
      </c>
      <c r="H8" s="27" t="s">
        <v>501</v>
      </c>
      <c r="I8" s="336" t="s">
        <v>489</v>
      </c>
      <c r="J8" s="336" t="s">
        <v>500</v>
      </c>
      <c r="K8" s="316" t="s">
        <v>511</v>
      </c>
      <c r="L8" s="316" t="s">
        <v>501</v>
      </c>
      <c r="M8" s="336" t="s">
        <v>490</v>
      </c>
      <c r="N8" s="336" t="s">
        <v>482</v>
      </c>
      <c r="O8" s="27" t="s">
        <v>491</v>
      </c>
      <c r="P8" s="27" t="s">
        <v>483</v>
      </c>
      <c r="Q8" s="27" t="s">
        <v>492</v>
      </c>
      <c r="R8" s="27" t="s">
        <v>484</v>
      </c>
      <c r="S8" s="27" t="s">
        <v>493</v>
      </c>
      <c r="T8" s="27" t="s">
        <v>485</v>
      </c>
      <c r="U8" s="27" t="s">
        <v>494</v>
      </c>
      <c r="V8" s="27" t="s">
        <v>486</v>
      </c>
      <c r="W8" s="26" t="s">
        <v>495</v>
      </c>
      <c r="X8" s="27" t="s">
        <v>487</v>
      </c>
      <c r="Y8" s="27" t="s">
        <v>496</v>
      </c>
      <c r="Z8" s="27" t="s">
        <v>481</v>
      </c>
      <c r="AA8" s="27" t="s">
        <v>497</v>
      </c>
      <c r="AB8" s="27"/>
      <c r="AC8" s="27"/>
      <c r="AD8" s="27"/>
      <c r="AE8" s="27" t="s">
        <v>441</v>
      </c>
      <c r="AF8" s="26" t="s">
        <v>258</v>
      </c>
      <c r="AG8" s="27" t="s">
        <v>259</v>
      </c>
      <c r="AH8" s="27" t="s">
        <v>260</v>
      </c>
      <c r="AI8" s="27" t="s">
        <v>442</v>
      </c>
      <c r="AJ8" s="26" t="s">
        <v>443</v>
      </c>
      <c r="AK8" s="27" t="s">
        <v>137</v>
      </c>
      <c r="AL8" s="12" t="s">
        <v>166</v>
      </c>
      <c r="AM8" s="27" t="s">
        <v>253</v>
      </c>
      <c r="AN8" s="27" t="s">
        <v>254</v>
      </c>
      <c r="AO8" s="27" t="s">
        <v>255</v>
      </c>
      <c r="AP8" s="27" t="s">
        <v>256</v>
      </c>
      <c r="AQ8" s="27" t="s">
        <v>257</v>
      </c>
      <c r="AR8" s="26" t="s">
        <v>258</v>
      </c>
      <c r="AS8" s="27" t="s">
        <v>259</v>
      </c>
      <c r="AT8" s="27" t="s">
        <v>260</v>
      </c>
      <c r="AU8" s="12" t="s">
        <v>166</v>
      </c>
      <c r="AV8" s="12" t="s">
        <v>167</v>
      </c>
    </row>
    <row r="9" spans="1:48" ht="15" thickBot="1" x14ac:dyDescent="0.4">
      <c r="A9" s="103" t="s">
        <v>74</v>
      </c>
      <c r="B9" s="302" t="s">
        <v>265</v>
      </c>
      <c r="C9" s="340">
        <v>54906</v>
      </c>
      <c r="D9" s="341">
        <v>10600</v>
      </c>
      <c r="E9" s="332"/>
      <c r="F9" s="333">
        <f>C9-E9</f>
        <v>54906</v>
      </c>
      <c r="G9" s="332"/>
      <c r="H9" s="332"/>
      <c r="I9" s="337">
        <v>27453</v>
      </c>
      <c r="J9" s="337">
        <f>C9-E9-I9</f>
        <v>27453</v>
      </c>
      <c r="K9" s="335">
        <v>3524</v>
      </c>
      <c r="L9" s="335">
        <f>D9-K9</f>
        <v>7076</v>
      </c>
      <c r="M9" s="337"/>
      <c r="N9" s="337"/>
      <c r="O9" s="334"/>
      <c r="P9" s="334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44"/>
      <c r="AB9" s="244"/>
      <c r="AC9" s="244"/>
      <c r="AD9" s="244"/>
      <c r="AE9" s="222"/>
      <c r="AF9" s="222"/>
      <c r="AG9" s="227"/>
      <c r="AH9" s="227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7"/>
      <c r="AT9" s="227"/>
      <c r="AU9" s="228"/>
      <c r="AV9" s="228"/>
    </row>
    <row r="10" spans="1:48" ht="15" thickBot="1" x14ac:dyDescent="0.4">
      <c r="A10" s="103" t="s">
        <v>141</v>
      </c>
      <c r="B10" s="319" t="s">
        <v>447</v>
      </c>
      <c r="C10" s="321">
        <v>40342</v>
      </c>
      <c r="D10" s="322"/>
      <c r="E10" s="330"/>
      <c r="F10" s="330">
        <f t="shared" ref="F10:F17" si="0">C10-E10</f>
        <v>40342</v>
      </c>
      <c r="G10" s="330"/>
      <c r="H10" s="330"/>
      <c r="I10" s="338"/>
      <c r="J10" s="338">
        <f>C10-I10</f>
        <v>40342</v>
      </c>
      <c r="K10" s="317"/>
      <c r="L10" s="335">
        <f t="shared" ref="L10:L17" si="1">D10-K10</f>
        <v>0</v>
      </c>
      <c r="M10" s="338"/>
      <c r="N10" s="338"/>
      <c r="O10" s="323"/>
      <c r="P10" s="323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3"/>
      <c r="AH10" s="223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3"/>
      <c r="AT10" s="223"/>
      <c r="AU10" s="228"/>
      <c r="AV10" s="228"/>
    </row>
    <row r="11" spans="1:48" ht="15" thickBot="1" x14ac:dyDescent="0.4">
      <c r="A11" s="103" t="s">
        <v>7</v>
      </c>
      <c r="B11" s="302" t="s">
        <v>8</v>
      </c>
      <c r="C11" s="321">
        <v>40000</v>
      </c>
      <c r="D11" s="322">
        <v>35249</v>
      </c>
      <c r="E11" s="330"/>
      <c r="F11" s="330">
        <f t="shared" si="0"/>
        <v>40000</v>
      </c>
      <c r="G11" s="330"/>
      <c r="H11" s="330"/>
      <c r="I11" s="338">
        <v>23641.58</v>
      </c>
      <c r="J11" s="338">
        <f t="shared" ref="J11:J17" si="2">C11-I11</f>
        <v>16358.419999999998</v>
      </c>
      <c r="K11" s="317">
        <v>12137</v>
      </c>
      <c r="L11" s="335">
        <f t="shared" si="1"/>
        <v>23112</v>
      </c>
      <c r="M11" s="338"/>
      <c r="N11" s="338"/>
      <c r="O11" s="323"/>
      <c r="P11" s="323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7"/>
      <c r="AH11" s="227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7"/>
      <c r="AT11" s="227"/>
      <c r="AU11" s="228"/>
      <c r="AV11" s="228"/>
    </row>
    <row r="12" spans="1:48" ht="15" thickBot="1" x14ac:dyDescent="0.4">
      <c r="A12" s="103" t="s">
        <v>9</v>
      </c>
      <c r="B12" s="302" t="s">
        <v>77</v>
      </c>
      <c r="C12" s="321">
        <v>44752</v>
      </c>
      <c r="D12" s="322">
        <v>4400</v>
      </c>
      <c r="E12" s="330">
        <f>3729+3729+3729+406.03</f>
        <v>11593.03</v>
      </c>
      <c r="F12" s="330">
        <f t="shared" si="0"/>
        <v>33158.97</v>
      </c>
      <c r="G12" s="330"/>
      <c r="H12" s="330"/>
      <c r="I12" s="338">
        <v>22374</v>
      </c>
      <c r="J12" s="338">
        <f t="shared" si="2"/>
        <v>22378</v>
      </c>
      <c r="K12" s="317">
        <v>984</v>
      </c>
      <c r="L12" s="335">
        <f t="shared" si="1"/>
        <v>3416</v>
      </c>
      <c r="M12" s="338"/>
      <c r="N12" s="338"/>
      <c r="O12" s="323"/>
      <c r="P12" s="323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7"/>
      <c r="AH12" s="227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7"/>
      <c r="AT12" s="227"/>
      <c r="AU12" s="228"/>
      <c r="AV12" s="228"/>
    </row>
    <row r="13" spans="1:48" ht="15" thickBot="1" x14ac:dyDescent="0.4">
      <c r="A13" s="103" t="s">
        <v>11</v>
      </c>
      <c r="B13" s="302" t="s">
        <v>12</v>
      </c>
      <c r="C13" s="321">
        <v>40000</v>
      </c>
      <c r="D13" s="322">
        <v>0</v>
      </c>
      <c r="E13" s="330">
        <v>13870.3</v>
      </c>
      <c r="F13" s="330">
        <f t="shared" si="0"/>
        <v>26129.7</v>
      </c>
      <c r="G13" s="330"/>
      <c r="H13" s="330"/>
      <c r="I13" s="338"/>
      <c r="J13" s="338">
        <f t="shared" si="2"/>
        <v>40000</v>
      </c>
      <c r="K13" s="317"/>
      <c r="L13" s="335">
        <f t="shared" si="1"/>
        <v>0</v>
      </c>
      <c r="M13" s="338"/>
      <c r="N13" s="338"/>
      <c r="O13" s="323"/>
      <c r="P13" s="323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7"/>
      <c r="AH13" s="227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7"/>
      <c r="AT13" s="227"/>
      <c r="AU13" s="227"/>
      <c r="AV13" s="227"/>
    </row>
    <row r="14" spans="1:48" ht="15" thickBot="1" x14ac:dyDescent="0.4">
      <c r="A14" s="103" t="s">
        <v>71</v>
      </c>
      <c r="B14" s="302" t="s">
        <v>262</v>
      </c>
      <c r="C14" s="321">
        <v>40000</v>
      </c>
      <c r="D14" s="322">
        <v>840</v>
      </c>
      <c r="E14" s="330">
        <v>18622.77</v>
      </c>
      <c r="F14" s="330">
        <f t="shared" si="0"/>
        <v>21377.23</v>
      </c>
      <c r="G14" s="330">
        <v>840</v>
      </c>
      <c r="H14" s="330"/>
      <c r="I14" s="338">
        <v>18622.77</v>
      </c>
      <c r="J14" s="338">
        <f t="shared" si="2"/>
        <v>21377.23</v>
      </c>
      <c r="K14" s="317">
        <v>840</v>
      </c>
      <c r="L14" s="335">
        <f t="shared" si="1"/>
        <v>0</v>
      </c>
      <c r="M14" s="338">
        <v>24763.88</v>
      </c>
      <c r="N14" s="338">
        <v>840</v>
      </c>
      <c r="O14" s="323"/>
      <c r="P14" s="323"/>
      <c r="Q14" s="222"/>
      <c r="R14" s="222"/>
      <c r="S14" s="228"/>
      <c r="T14" s="228"/>
      <c r="U14" s="228"/>
      <c r="V14" s="228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7"/>
      <c r="AH14" s="227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7"/>
      <c r="AT14" s="227"/>
      <c r="AU14" s="227"/>
      <c r="AV14" s="227"/>
    </row>
    <row r="15" spans="1:48" ht="15" thickBot="1" x14ac:dyDescent="0.4">
      <c r="A15" s="103" t="s">
        <v>13</v>
      </c>
      <c r="B15" s="302" t="s">
        <v>264</v>
      </c>
      <c r="C15" s="321">
        <v>40000</v>
      </c>
      <c r="D15" s="322">
        <v>0</v>
      </c>
      <c r="E15" s="330">
        <v>40000</v>
      </c>
      <c r="F15" s="330">
        <f t="shared" si="0"/>
        <v>0</v>
      </c>
      <c r="G15" s="330"/>
      <c r="H15" s="330"/>
      <c r="I15" s="338">
        <v>40000</v>
      </c>
      <c r="J15" s="338">
        <f t="shared" si="2"/>
        <v>0</v>
      </c>
      <c r="K15" s="317">
        <v>0</v>
      </c>
      <c r="L15" s="335">
        <f t="shared" si="1"/>
        <v>0</v>
      </c>
      <c r="M15" s="338">
        <v>40000</v>
      </c>
      <c r="N15" s="338">
        <v>0</v>
      </c>
      <c r="O15" s="323"/>
      <c r="P15" s="323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7"/>
      <c r="AH15" s="227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7"/>
      <c r="AT15" s="227"/>
      <c r="AU15" s="228"/>
      <c r="AV15" s="228"/>
    </row>
    <row r="16" spans="1:48" ht="15" thickBot="1" x14ac:dyDescent="0.4">
      <c r="A16" s="103" t="s">
        <v>73</v>
      </c>
      <c r="B16" s="302" t="s">
        <v>180</v>
      </c>
      <c r="C16" s="321">
        <v>40000</v>
      </c>
      <c r="D16" s="322">
        <v>0</v>
      </c>
      <c r="E16" s="330"/>
      <c r="F16" s="330">
        <f t="shared" si="0"/>
        <v>40000</v>
      </c>
      <c r="G16" s="330"/>
      <c r="H16" s="330"/>
      <c r="I16" s="338"/>
      <c r="J16" s="338">
        <f t="shared" si="2"/>
        <v>40000</v>
      </c>
      <c r="K16" s="317"/>
      <c r="L16" s="335">
        <f t="shared" si="1"/>
        <v>0</v>
      </c>
      <c r="M16" s="338"/>
      <c r="N16" s="338"/>
      <c r="O16" s="323"/>
      <c r="P16" s="323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7"/>
      <c r="AH16" s="227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7"/>
      <c r="AT16" s="227"/>
      <c r="AU16" s="228"/>
      <c r="AV16" s="228"/>
    </row>
    <row r="17" spans="1:48" ht="15" thickBot="1" x14ac:dyDescent="0.4">
      <c r="A17" s="53"/>
      <c r="B17" s="53"/>
      <c r="C17" s="324"/>
      <c r="D17" s="325"/>
      <c r="E17" s="330"/>
      <c r="F17" s="330">
        <f t="shared" si="0"/>
        <v>0</v>
      </c>
      <c r="G17" s="330"/>
      <c r="H17" s="330"/>
      <c r="I17" s="339"/>
      <c r="J17" s="338">
        <f t="shared" si="2"/>
        <v>0</v>
      </c>
      <c r="K17" s="318"/>
      <c r="L17" s="335">
        <f t="shared" si="1"/>
        <v>0</v>
      </c>
      <c r="M17" s="339"/>
      <c r="N17" s="339"/>
      <c r="O17" s="326"/>
      <c r="P17" s="326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</row>
    <row r="18" spans="1:48" ht="15" thickBot="1" x14ac:dyDescent="0.4">
      <c r="A18" s="77" t="s">
        <v>46</v>
      </c>
      <c r="B18" s="320"/>
      <c r="C18" s="327">
        <f>SUM(C9:C16)</f>
        <v>340000</v>
      </c>
      <c r="D18" s="328">
        <f t="shared" ref="D18:AQ18" si="3">SUM(D9:D16)</f>
        <v>51089</v>
      </c>
      <c r="E18" s="331">
        <f t="shared" si="3"/>
        <v>84086.1</v>
      </c>
      <c r="F18" s="331"/>
      <c r="G18" s="331"/>
      <c r="H18" s="331"/>
      <c r="I18" s="329">
        <f t="shared" si="3"/>
        <v>132091.35</v>
      </c>
      <c r="J18" s="329">
        <f t="shared" si="3"/>
        <v>207908.65</v>
      </c>
      <c r="K18" s="329">
        <f t="shared" si="3"/>
        <v>17485</v>
      </c>
      <c r="L18" s="329">
        <f t="shared" si="3"/>
        <v>33604</v>
      </c>
      <c r="M18" s="329">
        <f t="shared" si="3"/>
        <v>64763.880000000005</v>
      </c>
      <c r="N18" s="329">
        <f t="shared" si="3"/>
        <v>840</v>
      </c>
      <c r="O18" s="329">
        <f t="shared" si="3"/>
        <v>0</v>
      </c>
      <c r="P18" s="329">
        <f t="shared" si="3"/>
        <v>0</v>
      </c>
      <c r="Q18" s="329">
        <f t="shared" si="3"/>
        <v>0</v>
      </c>
      <c r="R18" s="329">
        <f t="shared" si="3"/>
        <v>0</v>
      </c>
      <c r="S18" s="246">
        <f t="shared" si="3"/>
        <v>0</v>
      </c>
      <c r="T18" s="246"/>
      <c r="U18" s="246"/>
      <c r="V18" s="246"/>
      <c r="W18" s="246">
        <f t="shared" si="3"/>
        <v>0</v>
      </c>
      <c r="X18" s="246"/>
      <c r="Y18" s="246"/>
      <c r="Z18" s="246"/>
      <c r="AA18" s="246">
        <f t="shared" si="3"/>
        <v>0</v>
      </c>
      <c r="AB18" s="246"/>
      <c r="AC18" s="246"/>
      <c r="AD18" s="246"/>
      <c r="AE18" s="246">
        <f t="shared" si="3"/>
        <v>0</v>
      </c>
      <c r="AF18" s="246">
        <f t="shared" si="3"/>
        <v>0</v>
      </c>
      <c r="AG18" s="246">
        <f t="shared" si="3"/>
        <v>0</v>
      </c>
      <c r="AH18" s="246">
        <f t="shared" si="3"/>
        <v>0</v>
      </c>
      <c r="AI18" s="246">
        <f t="shared" si="3"/>
        <v>0</v>
      </c>
      <c r="AJ18" s="246">
        <f t="shared" si="3"/>
        <v>0</v>
      </c>
      <c r="AK18" s="246">
        <f t="shared" si="3"/>
        <v>0</v>
      </c>
      <c r="AL18" s="246">
        <f t="shared" si="3"/>
        <v>0</v>
      </c>
      <c r="AM18" s="246">
        <f t="shared" si="3"/>
        <v>0</v>
      </c>
      <c r="AN18" s="246">
        <f t="shared" si="3"/>
        <v>0</v>
      </c>
      <c r="AO18" s="246">
        <f t="shared" si="3"/>
        <v>0</v>
      </c>
      <c r="AP18" s="246">
        <f t="shared" si="3"/>
        <v>0</v>
      </c>
      <c r="AQ18" s="246">
        <f t="shared" si="3"/>
        <v>0</v>
      </c>
      <c r="AR18" s="246">
        <f t="shared" ref="AR18:AV18" si="4">SUM(AR9:AR15)</f>
        <v>0</v>
      </c>
      <c r="AS18" s="246">
        <f t="shared" si="4"/>
        <v>0</v>
      </c>
      <c r="AT18" s="246">
        <f t="shared" si="4"/>
        <v>0</v>
      </c>
      <c r="AU18" s="246">
        <f t="shared" si="4"/>
        <v>0</v>
      </c>
      <c r="AV18" s="246">
        <f t="shared" si="4"/>
        <v>0</v>
      </c>
    </row>
    <row r="19" spans="1:48" x14ac:dyDescent="0.35"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</row>
    <row r="20" spans="1:48" x14ac:dyDescent="0.35"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</row>
    <row r="21" spans="1:48" x14ac:dyDescent="0.35"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</row>
    <row r="22" spans="1:48" x14ac:dyDescent="0.35"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</row>
  </sheetData>
  <dataValidations count="1">
    <dataValidation type="list" allowBlank="1" showInputMessage="1" showErrorMessage="1" sqref="A9:A16" xr:uid="{00000000-0002-0000-0D00-000000000000}">
      <formula1>INDIRECT($A9)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2">
    <tabColor theme="2"/>
  </sheetPr>
  <dimension ref="A1:AK67"/>
  <sheetViews>
    <sheetView zoomScaleNormal="100" workbookViewId="0">
      <pane xSplit="7" ySplit="8" topLeftCell="R18" activePane="bottomRight" state="frozen"/>
      <selection activeCell="A8" sqref="A8:XFD8"/>
      <selection pane="topRight" activeCell="A8" sqref="A8:XFD8"/>
      <selection pane="bottomLeft" activeCell="A8" sqref="A8:XFD8"/>
      <selection pane="bottomRight" activeCell="R24" sqref="R24"/>
    </sheetView>
  </sheetViews>
  <sheetFormatPr defaultColWidth="9.26953125" defaultRowHeight="14.5" x14ac:dyDescent="0.35"/>
  <cols>
    <col min="1" max="1" width="9.26953125" style="45"/>
    <col min="2" max="2" width="45.26953125" style="45" customWidth="1"/>
    <col min="3" max="3" width="13.54296875" style="45" customWidth="1"/>
    <col min="4" max="4" width="13.7265625" style="45" customWidth="1"/>
    <col min="5" max="5" width="13.54296875" style="45" customWidth="1"/>
    <col min="6" max="6" width="11.453125" style="45" customWidth="1"/>
    <col min="7" max="7" width="16" style="45" customWidth="1"/>
    <col min="8" max="34" width="15.7265625" style="45" customWidth="1"/>
    <col min="35" max="36" width="21.26953125" style="44" customWidth="1"/>
    <col min="37" max="16384" width="9.26953125" style="45"/>
  </cols>
  <sheetData>
    <row r="1" spans="1:37" ht="21" x14ac:dyDescent="0.5">
      <c r="A1" s="47" t="s">
        <v>0</v>
      </c>
      <c r="B1" s="53"/>
      <c r="C1" s="48" t="s">
        <v>25</v>
      </c>
      <c r="D1" s="48"/>
      <c r="E1" s="48"/>
      <c r="F1" s="47"/>
      <c r="G1" s="49"/>
      <c r="H1" s="54"/>
      <c r="I1" s="53"/>
      <c r="J1" s="48" t="str">
        <f>C1</f>
        <v>McKinney-Vento Homeless</v>
      </c>
      <c r="K1" s="53"/>
      <c r="L1" s="48"/>
      <c r="M1" s="53"/>
      <c r="N1" s="48" t="str">
        <f>$C$1</f>
        <v>McKinney-Vento Homeless</v>
      </c>
      <c r="O1" s="53"/>
      <c r="P1" s="48"/>
      <c r="Q1" s="53"/>
      <c r="R1" s="53"/>
      <c r="S1" s="53"/>
      <c r="T1" s="48" t="str">
        <f>$C$1</f>
        <v>McKinney-Vento Homeless</v>
      </c>
      <c r="U1" s="53"/>
      <c r="V1" s="48"/>
      <c r="W1" s="53"/>
      <c r="X1" s="48"/>
      <c r="Y1" s="53"/>
      <c r="Z1" s="53"/>
      <c r="AA1" s="48" t="str">
        <f>$C$1</f>
        <v>McKinney-Vento Homeless</v>
      </c>
      <c r="AB1" s="53"/>
      <c r="AC1" s="53"/>
      <c r="AD1" s="48"/>
      <c r="AE1" s="53"/>
      <c r="AF1" s="53"/>
      <c r="AG1" s="53"/>
      <c r="AH1" s="53"/>
      <c r="AI1" s="47"/>
      <c r="AJ1" s="47"/>
    </row>
    <row r="2" spans="1:37" ht="21" x14ac:dyDescent="0.5">
      <c r="A2" s="47" t="s">
        <v>155</v>
      </c>
      <c r="B2" s="49"/>
      <c r="C2" s="48" t="s">
        <v>156</v>
      </c>
      <c r="D2" s="48"/>
      <c r="E2" s="48"/>
      <c r="F2" s="49"/>
      <c r="G2" s="49"/>
      <c r="H2" s="54"/>
      <c r="I2" s="53"/>
      <c r="J2" s="51" t="str">
        <f>"FY"&amp;C4</f>
        <v>FY2019-20</v>
      </c>
      <c r="K2" s="53"/>
      <c r="L2" s="56"/>
      <c r="M2" s="53"/>
      <c r="N2" s="51" t="str">
        <f>"FY"&amp;$C$4</f>
        <v>FY2019-20</v>
      </c>
      <c r="O2" s="53"/>
      <c r="P2" s="51"/>
      <c r="Q2" s="53"/>
      <c r="R2" s="53"/>
      <c r="S2" s="53"/>
      <c r="T2" s="51" t="str">
        <f>"FY"&amp;$C$4</f>
        <v>FY2019-20</v>
      </c>
      <c r="U2" s="53"/>
      <c r="V2" s="51"/>
      <c r="W2" s="53"/>
      <c r="X2" s="56"/>
      <c r="Y2" s="53"/>
      <c r="Z2" s="53"/>
      <c r="AA2" s="51" t="str">
        <f>"FY"&amp;$C$4</f>
        <v>FY2019-20</v>
      </c>
      <c r="AB2" s="53"/>
      <c r="AC2" s="53"/>
      <c r="AD2" s="51"/>
      <c r="AE2" s="53"/>
      <c r="AF2" s="53"/>
      <c r="AG2" s="53"/>
      <c r="AH2" s="53"/>
      <c r="AI2" s="47"/>
      <c r="AJ2" s="47"/>
    </row>
    <row r="3" spans="1:37" ht="15.5" x14ac:dyDescent="0.35">
      <c r="A3" s="50" t="s">
        <v>1</v>
      </c>
      <c r="B3" s="53"/>
      <c r="C3" s="51">
        <v>5196</v>
      </c>
      <c r="D3" s="51"/>
      <c r="E3" s="51"/>
      <c r="F3" s="50"/>
      <c r="G3" s="19"/>
      <c r="H3" s="54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4"/>
      <c r="AJ3" s="54"/>
    </row>
    <row r="4" spans="1:37" ht="15.5" x14ac:dyDescent="0.35">
      <c r="A4" s="50" t="s">
        <v>2</v>
      </c>
      <c r="B4" s="53"/>
      <c r="C4" s="51" t="s">
        <v>440</v>
      </c>
      <c r="D4" s="51"/>
      <c r="E4" s="51"/>
      <c r="F4" s="19"/>
      <c r="G4" s="19"/>
      <c r="H4" s="5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4"/>
      <c r="AJ4" s="54"/>
    </row>
    <row r="5" spans="1:37" ht="15.5" x14ac:dyDescent="0.35">
      <c r="A5" s="50" t="s">
        <v>522</v>
      </c>
      <c r="B5" s="53"/>
      <c r="C5" s="67" t="s">
        <v>445</v>
      </c>
      <c r="D5" s="50"/>
      <c r="E5" s="50"/>
      <c r="F5" s="19"/>
      <c r="G5" s="19"/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2"/>
      <c r="AJ5" s="52"/>
    </row>
    <row r="6" spans="1:37" ht="15.5" x14ac:dyDescent="0.35">
      <c r="A6" s="50"/>
      <c r="B6" s="53"/>
      <c r="C6" s="67"/>
      <c r="D6" s="51"/>
      <c r="E6" s="51"/>
      <c r="F6" s="19"/>
      <c r="G6" s="19"/>
      <c r="H6" s="5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2"/>
      <c r="AJ6" s="52"/>
    </row>
    <row r="7" spans="1:37" ht="15" thickBot="1" x14ac:dyDescent="0.4">
      <c r="A7" s="18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2"/>
      <c r="AJ7" s="52"/>
    </row>
    <row r="8" spans="1:37" ht="29.5" thickBot="1" x14ac:dyDescent="0.4">
      <c r="A8" s="11" t="s">
        <v>145</v>
      </c>
      <c r="B8" s="12" t="s">
        <v>139</v>
      </c>
      <c r="C8" s="12" t="s">
        <v>15</v>
      </c>
      <c r="D8" s="55"/>
      <c r="E8" s="55" t="s">
        <v>147</v>
      </c>
      <c r="F8" s="12" t="s">
        <v>16</v>
      </c>
      <c r="G8" s="25" t="s">
        <v>17</v>
      </c>
      <c r="H8" s="26" t="s">
        <v>133</v>
      </c>
      <c r="I8" s="27" t="s">
        <v>134</v>
      </c>
      <c r="J8" s="26" t="s">
        <v>135</v>
      </c>
      <c r="K8" s="27" t="s">
        <v>172</v>
      </c>
      <c r="L8" s="26" t="s">
        <v>173</v>
      </c>
      <c r="M8" s="27" t="s">
        <v>137</v>
      </c>
      <c r="N8" s="27" t="s">
        <v>252</v>
      </c>
      <c r="O8" s="27" t="s">
        <v>253</v>
      </c>
      <c r="P8" s="27" t="s">
        <v>254</v>
      </c>
      <c r="Q8" s="27" t="s">
        <v>255</v>
      </c>
      <c r="R8" s="27" t="s">
        <v>256</v>
      </c>
      <c r="S8" s="27" t="s">
        <v>441</v>
      </c>
      <c r="T8" s="26" t="s">
        <v>258</v>
      </c>
      <c r="U8" s="27" t="s">
        <v>259</v>
      </c>
      <c r="V8" s="27" t="s">
        <v>260</v>
      </c>
      <c r="W8" s="27" t="s">
        <v>442</v>
      </c>
      <c r="X8" s="26" t="s">
        <v>443</v>
      </c>
      <c r="Y8" s="27" t="s">
        <v>137</v>
      </c>
      <c r="Z8" s="12" t="s">
        <v>166</v>
      </c>
      <c r="AA8" s="27" t="s">
        <v>253</v>
      </c>
      <c r="AB8" s="27" t="s">
        <v>254</v>
      </c>
      <c r="AC8" s="27" t="s">
        <v>255</v>
      </c>
      <c r="AD8" s="27" t="s">
        <v>256</v>
      </c>
      <c r="AE8" s="27" t="s">
        <v>257</v>
      </c>
      <c r="AF8" s="26" t="s">
        <v>258</v>
      </c>
      <c r="AG8" s="27" t="s">
        <v>259</v>
      </c>
      <c r="AH8" s="27" t="s">
        <v>260</v>
      </c>
      <c r="AI8" s="12" t="s">
        <v>166</v>
      </c>
      <c r="AJ8" s="12" t="s">
        <v>167</v>
      </c>
    </row>
    <row r="9" spans="1:37" ht="15" thickBot="1" x14ac:dyDescent="0.4">
      <c r="A9" s="137">
        <v>10</v>
      </c>
      <c r="B9" s="115" t="s">
        <v>448</v>
      </c>
      <c r="C9" s="258">
        <v>25000</v>
      </c>
      <c r="D9" s="247"/>
      <c r="E9" s="247">
        <f>SUM(C9:D9)</f>
        <v>25000</v>
      </c>
      <c r="F9" s="259">
        <f>SUM(H9:AH9)</f>
        <v>10622.39</v>
      </c>
      <c r="G9" s="259">
        <f>C9-F9</f>
        <v>14377.61</v>
      </c>
      <c r="H9" s="222"/>
      <c r="I9" s="222"/>
      <c r="J9" s="222"/>
      <c r="K9" s="227"/>
      <c r="L9" s="227"/>
      <c r="M9" s="227"/>
      <c r="N9" s="227"/>
      <c r="O9" s="227">
        <f>405.76+691.51</f>
        <v>1097.27</v>
      </c>
      <c r="P9" s="227"/>
      <c r="Q9" s="227">
        <f>9197.81+194.25</f>
        <v>9392.06</v>
      </c>
      <c r="R9" s="227">
        <v>133.06</v>
      </c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2"/>
      <c r="AF9" s="222"/>
      <c r="AG9" s="222"/>
      <c r="AH9" s="222"/>
      <c r="AI9" s="228"/>
      <c r="AJ9" s="228"/>
      <c r="AK9" s="6"/>
    </row>
    <row r="10" spans="1:37" ht="15" thickBot="1" x14ac:dyDescent="0.4">
      <c r="A10" s="137">
        <v>20</v>
      </c>
      <c r="B10" s="114" t="s">
        <v>449</v>
      </c>
      <c r="C10" s="249">
        <v>60000</v>
      </c>
      <c r="D10" s="247"/>
      <c r="E10" s="247">
        <f t="shared" ref="E10:E23" si="0">SUM(C10:D10)</f>
        <v>60000</v>
      </c>
      <c r="F10" s="259">
        <f t="shared" ref="F10:F25" si="1">SUM(H10:AH10)</f>
        <v>44899.920000000006</v>
      </c>
      <c r="G10" s="259">
        <f t="shared" ref="G10:G22" si="2">C10-F10</f>
        <v>15100.079999999994</v>
      </c>
      <c r="H10" s="222"/>
      <c r="I10" s="222">
        <v>1634</v>
      </c>
      <c r="J10" s="222">
        <v>2759.66</v>
      </c>
      <c r="K10" s="227">
        <v>7612.9</v>
      </c>
      <c r="L10" s="227">
        <v>7068.61</v>
      </c>
      <c r="M10" s="227">
        <v>7168.39</v>
      </c>
      <c r="N10" s="227">
        <v>4859.3999999999996</v>
      </c>
      <c r="O10" s="227">
        <v>508.99</v>
      </c>
      <c r="P10" s="227">
        <v>8456.82</v>
      </c>
      <c r="Q10" s="227">
        <v>4831.1499999999996</v>
      </c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2"/>
      <c r="AF10" s="222"/>
      <c r="AG10" s="222"/>
      <c r="AH10" s="222"/>
      <c r="AI10" s="228"/>
      <c r="AJ10" s="228"/>
      <c r="AK10" s="6"/>
    </row>
    <row r="11" spans="1:37" ht="15" thickBot="1" x14ac:dyDescent="0.4">
      <c r="A11" s="137">
        <v>70</v>
      </c>
      <c r="B11" s="114" t="s">
        <v>450</v>
      </c>
      <c r="C11" s="249">
        <v>49906</v>
      </c>
      <c r="D11" s="247"/>
      <c r="E11" s="247">
        <f t="shared" si="0"/>
        <v>49906</v>
      </c>
      <c r="F11" s="259">
        <f t="shared" si="1"/>
        <v>37335.389999999992</v>
      </c>
      <c r="G11" s="259">
        <f t="shared" si="2"/>
        <v>12570.610000000008</v>
      </c>
      <c r="H11" s="222"/>
      <c r="I11" s="222"/>
      <c r="J11" s="222">
        <v>3053.21</v>
      </c>
      <c r="K11" s="227">
        <v>5359.57</v>
      </c>
      <c r="L11" s="227">
        <v>3938.5</v>
      </c>
      <c r="M11" s="227">
        <v>3461.79</v>
      </c>
      <c r="N11" s="227">
        <v>4419.99</v>
      </c>
      <c r="O11" s="227">
        <v>4983.9399999999996</v>
      </c>
      <c r="P11" s="227">
        <v>3421.01</v>
      </c>
      <c r="Q11" s="227">
        <v>5029.4799999999996</v>
      </c>
      <c r="R11" s="227">
        <v>3667.9</v>
      </c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2"/>
      <c r="AF11" s="222"/>
      <c r="AG11" s="222"/>
      <c r="AH11" s="222"/>
      <c r="AI11" s="228"/>
      <c r="AJ11" s="228"/>
      <c r="AK11" s="6"/>
    </row>
    <row r="12" spans="1:37" ht="15" thickBot="1" x14ac:dyDescent="0.4">
      <c r="A12" s="137">
        <v>120</v>
      </c>
      <c r="B12" s="114" t="s">
        <v>451</v>
      </c>
      <c r="C12" s="249">
        <v>60000</v>
      </c>
      <c r="D12" s="247"/>
      <c r="E12" s="247">
        <f t="shared" si="0"/>
        <v>60000</v>
      </c>
      <c r="F12" s="259">
        <f t="shared" si="1"/>
        <v>18398</v>
      </c>
      <c r="G12" s="259">
        <f t="shared" si="2"/>
        <v>41602</v>
      </c>
      <c r="H12" s="222"/>
      <c r="I12" s="222"/>
      <c r="J12" s="222"/>
      <c r="K12" s="227"/>
      <c r="L12" s="227"/>
      <c r="M12" s="227"/>
      <c r="N12" s="227">
        <v>3056</v>
      </c>
      <c r="O12" s="227">
        <v>3076</v>
      </c>
      <c r="P12" s="227"/>
      <c r="Q12" s="227">
        <v>8502</v>
      </c>
      <c r="R12" s="227">
        <v>3764</v>
      </c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2"/>
      <c r="AF12" s="222"/>
      <c r="AG12" s="222"/>
      <c r="AH12" s="222"/>
      <c r="AI12" s="228"/>
      <c r="AJ12" s="228"/>
      <c r="AK12" s="6"/>
    </row>
    <row r="13" spans="1:37" ht="15" thickBot="1" x14ac:dyDescent="0.4">
      <c r="A13" s="137">
        <v>123</v>
      </c>
      <c r="B13" s="114" t="s">
        <v>452</v>
      </c>
      <c r="C13" s="249">
        <v>90000</v>
      </c>
      <c r="D13" s="247"/>
      <c r="E13" s="247">
        <f t="shared" si="0"/>
        <v>90000</v>
      </c>
      <c r="F13" s="259">
        <f t="shared" si="1"/>
        <v>53883.43</v>
      </c>
      <c r="G13" s="259">
        <f t="shared" si="2"/>
        <v>36116.57</v>
      </c>
      <c r="H13" s="222"/>
      <c r="I13" s="222"/>
      <c r="J13" s="222"/>
      <c r="K13" s="227">
        <v>7313.14</v>
      </c>
      <c r="L13" s="227"/>
      <c r="M13" s="227">
        <v>16800.29</v>
      </c>
      <c r="N13" s="227"/>
      <c r="O13" s="227">
        <v>15238</v>
      </c>
      <c r="P13" s="227"/>
      <c r="Q13" s="227">
        <v>14532</v>
      </c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2"/>
      <c r="AF13" s="222"/>
      <c r="AG13" s="222"/>
      <c r="AH13" s="222"/>
      <c r="AI13" s="6"/>
      <c r="AJ13" s="6"/>
      <c r="AK13" s="6"/>
    </row>
    <row r="14" spans="1:37" ht="15" thickBot="1" x14ac:dyDescent="0.4">
      <c r="A14" s="137">
        <v>470</v>
      </c>
      <c r="B14" s="114" t="s">
        <v>453</v>
      </c>
      <c r="C14" s="249">
        <v>59810</v>
      </c>
      <c r="D14" s="247"/>
      <c r="E14" s="247">
        <f t="shared" si="0"/>
        <v>59810</v>
      </c>
      <c r="F14" s="259">
        <f t="shared" si="1"/>
        <v>15612.419999999998</v>
      </c>
      <c r="G14" s="259">
        <f t="shared" si="2"/>
        <v>44197.58</v>
      </c>
      <c r="H14" s="222"/>
      <c r="I14" s="222"/>
      <c r="J14" s="222"/>
      <c r="K14" s="227"/>
      <c r="L14" s="227"/>
      <c r="M14" s="227"/>
      <c r="N14" s="227">
        <v>3747.12</v>
      </c>
      <c r="O14" s="227"/>
      <c r="P14" s="227"/>
      <c r="Q14" s="227">
        <v>11865.3</v>
      </c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2"/>
      <c r="AF14" s="222"/>
      <c r="AG14" s="222"/>
      <c r="AH14" s="222"/>
      <c r="AI14" s="227"/>
      <c r="AJ14" s="227"/>
      <c r="AK14" s="6"/>
    </row>
    <row r="15" spans="1:37" ht="15" thickBot="1" x14ac:dyDescent="0.4">
      <c r="A15" s="137">
        <v>1000</v>
      </c>
      <c r="B15" s="114" t="s">
        <v>454</v>
      </c>
      <c r="C15" s="249">
        <v>60000</v>
      </c>
      <c r="D15" s="247"/>
      <c r="E15" s="247">
        <f t="shared" si="0"/>
        <v>60000</v>
      </c>
      <c r="F15" s="259">
        <f t="shared" si="1"/>
        <v>29711.21</v>
      </c>
      <c r="G15" s="259">
        <f t="shared" si="2"/>
        <v>30288.79</v>
      </c>
      <c r="H15" s="222"/>
      <c r="I15" s="222"/>
      <c r="J15" s="222"/>
      <c r="K15" s="227">
        <v>8477.14</v>
      </c>
      <c r="L15" s="227">
        <v>3667.42</v>
      </c>
      <c r="M15" s="227"/>
      <c r="N15" s="227">
        <v>17566.650000000001</v>
      </c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2"/>
      <c r="AF15" s="222"/>
      <c r="AG15" s="222"/>
      <c r="AH15" s="222"/>
      <c r="AI15" s="227"/>
      <c r="AJ15" s="227"/>
      <c r="AK15" s="6"/>
    </row>
    <row r="16" spans="1:37" ht="15" thickBot="1" x14ac:dyDescent="0.4">
      <c r="A16" s="137">
        <v>1510</v>
      </c>
      <c r="B16" s="114" t="s">
        <v>455</v>
      </c>
      <c r="C16" s="249">
        <v>25950</v>
      </c>
      <c r="D16" s="247"/>
      <c r="E16" s="247">
        <f t="shared" si="0"/>
        <v>25950</v>
      </c>
      <c r="F16" s="259">
        <f t="shared" si="1"/>
        <v>12506</v>
      </c>
      <c r="G16" s="259">
        <f t="shared" si="2"/>
        <v>13444</v>
      </c>
      <c r="H16" s="222"/>
      <c r="I16" s="222"/>
      <c r="J16" s="222"/>
      <c r="K16" s="227"/>
      <c r="L16" s="227"/>
      <c r="M16" s="227"/>
      <c r="N16" s="227"/>
      <c r="O16" s="227"/>
      <c r="P16" s="227"/>
      <c r="Q16" s="227"/>
      <c r="R16" s="227">
        <v>12506</v>
      </c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2"/>
      <c r="AF16" s="222"/>
      <c r="AG16" s="222"/>
      <c r="AH16" s="222"/>
      <c r="AI16" s="228"/>
      <c r="AJ16" s="228"/>
      <c r="AK16" s="6"/>
    </row>
    <row r="17" spans="1:37" ht="15" thickBot="1" x14ac:dyDescent="0.4">
      <c r="A17" s="137">
        <v>1550</v>
      </c>
      <c r="B17" s="114" t="s">
        <v>521</v>
      </c>
      <c r="C17" s="249">
        <v>1086</v>
      </c>
      <c r="D17" s="247"/>
      <c r="E17" s="247">
        <f t="shared" si="0"/>
        <v>1086</v>
      </c>
      <c r="F17" s="259"/>
      <c r="G17" s="259"/>
      <c r="H17" s="222"/>
      <c r="I17" s="222"/>
      <c r="J17" s="222"/>
      <c r="K17" s="227"/>
      <c r="L17" s="227"/>
      <c r="M17" s="227"/>
      <c r="N17" s="227">
        <v>1086</v>
      </c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2"/>
      <c r="AF17" s="222"/>
      <c r="AG17" s="222"/>
      <c r="AH17" s="222"/>
      <c r="AI17" s="228"/>
      <c r="AJ17" s="228"/>
      <c r="AK17" s="6"/>
    </row>
    <row r="18" spans="1:37" ht="15" thickBot="1" x14ac:dyDescent="0.4">
      <c r="A18" s="137">
        <v>1560</v>
      </c>
      <c r="B18" s="114" t="s">
        <v>456</v>
      </c>
      <c r="C18" s="249">
        <v>32287</v>
      </c>
      <c r="D18" s="247"/>
      <c r="E18" s="247">
        <f t="shared" si="0"/>
        <v>32287</v>
      </c>
      <c r="F18" s="259">
        <f t="shared" si="1"/>
        <v>14651.7</v>
      </c>
      <c r="G18" s="259">
        <f t="shared" si="2"/>
        <v>17635.3</v>
      </c>
      <c r="H18" s="222"/>
      <c r="I18" s="222"/>
      <c r="J18" s="222"/>
      <c r="K18" s="227"/>
      <c r="L18" s="227">
        <v>3516.5</v>
      </c>
      <c r="M18" s="227">
        <v>1798.75</v>
      </c>
      <c r="N18" s="227">
        <v>3557</v>
      </c>
      <c r="O18" s="227">
        <v>154.69999999999999</v>
      </c>
      <c r="P18" s="227">
        <v>1758.25</v>
      </c>
      <c r="Q18" s="227">
        <v>1758.25</v>
      </c>
      <c r="R18" s="227">
        <v>2108.25</v>
      </c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2"/>
      <c r="AF18" s="222"/>
      <c r="AG18" s="222"/>
      <c r="AH18" s="222"/>
      <c r="AI18" s="228"/>
      <c r="AJ18" s="228"/>
      <c r="AK18" s="6"/>
    </row>
    <row r="19" spans="1:37" ht="15" thickBot="1" x14ac:dyDescent="0.4">
      <c r="A19" s="137">
        <v>2000</v>
      </c>
      <c r="B19" s="114" t="s">
        <v>457</v>
      </c>
      <c r="C19" s="249">
        <v>40000</v>
      </c>
      <c r="D19" s="247"/>
      <c r="E19" s="247">
        <f t="shared" si="0"/>
        <v>40000</v>
      </c>
      <c r="F19" s="259">
        <f t="shared" si="1"/>
        <v>29193.420000000002</v>
      </c>
      <c r="G19" s="259">
        <f t="shared" si="2"/>
        <v>10806.579999999998</v>
      </c>
      <c r="H19" s="222"/>
      <c r="I19" s="222"/>
      <c r="J19" s="222"/>
      <c r="K19" s="227">
        <v>6539.26</v>
      </c>
      <c r="L19" s="227">
        <v>3154.93</v>
      </c>
      <c r="M19" s="227">
        <v>3154.93</v>
      </c>
      <c r="N19" s="227">
        <v>3572.47</v>
      </c>
      <c r="O19" s="227">
        <v>3065.13</v>
      </c>
      <c r="P19" s="227">
        <v>3182.31</v>
      </c>
      <c r="Q19" s="227">
        <v>3342.34</v>
      </c>
      <c r="R19" s="227">
        <v>3182.05</v>
      </c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2"/>
      <c r="AF19" s="222"/>
      <c r="AG19" s="222"/>
      <c r="AH19" s="222"/>
      <c r="AI19" s="228"/>
      <c r="AJ19" s="228"/>
      <c r="AK19" s="6"/>
    </row>
    <row r="20" spans="1:37" ht="15" thickBot="1" x14ac:dyDescent="0.4">
      <c r="A20" s="137">
        <v>2690</v>
      </c>
      <c r="B20" s="114" t="s">
        <v>509</v>
      </c>
      <c r="C20" s="249">
        <v>6951.19</v>
      </c>
      <c r="D20" s="247"/>
      <c r="E20" s="247">
        <f t="shared" si="0"/>
        <v>6951.19</v>
      </c>
      <c r="F20" s="259">
        <f t="shared" ref="F20" si="3">SUM(H20:AH20)</f>
        <v>6951.19</v>
      </c>
      <c r="G20" s="259">
        <f t="shared" ref="G20" si="4">C20-F20</f>
        <v>0</v>
      </c>
      <c r="H20" s="222"/>
      <c r="I20" s="222"/>
      <c r="J20" s="222"/>
      <c r="K20" s="227"/>
      <c r="L20" s="227">
        <v>6951.19</v>
      </c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2"/>
      <c r="AF20" s="222"/>
      <c r="AG20" s="222"/>
      <c r="AH20" s="222"/>
      <c r="AI20" s="228"/>
      <c r="AJ20" s="228"/>
      <c r="AK20" s="6"/>
    </row>
    <row r="21" spans="1:37" ht="15.65" customHeight="1" thickBot="1" x14ac:dyDescent="0.4">
      <c r="A21" s="137">
        <v>3120</v>
      </c>
      <c r="B21" s="114" t="s">
        <v>458</v>
      </c>
      <c r="C21" s="249">
        <v>54173</v>
      </c>
      <c r="D21" s="247"/>
      <c r="E21" s="247">
        <f t="shared" si="0"/>
        <v>54173</v>
      </c>
      <c r="F21" s="259">
        <f t="shared" si="1"/>
        <v>39118.6</v>
      </c>
      <c r="G21" s="259">
        <f t="shared" si="2"/>
        <v>15054.400000000001</v>
      </c>
      <c r="H21" s="222"/>
      <c r="I21" s="222"/>
      <c r="J21" s="222"/>
      <c r="K21" s="227">
        <v>13487.3</v>
      </c>
      <c r="L21" s="227"/>
      <c r="M21" s="227">
        <f>4711.31+4659.16</f>
        <v>9370.4700000000012</v>
      </c>
      <c r="N21" s="227">
        <v>4023.24</v>
      </c>
      <c r="O21" s="227"/>
      <c r="P21" s="227">
        <v>4380.55</v>
      </c>
      <c r="Q21" s="227">
        <f>3969.56+3887.48</f>
        <v>7857.04</v>
      </c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2"/>
      <c r="AF21" s="222"/>
      <c r="AG21" s="222"/>
      <c r="AH21" s="222"/>
      <c r="AI21" s="227"/>
      <c r="AJ21" s="227"/>
      <c r="AK21" s="6"/>
    </row>
    <row r="22" spans="1:37" ht="15" thickBot="1" x14ac:dyDescent="0.4">
      <c r="A22" s="137">
        <v>9035</v>
      </c>
      <c r="B22" s="114" t="s">
        <v>459</v>
      </c>
      <c r="C22" s="249">
        <v>65000</v>
      </c>
      <c r="D22" s="247"/>
      <c r="E22" s="247">
        <f t="shared" si="0"/>
        <v>65000</v>
      </c>
      <c r="F22" s="259">
        <f t="shared" si="1"/>
        <v>52009.3</v>
      </c>
      <c r="G22" s="362">
        <f t="shared" si="2"/>
        <v>12990.699999999997</v>
      </c>
      <c r="H22" s="222"/>
      <c r="I22" s="222"/>
      <c r="J22" s="222">
        <v>9133</v>
      </c>
      <c r="K22" s="227">
        <v>6566</v>
      </c>
      <c r="L22" s="227">
        <v>8011</v>
      </c>
      <c r="M22" s="227">
        <v>7521</v>
      </c>
      <c r="N22" s="227">
        <v>3614</v>
      </c>
      <c r="O22" s="227">
        <v>4383</v>
      </c>
      <c r="P22" s="227">
        <v>2411.3000000000002</v>
      </c>
      <c r="Q22" s="227">
        <v>5627</v>
      </c>
      <c r="R22" s="227">
        <v>4743</v>
      </c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2"/>
      <c r="AF22" s="222"/>
      <c r="AG22" s="222"/>
      <c r="AH22" s="222"/>
      <c r="AI22" s="228"/>
      <c r="AJ22" s="228"/>
      <c r="AK22" s="6"/>
    </row>
    <row r="23" spans="1:37" ht="15" thickBot="1" x14ac:dyDescent="0.4">
      <c r="A23" s="137">
        <v>9055</v>
      </c>
      <c r="B23" s="114" t="s">
        <v>460</v>
      </c>
      <c r="C23" s="249">
        <v>52000</v>
      </c>
      <c r="D23" s="247"/>
      <c r="E23" s="247">
        <f t="shared" si="0"/>
        <v>52000</v>
      </c>
      <c r="F23" s="259">
        <f t="shared" si="1"/>
        <v>27332.309999999998</v>
      </c>
      <c r="G23" s="362">
        <f>C23-F23</f>
        <v>24667.690000000002</v>
      </c>
      <c r="H23" s="222"/>
      <c r="I23" s="222">
        <v>2422.9499999999998</v>
      </c>
      <c r="J23" s="222">
        <v>2684.19</v>
      </c>
      <c r="K23" s="227">
        <v>3554.26</v>
      </c>
      <c r="L23" s="227">
        <v>2752.95</v>
      </c>
      <c r="M23" s="227">
        <v>2422.96</v>
      </c>
      <c r="N23" s="227">
        <v>4319.84</v>
      </c>
      <c r="O23" s="227">
        <v>2563.65</v>
      </c>
      <c r="P23" s="227"/>
      <c r="Q23" s="227">
        <v>3885.46</v>
      </c>
      <c r="R23" s="227">
        <v>2726.05</v>
      </c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2"/>
      <c r="AF23" s="222"/>
      <c r="AG23" s="222"/>
      <c r="AH23" s="222"/>
      <c r="AI23" s="227"/>
      <c r="AJ23" s="227"/>
      <c r="AK23" s="6"/>
    </row>
    <row r="24" spans="1:37" ht="15" thickBot="1" x14ac:dyDescent="0.4">
      <c r="A24" s="137"/>
      <c r="B24" s="113"/>
      <c r="C24" s="260"/>
      <c r="D24" s="247"/>
      <c r="E24" s="247"/>
      <c r="F24" s="259">
        <f t="shared" si="1"/>
        <v>0</v>
      </c>
      <c r="G24" s="259">
        <f t="shared" ref="G24:G25" si="5">E24-F24</f>
        <v>0</v>
      </c>
      <c r="H24" s="222"/>
      <c r="I24" s="222"/>
      <c r="J24" s="222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2"/>
      <c r="AF24" s="222"/>
      <c r="AG24" s="222"/>
      <c r="AH24" s="222"/>
      <c r="AI24" s="228"/>
      <c r="AJ24" s="228"/>
      <c r="AK24" s="6"/>
    </row>
    <row r="25" spans="1:37" ht="15" thickBot="1" x14ac:dyDescent="0.4">
      <c r="A25" s="137"/>
      <c r="B25" s="113"/>
      <c r="C25" s="260"/>
      <c r="D25" s="247"/>
      <c r="E25" s="247"/>
      <c r="F25" s="259">
        <f t="shared" si="1"/>
        <v>0</v>
      </c>
      <c r="G25" s="259">
        <f t="shared" si="5"/>
        <v>0</v>
      </c>
      <c r="H25" s="222"/>
      <c r="I25" s="222"/>
      <c r="J25" s="222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2"/>
      <c r="AF25" s="222"/>
      <c r="AG25" s="222"/>
      <c r="AH25" s="222"/>
      <c r="AI25" s="228"/>
      <c r="AJ25" s="228"/>
      <c r="AK25" s="6"/>
    </row>
    <row r="26" spans="1:37" s="17" customFormat="1" ht="15" thickBot="1" x14ac:dyDescent="0.4">
      <c r="A26" s="170"/>
      <c r="B26" s="171"/>
      <c r="C26" s="261"/>
      <c r="D26" s="262"/>
      <c r="E26" s="262"/>
      <c r="F26" s="263"/>
      <c r="G26" s="26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64"/>
    </row>
    <row r="27" spans="1:37" s="24" customFormat="1" ht="15" thickBot="1" x14ac:dyDescent="0.4">
      <c r="A27" s="111" t="s">
        <v>46</v>
      </c>
      <c r="B27" s="20"/>
      <c r="C27" s="224">
        <f>SUM(C9:C26)</f>
        <v>682163.19</v>
      </c>
      <c r="D27" s="224">
        <v>0</v>
      </c>
      <c r="E27" s="265">
        <f>SUM(E9:E25)</f>
        <v>682163.19</v>
      </c>
      <c r="F27" s="224">
        <f>SUM(F9:F25)</f>
        <v>392225.27999999997</v>
      </c>
      <c r="G27" s="224">
        <f t="shared" ref="G27:AJ27" si="6">SUM(G9:G26)</f>
        <v>288851.90999999997</v>
      </c>
      <c r="H27" s="224">
        <f t="shared" si="6"/>
        <v>0</v>
      </c>
      <c r="I27" s="224">
        <f t="shared" si="6"/>
        <v>4056.95</v>
      </c>
      <c r="J27" s="224">
        <f t="shared" si="6"/>
        <v>17630.059999999998</v>
      </c>
      <c r="K27" s="224">
        <f t="shared" si="6"/>
        <v>58909.57</v>
      </c>
      <c r="L27" s="224">
        <f t="shared" si="6"/>
        <v>39061.099999999991</v>
      </c>
      <c r="M27" s="224">
        <f t="shared" si="6"/>
        <v>51698.58</v>
      </c>
      <c r="N27" s="224">
        <f t="shared" si="6"/>
        <v>53821.710000000006</v>
      </c>
      <c r="O27" s="224">
        <f t="shared" si="6"/>
        <v>35070.68</v>
      </c>
      <c r="P27" s="224">
        <f t="shared" si="6"/>
        <v>23610.239999999998</v>
      </c>
      <c r="Q27" s="224">
        <f t="shared" si="6"/>
        <v>76622.080000000002</v>
      </c>
      <c r="R27" s="224">
        <f t="shared" si="6"/>
        <v>32830.31</v>
      </c>
      <c r="S27" s="224">
        <f t="shared" si="6"/>
        <v>0</v>
      </c>
      <c r="T27" s="224">
        <f t="shared" si="6"/>
        <v>0</v>
      </c>
      <c r="U27" s="224">
        <f t="shared" si="6"/>
        <v>0</v>
      </c>
      <c r="V27" s="224">
        <f t="shared" si="6"/>
        <v>0</v>
      </c>
      <c r="W27" s="224">
        <f t="shared" si="6"/>
        <v>0</v>
      </c>
      <c r="X27" s="224">
        <f t="shared" si="6"/>
        <v>0</v>
      </c>
      <c r="Y27" s="224">
        <f t="shared" si="6"/>
        <v>0</v>
      </c>
      <c r="Z27" s="224">
        <f t="shared" si="6"/>
        <v>0</v>
      </c>
      <c r="AA27" s="224">
        <f t="shared" si="6"/>
        <v>0</v>
      </c>
      <c r="AB27" s="224">
        <f t="shared" si="6"/>
        <v>0</v>
      </c>
      <c r="AC27" s="224">
        <f t="shared" si="6"/>
        <v>0</v>
      </c>
      <c r="AD27" s="224">
        <f t="shared" si="6"/>
        <v>0</v>
      </c>
      <c r="AE27" s="224">
        <f t="shared" si="6"/>
        <v>0</v>
      </c>
      <c r="AF27" s="224">
        <f t="shared" si="6"/>
        <v>0</v>
      </c>
      <c r="AG27" s="224">
        <f t="shared" si="6"/>
        <v>0</v>
      </c>
      <c r="AH27" s="224">
        <f t="shared" si="6"/>
        <v>0</v>
      </c>
      <c r="AI27" s="224">
        <f t="shared" si="6"/>
        <v>0</v>
      </c>
      <c r="AJ27" s="224">
        <f t="shared" si="6"/>
        <v>0</v>
      </c>
      <c r="AK27" s="243"/>
    </row>
    <row r="28" spans="1:37" x14ac:dyDescent="0.35">
      <c r="A28" s="8"/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v>76622.080000000002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228"/>
      <c r="AJ28" s="228"/>
      <c r="AK28" s="6"/>
    </row>
    <row r="29" spans="1:37" x14ac:dyDescent="0.35">
      <c r="A29" s="8"/>
      <c r="B29" s="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228"/>
      <c r="AJ29" s="228"/>
      <c r="AK29" s="6"/>
    </row>
    <row r="30" spans="1:37" x14ac:dyDescent="0.35">
      <c r="A30" s="8"/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228"/>
      <c r="AJ30" s="228"/>
      <c r="AK30" s="6"/>
    </row>
    <row r="31" spans="1:37" x14ac:dyDescent="0.3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228"/>
      <c r="AJ31" s="228"/>
      <c r="AK31" s="6"/>
    </row>
    <row r="32" spans="1:37" x14ac:dyDescent="0.3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228"/>
      <c r="AJ32" s="228"/>
      <c r="AK32" s="6"/>
    </row>
    <row r="33" spans="3:36" x14ac:dyDescent="0.35">
      <c r="C33" s="46"/>
      <c r="D33" s="46"/>
      <c r="E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75"/>
      <c r="AJ33" s="75"/>
    </row>
    <row r="34" spans="3:36" x14ac:dyDescent="0.35">
      <c r="C34" s="46"/>
      <c r="D34" s="46"/>
      <c r="E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</row>
    <row r="35" spans="3:36" x14ac:dyDescent="0.35">
      <c r="C35" s="46"/>
      <c r="D35" s="46"/>
      <c r="E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3:36" x14ac:dyDescent="0.35">
      <c r="C36" s="46"/>
      <c r="D36" s="46"/>
      <c r="E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5"/>
      <c r="AJ36" s="45"/>
    </row>
    <row r="37" spans="3:36" x14ac:dyDescent="0.35">
      <c r="C37" s="46"/>
      <c r="D37" s="46"/>
      <c r="E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30"/>
      <c r="AJ37" s="30"/>
    </row>
    <row r="38" spans="3:36" x14ac:dyDescent="0.35">
      <c r="C38" s="46"/>
      <c r="D38" s="46"/>
      <c r="E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30"/>
      <c r="AJ38" s="30"/>
    </row>
    <row r="39" spans="3:36" x14ac:dyDescent="0.35">
      <c r="C39" s="46"/>
      <c r="D39" s="46"/>
      <c r="E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30"/>
      <c r="AJ39" s="30"/>
    </row>
    <row r="40" spans="3:36" x14ac:dyDescent="0.35">
      <c r="C40" s="46"/>
      <c r="D40" s="46"/>
      <c r="E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30"/>
      <c r="AJ40" s="30"/>
    </row>
    <row r="41" spans="3:36" x14ac:dyDescent="0.35">
      <c r="C41" s="46"/>
      <c r="D41" s="46"/>
      <c r="E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30"/>
      <c r="AJ41" s="30"/>
    </row>
    <row r="42" spans="3:36" x14ac:dyDescent="0.35">
      <c r="C42" s="46"/>
      <c r="D42" s="46"/>
      <c r="E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30"/>
      <c r="AJ42" s="30"/>
    </row>
    <row r="43" spans="3:36" x14ac:dyDescent="0.35">
      <c r="C43" s="46"/>
      <c r="D43" s="46"/>
      <c r="E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30"/>
      <c r="AJ43" s="30"/>
    </row>
    <row r="44" spans="3:36" x14ac:dyDescent="0.35">
      <c r="C44" s="46"/>
      <c r="D44" s="46"/>
      <c r="E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30"/>
      <c r="AJ44" s="30"/>
    </row>
    <row r="45" spans="3:36" x14ac:dyDescent="0.35">
      <c r="C45" s="46"/>
      <c r="D45" s="46"/>
      <c r="E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30"/>
      <c r="AJ45" s="30"/>
    </row>
    <row r="46" spans="3:36" x14ac:dyDescent="0.35">
      <c r="C46" s="46"/>
      <c r="D46" s="46"/>
      <c r="E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30"/>
      <c r="AJ46" s="30"/>
    </row>
    <row r="47" spans="3:36" x14ac:dyDescent="0.35">
      <c r="C47" s="46"/>
      <c r="D47" s="46"/>
      <c r="E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30"/>
      <c r="AJ47" s="30"/>
    </row>
    <row r="48" spans="3:36" x14ac:dyDescent="0.35">
      <c r="C48" s="46"/>
      <c r="D48" s="46"/>
      <c r="E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30"/>
      <c r="AJ48" s="30"/>
    </row>
    <row r="49" spans="3:36" x14ac:dyDescent="0.35">
      <c r="C49" s="46"/>
      <c r="D49" s="46"/>
      <c r="E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30"/>
      <c r="AJ49" s="30"/>
    </row>
    <row r="50" spans="3:36" x14ac:dyDescent="0.35"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30"/>
      <c r="AJ50" s="30"/>
    </row>
    <row r="51" spans="3:36" x14ac:dyDescent="0.35"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</row>
    <row r="52" spans="3:36" x14ac:dyDescent="0.35"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</row>
    <row r="53" spans="3:36" x14ac:dyDescent="0.35"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3:36" x14ac:dyDescent="0.35"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3:36" x14ac:dyDescent="0.35"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6" spans="3:36" x14ac:dyDescent="0.35"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spans="3:36" x14ac:dyDescent="0.35"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</row>
    <row r="58" spans="3:36" x14ac:dyDescent="0.35"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spans="3:36" x14ac:dyDescent="0.35"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3:36" x14ac:dyDescent="0.35"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</row>
    <row r="61" spans="3:36" x14ac:dyDescent="0.35"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3:36" x14ac:dyDescent="0.35"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</row>
    <row r="63" spans="3:36" x14ac:dyDescent="0.35"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</row>
    <row r="64" spans="3:36" x14ac:dyDescent="0.35"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8:34" x14ac:dyDescent="0.35"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8:34" x14ac:dyDescent="0.35"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8:34" x14ac:dyDescent="0.35"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</row>
  </sheetData>
  <sheetProtection algorithmName="SHA-512" hashValue="zSvkBKAqy2kXgQofKmZdXVGf5hhBBvQWIQDelPxclMd64uEiRevtiJ2io+COBgnNI2CJXy2ErVn/NHVdlgDGHg==" saltValue="kFRGv842Y3Mb2s1wZsnq0Q==" spinCount="100000" sheet="1" objects="1" scenarios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4">
    <tabColor theme="2"/>
  </sheetPr>
  <dimension ref="A1:M49"/>
  <sheetViews>
    <sheetView topLeftCell="B1" workbookViewId="0">
      <pane xSplit="6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I24" sqref="I24"/>
    </sheetView>
  </sheetViews>
  <sheetFormatPr defaultColWidth="8.7265625" defaultRowHeight="14.5" x14ac:dyDescent="0.35"/>
  <cols>
    <col min="1" max="1" width="8.7265625" style="65"/>
    <col min="2" max="2" width="31.54296875" style="44" customWidth="1"/>
    <col min="3" max="6" width="14.7265625" style="45" customWidth="1"/>
    <col min="7" max="7" width="18.7265625" style="45" customWidth="1"/>
    <col min="8" max="10" width="15.7265625" style="44" customWidth="1"/>
    <col min="11" max="11" width="13.453125" style="44" customWidth="1"/>
    <col min="12" max="13" width="21.26953125" style="44" customWidth="1"/>
    <col min="14" max="16384" width="8.7265625" style="44"/>
  </cols>
  <sheetData>
    <row r="1" spans="1:13" s="45" customFormat="1" ht="21" x14ac:dyDescent="0.5">
      <c r="A1" s="62" t="s">
        <v>0</v>
      </c>
      <c r="B1" s="53"/>
      <c r="C1" s="47" t="s">
        <v>142</v>
      </c>
      <c r="D1" s="47"/>
      <c r="E1" s="47"/>
      <c r="F1" s="50"/>
      <c r="G1" s="54"/>
      <c r="H1" s="48"/>
      <c r="I1" s="48"/>
      <c r="J1" s="53"/>
      <c r="K1" s="53"/>
      <c r="L1" s="47"/>
      <c r="M1" s="47"/>
    </row>
    <row r="2" spans="1:13" s="45" customFormat="1" ht="21" x14ac:dyDescent="0.5">
      <c r="A2" s="47" t="s">
        <v>155</v>
      </c>
      <c r="B2" s="53"/>
      <c r="C2" s="47" t="s">
        <v>160</v>
      </c>
      <c r="D2" s="47"/>
      <c r="E2" s="47"/>
      <c r="F2" s="50"/>
      <c r="G2" s="54"/>
      <c r="H2" s="48"/>
      <c r="I2" s="48"/>
      <c r="J2" s="53"/>
      <c r="K2" s="53"/>
      <c r="L2" s="47"/>
      <c r="M2" s="47"/>
    </row>
    <row r="3" spans="1:13" s="45" customFormat="1" ht="15.5" x14ac:dyDescent="0.35">
      <c r="A3" s="63" t="s">
        <v>1</v>
      </c>
      <c r="B3" s="53"/>
      <c r="C3" s="99" t="s">
        <v>143</v>
      </c>
      <c r="D3" s="99"/>
      <c r="E3" s="99"/>
      <c r="F3" s="50"/>
      <c r="G3" s="54"/>
      <c r="H3" s="53"/>
      <c r="I3" s="53"/>
      <c r="J3" s="53"/>
      <c r="K3" s="53"/>
      <c r="L3" s="54"/>
      <c r="M3" s="54"/>
    </row>
    <row r="4" spans="1:13" s="45" customFormat="1" ht="15.5" x14ac:dyDescent="0.35">
      <c r="A4" s="63" t="s">
        <v>2</v>
      </c>
      <c r="B4" s="53"/>
      <c r="C4" s="50" t="s">
        <v>171</v>
      </c>
      <c r="D4" s="50"/>
      <c r="E4" s="50"/>
      <c r="F4" s="50"/>
      <c r="G4" s="54"/>
      <c r="H4" s="53"/>
      <c r="I4" s="53"/>
      <c r="J4" s="53"/>
      <c r="K4" s="53"/>
      <c r="L4" s="54"/>
      <c r="M4" s="54"/>
    </row>
    <row r="5" spans="1:13" s="45" customFormat="1" ht="15.5" x14ac:dyDescent="0.35">
      <c r="A5" s="63" t="s">
        <v>18</v>
      </c>
      <c r="B5" s="53"/>
      <c r="C5" s="50" t="s">
        <v>251</v>
      </c>
      <c r="D5" s="50"/>
      <c r="E5" s="50"/>
      <c r="F5" s="50"/>
      <c r="G5" s="52"/>
      <c r="H5" s="53"/>
      <c r="I5" s="53"/>
      <c r="J5" s="53"/>
      <c r="K5" s="53"/>
      <c r="L5" s="52"/>
      <c r="M5" s="52"/>
    </row>
    <row r="6" spans="1:13" s="45" customFormat="1" ht="15.5" x14ac:dyDescent="0.35">
      <c r="A6" s="63" t="s">
        <v>19</v>
      </c>
      <c r="B6" s="53"/>
      <c r="C6" s="50" t="s">
        <v>32</v>
      </c>
      <c r="D6" s="50"/>
      <c r="E6" s="50"/>
      <c r="F6" s="50"/>
      <c r="G6" s="52"/>
      <c r="H6" s="53"/>
      <c r="I6" s="53"/>
      <c r="J6" s="53"/>
      <c r="K6" s="53"/>
      <c r="L6" s="52"/>
      <c r="M6" s="52"/>
    </row>
    <row r="7" spans="1:13" s="45" customFormat="1" ht="16" thickBot="1" x14ac:dyDescent="0.4">
      <c r="A7" s="63"/>
      <c r="B7" s="53"/>
      <c r="C7" s="50"/>
      <c r="D7" s="50"/>
      <c r="E7" s="50"/>
      <c r="F7" s="50"/>
      <c r="G7" s="52"/>
      <c r="H7" s="53"/>
      <c r="I7" s="53"/>
      <c r="J7" s="53"/>
      <c r="K7" s="53"/>
      <c r="L7" s="52"/>
      <c r="M7" s="52"/>
    </row>
    <row r="8" spans="1:13" ht="29.5" thickBot="1" x14ac:dyDescent="0.4">
      <c r="A8" s="11" t="s">
        <v>145</v>
      </c>
      <c r="B8" s="12" t="s">
        <v>139</v>
      </c>
      <c r="C8" s="13" t="s">
        <v>15</v>
      </c>
      <c r="D8" s="55" t="s">
        <v>112</v>
      </c>
      <c r="E8" s="55" t="s">
        <v>147</v>
      </c>
      <c r="F8" s="12" t="s">
        <v>16</v>
      </c>
      <c r="G8" s="141" t="s">
        <v>17</v>
      </c>
      <c r="H8" s="12" t="s">
        <v>64</v>
      </c>
      <c r="I8" s="12" t="s">
        <v>65</v>
      </c>
      <c r="J8" s="12" t="s">
        <v>125</v>
      </c>
      <c r="K8" s="12" t="s">
        <v>126</v>
      </c>
      <c r="L8" s="12" t="s">
        <v>166</v>
      </c>
      <c r="M8" s="12" t="s">
        <v>167</v>
      </c>
    </row>
    <row r="9" spans="1:13" s="37" customFormat="1" ht="15" thickBot="1" x14ac:dyDescent="0.4">
      <c r="A9" s="92"/>
      <c r="B9" s="93"/>
      <c r="C9" s="158"/>
      <c r="D9" s="103">
        <v>0</v>
      </c>
      <c r="E9" s="103">
        <f>C9+D9</f>
        <v>0</v>
      </c>
      <c r="F9" s="94">
        <f>H9+I9+J9+K9</f>
        <v>0</v>
      </c>
      <c r="G9" s="140">
        <f>C9-F9</f>
        <v>0</v>
      </c>
      <c r="H9" s="44"/>
      <c r="I9" s="44"/>
      <c r="J9" s="142"/>
      <c r="K9" s="142"/>
      <c r="L9" s="44"/>
      <c r="M9" s="44"/>
    </row>
    <row r="10" spans="1:13" s="37" customFormat="1" ht="15" thickBot="1" x14ac:dyDescent="0.4">
      <c r="A10" s="92"/>
      <c r="B10" s="93"/>
      <c r="C10" s="158"/>
      <c r="D10" s="103">
        <v>0</v>
      </c>
      <c r="E10" s="103">
        <f t="shared" ref="E10:E11" si="0">C10+D10</f>
        <v>0</v>
      </c>
      <c r="F10" s="94">
        <f>H10+I10+J10+K10</f>
        <v>0</v>
      </c>
      <c r="G10" s="140">
        <f>C10-F10</f>
        <v>0</v>
      </c>
      <c r="H10" s="44"/>
      <c r="I10" s="44"/>
      <c r="J10" s="142"/>
      <c r="K10" s="142"/>
      <c r="L10" s="44"/>
      <c r="M10" s="44"/>
    </row>
    <row r="11" spans="1:13" s="37" customFormat="1" ht="15" thickBot="1" x14ac:dyDescent="0.4">
      <c r="A11" s="92"/>
      <c r="B11" s="93"/>
      <c r="C11" s="158"/>
      <c r="D11" s="103">
        <v>0</v>
      </c>
      <c r="E11" s="103">
        <f t="shared" si="0"/>
        <v>0</v>
      </c>
      <c r="F11" s="94">
        <f>H11+I11+J11+K11</f>
        <v>0</v>
      </c>
      <c r="G11" s="140">
        <f>C11-F11</f>
        <v>0</v>
      </c>
      <c r="H11" s="44"/>
      <c r="I11" s="44"/>
      <c r="J11" s="142"/>
      <c r="K11" s="142"/>
      <c r="L11" s="44"/>
      <c r="M11" s="44"/>
    </row>
    <row r="12" spans="1:13" ht="15" thickBot="1" x14ac:dyDescent="0.4">
      <c r="A12" s="95"/>
      <c r="B12" s="61"/>
      <c r="C12" s="158"/>
      <c r="D12" s="94"/>
      <c r="E12" s="94"/>
      <c r="F12" s="94"/>
      <c r="G12" s="140"/>
    </row>
    <row r="13" spans="1:13" s="14" customFormat="1" ht="15" thickBot="1" x14ac:dyDescent="0.4">
      <c r="A13" s="98" t="s">
        <v>46</v>
      </c>
      <c r="B13" s="43"/>
      <c r="C13" s="87">
        <f>SUM(C9:C12)</f>
        <v>0</v>
      </c>
      <c r="D13" s="87">
        <v>0</v>
      </c>
      <c r="E13" s="87">
        <f>C13+D13</f>
        <v>0</v>
      </c>
      <c r="F13" s="87">
        <f>SUM(F9:F12)</f>
        <v>0</v>
      </c>
      <c r="G13" s="87">
        <f>SUM(G9:G12)</f>
        <v>0</v>
      </c>
      <c r="H13" s="87">
        <f>SUM(H9:H11)</f>
        <v>0</v>
      </c>
      <c r="I13" s="87">
        <f>SUM(I9:I11)</f>
        <v>0</v>
      </c>
      <c r="J13" s="87">
        <f>SUM(J9:J12)</f>
        <v>0</v>
      </c>
      <c r="K13" s="87">
        <f>SUM(K9:K12)</f>
        <v>0</v>
      </c>
      <c r="L13" s="87">
        <f t="shared" ref="L13:M13" si="1">SUM(L9:L12)</f>
        <v>0</v>
      </c>
      <c r="M13" s="87">
        <f t="shared" si="1"/>
        <v>0</v>
      </c>
    </row>
    <row r="14" spans="1:13" x14ac:dyDescent="0.35">
      <c r="C14" s="46"/>
      <c r="D14" s="46"/>
      <c r="E14" s="46"/>
      <c r="F14" s="46"/>
      <c r="G14" s="46"/>
      <c r="L14" s="75"/>
      <c r="M14" s="75"/>
    </row>
    <row r="15" spans="1:13" x14ac:dyDescent="0.35">
      <c r="C15" s="46"/>
      <c r="D15" s="46"/>
      <c r="E15" s="46"/>
      <c r="F15" s="46"/>
      <c r="G15" s="46"/>
      <c r="L15" s="75"/>
      <c r="M15" s="75"/>
    </row>
    <row r="16" spans="1:13" x14ac:dyDescent="0.35">
      <c r="C16" s="46"/>
      <c r="D16" s="46"/>
      <c r="E16" s="46"/>
      <c r="F16" s="46"/>
      <c r="G16" s="46"/>
    </row>
    <row r="17" spans="3:13" x14ac:dyDescent="0.35">
      <c r="C17" s="46"/>
      <c r="D17" s="46"/>
      <c r="E17" s="46"/>
      <c r="F17" s="46"/>
      <c r="G17" s="46"/>
    </row>
    <row r="18" spans="3:13" x14ac:dyDescent="0.35">
      <c r="C18" s="46"/>
      <c r="D18" s="46"/>
      <c r="E18" s="46"/>
      <c r="F18" s="46"/>
      <c r="G18" s="46"/>
    </row>
    <row r="19" spans="3:13" x14ac:dyDescent="0.35">
      <c r="C19" s="46"/>
      <c r="D19" s="46"/>
      <c r="E19" s="46"/>
      <c r="F19" s="46"/>
      <c r="G19" s="46"/>
      <c r="L19" s="75"/>
      <c r="M19" s="75"/>
    </row>
    <row r="20" spans="3:13" x14ac:dyDescent="0.35">
      <c r="C20" s="46"/>
      <c r="D20" s="46"/>
      <c r="E20" s="46"/>
      <c r="F20" s="46"/>
      <c r="G20" s="46"/>
    </row>
    <row r="21" spans="3:13" x14ac:dyDescent="0.35">
      <c r="C21" s="46"/>
      <c r="D21" s="46"/>
      <c r="E21" s="46"/>
      <c r="F21" s="46"/>
      <c r="G21" s="46"/>
      <c r="L21" s="75"/>
      <c r="M21" s="75"/>
    </row>
    <row r="22" spans="3:13" x14ac:dyDescent="0.35">
      <c r="C22" s="46"/>
      <c r="D22" s="46"/>
      <c r="E22" s="46"/>
      <c r="F22" s="46"/>
      <c r="G22" s="46"/>
    </row>
    <row r="23" spans="3:13" x14ac:dyDescent="0.35">
      <c r="C23" s="46"/>
      <c r="D23" s="46"/>
      <c r="E23" s="46"/>
      <c r="F23" s="46"/>
      <c r="G23" s="46"/>
    </row>
    <row r="24" spans="3:13" x14ac:dyDescent="0.35">
      <c r="C24" s="46"/>
      <c r="D24" s="46"/>
      <c r="E24" s="46"/>
      <c r="F24" s="46"/>
      <c r="G24" s="46"/>
    </row>
    <row r="25" spans="3:13" x14ac:dyDescent="0.35">
      <c r="C25" s="46"/>
      <c r="D25" s="46"/>
      <c r="E25" s="46"/>
      <c r="F25" s="46"/>
      <c r="G25" s="46"/>
      <c r="L25" s="75"/>
      <c r="M25" s="75"/>
    </row>
    <row r="26" spans="3:13" x14ac:dyDescent="0.35">
      <c r="C26" s="46"/>
      <c r="D26" s="46"/>
      <c r="E26" s="46"/>
      <c r="F26" s="46"/>
      <c r="G26" s="46"/>
      <c r="L26" s="75"/>
      <c r="M26" s="75"/>
    </row>
    <row r="27" spans="3:13" x14ac:dyDescent="0.35">
      <c r="C27" s="46"/>
      <c r="D27" s="46"/>
      <c r="E27" s="46"/>
      <c r="F27" s="46"/>
      <c r="G27" s="46"/>
    </row>
    <row r="28" spans="3:13" x14ac:dyDescent="0.35">
      <c r="C28" s="46"/>
      <c r="D28" s="46"/>
      <c r="E28" s="46"/>
      <c r="F28" s="46"/>
      <c r="G28" s="46"/>
    </row>
    <row r="29" spans="3:13" x14ac:dyDescent="0.35">
      <c r="C29" s="46"/>
      <c r="D29" s="46"/>
      <c r="E29" s="46"/>
      <c r="F29" s="46"/>
      <c r="G29" s="46"/>
    </row>
    <row r="30" spans="3:13" x14ac:dyDescent="0.35">
      <c r="C30" s="46"/>
      <c r="D30" s="46"/>
      <c r="E30" s="46"/>
      <c r="F30" s="46"/>
      <c r="G30" s="46"/>
    </row>
    <row r="31" spans="3:13" x14ac:dyDescent="0.35">
      <c r="C31" s="46"/>
      <c r="D31" s="46"/>
      <c r="E31" s="46"/>
      <c r="F31" s="46"/>
      <c r="G31" s="46"/>
    </row>
    <row r="32" spans="3:13" x14ac:dyDescent="0.35">
      <c r="C32" s="46"/>
      <c r="D32" s="46"/>
      <c r="E32" s="46"/>
      <c r="F32" s="46"/>
      <c r="G32" s="46"/>
      <c r="L32" s="75"/>
      <c r="M32" s="75"/>
    </row>
    <row r="33" spans="3:13" x14ac:dyDescent="0.35">
      <c r="C33" s="46"/>
      <c r="D33" s="46"/>
      <c r="E33" s="46"/>
      <c r="F33" s="46"/>
      <c r="G33" s="46"/>
    </row>
    <row r="34" spans="3:13" x14ac:dyDescent="0.35">
      <c r="C34" s="46"/>
      <c r="D34" s="46"/>
      <c r="E34" s="46"/>
      <c r="F34" s="46"/>
      <c r="G34" s="46"/>
    </row>
    <row r="35" spans="3:13" x14ac:dyDescent="0.35">
      <c r="C35" s="46"/>
      <c r="D35" s="46"/>
      <c r="E35" s="46"/>
      <c r="F35" s="46"/>
      <c r="G35" s="46"/>
      <c r="L35" s="45"/>
      <c r="M35" s="45"/>
    </row>
    <row r="36" spans="3:13" x14ac:dyDescent="0.35">
      <c r="F36" s="46"/>
      <c r="G36" s="46"/>
      <c r="L36" s="30"/>
      <c r="M36" s="30"/>
    </row>
    <row r="37" spans="3:13" x14ac:dyDescent="0.35">
      <c r="F37" s="46"/>
      <c r="G37" s="46"/>
      <c r="L37" s="30"/>
      <c r="M37" s="30"/>
    </row>
    <row r="38" spans="3:13" x14ac:dyDescent="0.35">
      <c r="F38" s="46"/>
      <c r="G38" s="46"/>
      <c r="L38" s="30"/>
      <c r="M38" s="30"/>
    </row>
    <row r="39" spans="3:13" x14ac:dyDescent="0.35">
      <c r="L39" s="30"/>
      <c r="M39" s="30"/>
    </row>
    <row r="40" spans="3:13" x14ac:dyDescent="0.35">
      <c r="L40" s="30"/>
      <c r="M40" s="30"/>
    </row>
    <row r="41" spans="3:13" x14ac:dyDescent="0.35">
      <c r="L41" s="30"/>
      <c r="M41" s="30"/>
    </row>
    <row r="42" spans="3:13" x14ac:dyDescent="0.35">
      <c r="L42" s="30"/>
      <c r="M42" s="30"/>
    </row>
    <row r="43" spans="3:13" x14ac:dyDescent="0.35">
      <c r="L43" s="30"/>
      <c r="M43" s="30"/>
    </row>
    <row r="44" spans="3:13" x14ac:dyDescent="0.35">
      <c r="L44" s="30"/>
      <c r="M44" s="30"/>
    </row>
    <row r="45" spans="3:13" x14ac:dyDescent="0.35">
      <c r="L45" s="30"/>
      <c r="M45" s="30"/>
    </row>
    <row r="46" spans="3:13" x14ac:dyDescent="0.35">
      <c r="L46" s="30"/>
      <c r="M46" s="30"/>
    </row>
    <row r="47" spans="3:13" x14ac:dyDescent="0.35">
      <c r="L47" s="30"/>
      <c r="M47" s="30"/>
    </row>
    <row r="48" spans="3:13" x14ac:dyDescent="0.35">
      <c r="L48" s="30"/>
      <c r="M48" s="30"/>
    </row>
    <row r="49" spans="12:13" x14ac:dyDescent="0.35">
      <c r="L49" s="30"/>
      <c r="M49" s="30"/>
    </row>
  </sheetData>
  <sheetProtection algorithmName="SHA-512" hashValue="Pqt8DozVMN68DiiO605oNhHNthG/O1yP0dt7C2zN+27qCF3xwhg13JfPfdHddxTrYtWX0m5Pjcje5rG9rFelbw==" saltValue="7TInhk3MRPBJWl7NS7VvdA==" spinCount="100000" sheet="1" objects="1" scenarios="1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8">
    <tabColor theme="2"/>
  </sheetPr>
  <dimension ref="A1:AI80"/>
  <sheetViews>
    <sheetView workbookViewId="0">
      <pane xSplit="7" ySplit="8" topLeftCell="P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D22" sqref="D22"/>
    </sheetView>
  </sheetViews>
  <sheetFormatPr defaultColWidth="9.26953125" defaultRowHeight="14.5" x14ac:dyDescent="0.35"/>
  <cols>
    <col min="1" max="1" width="9.26953125" style="45"/>
    <col min="2" max="2" width="32.26953125" style="45" customWidth="1"/>
    <col min="3" max="7" width="14.7265625" style="45" customWidth="1"/>
    <col min="8" max="31" width="12.7265625" style="45" customWidth="1"/>
    <col min="32" max="33" width="21.26953125" style="44" customWidth="1"/>
    <col min="34" max="16384" width="9.26953125" style="45"/>
  </cols>
  <sheetData>
    <row r="1" spans="1:33" ht="21" x14ac:dyDescent="0.5">
      <c r="A1" s="47" t="s">
        <v>0</v>
      </c>
      <c r="B1" s="53"/>
      <c r="C1" s="48" t="s">
        <v>162</v>
      </c>
      <c r="D1" s="48"/>
      <c r="E1" s="48"/>
      <c r="F1" s="48"/>
      <c r="G1" s="48"/>
      <c r="H1" s="47"/>
      <c r="I1" s="49"/>
      <c r="J1" s="48"/>
      <c r="K1" s="53"/>
      <c r="L1" s="53"/>
      <c r="M1" s="53"/>
      <c r="N1" s="48" t="str">
        <f>$C$1</f>
        <v>Multi-Tiered System of Supports</v>
      </c>
      <c r="O1" s="53"/>
      <c r="P1" s="53"/>
      <c r="Q1" s="48"/>
      <c r="R1" s="53"/>
      <c r="S1" s="53"/>
      <c r="T1" s="48" t="str">
        <f>$C$1</f>
        <v>Multi-Tiered System of Supports</v>
      </c>
      <c r="U1" s="53"/>
      <c r="V1" s="53"/>
      <c r="W1" s="53"/>
      <c r="X1" s="53"/>
      <c r="Y1" s="53"/>
      <c r="Z1" s="53"/>
      <c r="AA1" s="48" t="str">
        <f>$C$1</f>
        <v>Multi-Tiered System of Supports</v>
      </c>
      <c r="AB1" s="53"/>
      <c r="AC1" s="53"/>
      <c r="AD1" s="53"/>
      <c r="AE1" s="53"/>
      <c r="AF1" s="47"/>
      <c r="AG1" s="47"/>
    </row>
    <row r="2" spans="1:33" ht="21" x14ac:dyDescent="0.5">
      <c r="A2" s="47" t="s">
        <v>155</v>
      </c>
      <c r="B2" s="53"/>
      <c r="C2" s="132" t="s">
        <v>161</v>
      </c>
      <c r="D2" s="132"/>
      <c r="E2" s="132"/>
      <c r="F2" s="48"/>
      <c r="G2" s="39"/>
      <c r="H2" s="50"/>
      <c r="I2" s="19"/>
      <c r="J2" s="50"/>
      <c r="K2" s="53"/>
      <c r="L2" s="53"/>
      <c r="M2" s="53"/>
      <c r="N2" s="50" t="str">
        <f>"FY"&amp;$C$4</f>
        <v>FY2019-20</v>
      </c>
      <c r="O2" s="53"/>
      <c r="P2" s="53"/>
      <c r="Q2" s="56"/>
      <c r="R2" s="53"/>
      <c r="S2" s="53"/>
      <c r="T2" s="50" t="str">
        <f>"FY"&amp;$C$4</f>
        <v>FY2019-20</v>
      </c>
      <c r="U2" s="53"/>
      <c r="V2" s="53"/>
      <c r="W2" s="53"/>
      <c r="X2" s="53"/>
      <c r="Y2" s="53"/>
      <c r="Z2" s="53"/>
      <c r="AA2" s="50" t="str">
        <f>"FY"&amp;$C$4</f>
        <v>FY2019-20</v>
      </c>
      <c r="AB2" s="53"/>
      <c r="AC2" s="53"/>
      <c r="AD2" s="53"/>
      <c r="AE2" s="53"/>
      <c r="AF2" s="47"/>
      <c r="AG2" s="47"/>
    </row>
    <row r="3" spans="1:33" ht="16.149999999999999" customHeight="1" x14ac:dyDescent="0.5">
      <c r="A3" s="50" t="s">
        <v>1</v>
      </c>
      <c r="B3" s="53"/>
      <c r="C3" s="51">
        <v>5323</v>
      </c>
      <c r="D3" s="51"/>
      <c r="E3" s="51"/>
      <c r="F3" s="48"/>
      <c r="G3" s="51"/>
      <c r="H3" s="50"/>
      <c r="I3" s="19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4"/>
    </row>
    <row r="4" spans="1:33" ht="16.149999999999999" customHeight="1" x14ac:dyDescent="0.5">
      <c r="A4" s="50" t="s">
        <v>2</v>
      </c>
      <c r="B4" s="53"/>
      <c r="C4" s="51" t="s">
        <v>440</v>
      </c>
      <c r="D4" s="51"/>
      <c r="E4" s="51"/>
      <c r="F4" s="48"/>
      <c r="G4" s="51"/>
      <c r="H4" s="50"/>
      <c r="I4" s="19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4"/>
      <c r="AG4" s="54"/>
    </row>
    <row r="5" spans="1:33" ht="16.149999999999999" customHeight="1" x14ac:dyDescent="0.5">
      <c r="A5" s="50" t="s">
        <v>18</v>
      </c>
      <c r="B5" s="53"/>
      <c r="C5" s="63" t="s">
        <v>444</v>
      </c>
      <c r="D5" s="50"/>
      <c r="E5" s="50"/>
      <c r="F5" s="48"/>
      <c r="G5" s="50"/>
      <c r="H5" s="19"/>
      <c r="I5" s="19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2"/>
      <c r="AG5" s="52"/>
    </row>
    <row r="6" spans="1:33" ht="16.149999999999999" customHeight="1" x14ac:dyDescent="0.5">
      <c r="A6" s="50" t="s">
        <v>19</v>
      </c>
      <c r="B6" s="53"/>
      <c r="C6" s="67" t="s">
        <v>445</v>
      </c>
      <c r="D6" s="50"/>
      <c r="E6" s="50"/>
      <c r="F6" s="48"/>
      <c r="G6" s="50"/>
      <c r="H6" s="19"/>
      <c r="I6" s="19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2"/>
      <c r="AG6" s="52"/>
    </row>
    <row r="7" spans="1:33" ht="15" thickBot="1" x14ac:dyDescent="0.4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2"/>
      <c r="AG7" s="52"/>
    </row>
    <row r="8" spans="1:33" ht="34.5" customHeight="1" thickBot="1" x14ac:dyDescent="0.4">
      <c r="A8" s="55" t="s">
        <v>145</v>
      </c>
      <c r="B8" s="27" t="s">
        <v>44</v>
      </c>
      <c r="C8" s="27" t="s">
        <v>15</v>
      </c>
      <c r="D8" s="27" t="s">
        <v>112</v>
      </c>
      <c r="E8" s="55" t="s">
        <v>147</v>
      </c>
      <c r="F8" s="55" t="s">
        <v>16</v>
      </c>
      <c r="G8" s="60" t="s">
        <v>17</v>
      </c>
      <c r="H8" s="26" t="s">
        <v>133</v>
      </c>
      <c r="I8" s="27" t="s">
        <v>134</v>
      </c>
      <c r="J8" s="26" t="s">
        <v>135</v>
      </c>
      <c r="K8" s="27" t="s">
        <v>172</v>
      </c>
      <c r="L8" s="26" t="s">
        <v>173</v>
      </c>
      <c r="M8" s="27" t="s">
        <v>137</v>
      </c>
      <c r="N8" s="27" t="s">
        <v>252</v>
      </c>
      <c r="O8" s="27" t="s">
        <v>253</v>
      </c>
      <c r="P8" s="27" t="s">
        <v>254</v>
      </c>
      <c r="Q8" s="27" t="s">
        <v>255</v>
      </c>
      <c r="R8" s="27" t="s">
        <v>256</v>
      </c>
      <c r="S8" s="27" t="s">
        <v>441</v>
      </c>
      <c r="T8" s="26" t="s">
        <v>258</v>
      </c>
      <c r="U8" s="27" t="s">
        <v>259</v>
      </c>
      <c r="V8" s="27" t="s">
        <v>260</v>
      </c>
      <c r="W8" s="27" t="s">
        <v>442</v>
      </c>
      <c r="X8" s="26" t="s">
        <v>443</v>
      </c>
      <c r="Y8" s="27" t="s">
        <v>137</v>
      </c>
      <c r="Z8" s="12" t="s">
        <v>166</v>
      </c>
      <c r="AA8" s="208" t="s">
        <v>256</v>
      </c>
      <c r="AB8" s="208" t="s">
        <v>257</v>
      </c>
      <c r="AC8" s="208" t="s">
        <v>258</v>
      </c>
      <c r="AD8" s="208" t="s">
        <v>259</v>
      </c>
      <c r="AE8" s="208" t="s">
        <v>260</v>
      </c>
      <c r="AF8" s="208" t="s">
        <v>166</v>
      </c>
      <c r="AG8" s="208" t="s">
        <v>167</v>
      </c>
    </row>
    <row r="9" spans="1:33" ht="15" thickBot="1" x14ac:dyDescent="0.4">
      <c r="A9" s="92" t="s">
        <v>3</v>
      </c>
      <c r="B9" s="93" t="s">
        <v>80</v>
      </c>
      <c r="C9" s="103"/>
      <c r="D9" s="196"/>
      <c r="E9" s="103"/>
      <c r="F9" s="112"/>
      <c r="G9" s="212">
        <f t="shared" ref="G9:G41" si="0">E9-F9</f>
        <v>0</v>
      </c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4"/>
      <c r="AG9" s="214"/>
    </row>
    <row r="10" spans="1:33" ht="15" thickBot="1" x14ac:dyDescent="0.4">
      <c r="A10" s="92" t="s">
        <v>306</v>
      </c>
      <c r="B10" s="93" t="s">
        <v>364</v>
      </c>
      <c r="C10" s="103"/>
      <c r="D10" s="196"/>
      <c r="E10" s="103"/>
      <c r="F10" s="112"/>
      <c r="G10" s="212">
        <f>E10-F10</f>
        <v>0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4"/>
      <c r="AG10" s="214"/>
    </row>
    <row r="11" spans="1:33" ht="15" thickBot="1" x14ac:dyDescent="0.4">
      <c r="A11" s="92" t="s">
        <v>4</v>
      </c>
      <c r="B11" s="93" t="s">
        <v>92</v>
      </c>
      <c r="C11" s="103"/>
      <c r="D11" s="196"/>
      <c r="E11" s="103"/>
      <c r="F11" s="112"/>
      <c r="G11" s="212">
        <f t="shared" si="0"/>
        <v>0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4"/>
      <c r="AG11" s="214"/>
    </row>
    <row r="12" spans="1:33" ht="29.5" thickBot="1" x14ac:dyDescent="0.4">
      <c r="A12" s="92" t="s">
        <v>360</v>
      </c>
      <c r="B12" s="93" t="s">
        <v>365</v>
      </c>
      <c r="C12" s="103"/>
      <c r="D12" s="196"/>
      <c r="E12" s="103"/>
      <c r="F12" s="112"/>
      <c r="G12" s="212">
        <f t="shared" si="0"/>
        <v>0</v>
      </c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4"/>
      <c r="AG12" s="214"/>
    </row>
    <row r="13" spans="1:33" ht="29.5" thickBot="1" x14ac:dyDescent="0.4">
      <c r="A13" s="92" t="s">
        <v>38</v>
      </c>
      <c r="B13" s="93" t="s">
        <v>366</v>
      </c>
      <c r="C13" s="103"/>
      <c r="D13" s="196"/>
      <c r="E13" s="103"/>
      <c r="F13" s="112"/>
      <c r="G13" s="212">
        <f t="shared" si="0"/>
        <v>0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4"/>
      <c r="AG13" s="214"/>
    </row>
    <row r="14" spans="1:33" ht="15" thickBot="1" x14ac:dyDescent="0.4">
      <c r="A14" s="92" t="s">
        <v>431</v>
      </c>
      <c r="B14" s="93" t="s">
        <v>432</v>
      </c>
      <c r="C14" s="103"/>
      <c r="D14" s="196"/>
      <c r="E14" s="103"/>
      <c r="F14" s="112"/>
      <c r="G14" s="212">
        <f t="shared" si="0"/>
        <v>0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4"/>
      <c r="AG14" s="214"/>
    </row>
    <row r="15" spans="1:33" ht="15" thickBot="1" x14ac:dyDescent="0.4">
      <c r="A15" s="92" t="s">
        <v>89</v>
      </c>
      <c r="B15" s="93" t="s">
        <v>90</v>
      </c>
      <c r="C15" s="103"/>
      <c r="D15" s="196"/>
      <c r="E15" s="103"/>
      <c r="F15" s="112"/>
      <c r="G15" s="212">
        <f t="shared" si="0"/>
        <v>0</v>
      </c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</row>
    <row r="16" spans="1:33" ht="15" thickBot="1" x14ac:dyDescent="0.4">
      <c r="A16" s="92" t="s">
        <v>94</v>
      </c>
      <c r="B16" s="93" t="s">
        <v>122</v>
      </c>
      <c r="C16" s="103"/>
      <c r="D16" s="196"/>
      <c r="E16" s="103"/>
      <c r="F16" s="112"/>
      <c r="G16" s="212">
        <f t="shared" si="0"/>
        <v>0</v>
      </c>
      <c r="H16" s="213"/>
      <c r="I16" s="213"/>
      <c r="J16" s="213"/>
      <c r="K16" s="215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</row>
    <row r="17" spans="1:33" ht="15" thickBot="1" x14ac:dyDescent="0.4">
      <c r="A17" s="92" t="s">
        <v>74</v>
      </c>
      <c r="B17" s="93" t="s">
        <v>265</v>
      </c>
      <c r="C17" s="103"/>
      <c r="D17" s="196"/>
      <c r="E17" s="103"/>
      <c r="F17" s="112"/>
      <c r="G17" s="212">
        <f t="shared" si="0"/>
        <v>0</v>
      </c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4"/>
      <c r="AG17" s="214"/>
    </row>
    <row r="18" spans="1:33" ht="15" thickBot="1" x14ac:dyDescent="0.4">
      <c r="A18" s="92" t="s">
        <v>115</v>
      </c>
      <c r="B18" s="93" t="s">
        <v>367</v>
      </c>
      <c r="C18" s="103"/>
      <c r="D18" s="196"/>
      <c r="E18" s="103"/>
      <c r="F18" s="112"/>
      <c r="G18" s="212">
        <f t="shared" si="0"/>
        <v>0</v>
      </c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4"/>
      <c r="AG18" s="214"/>
    </row>
    <row r="19" spans="1:33" ht="15" thickBot="1" x14ac:dyDescent="0.4">
      <c r="A19" s="92" t="s">
        <v>116</v>
      </c>
      <c r="B19" s="93" t="s">
        <v>368</v>
      </c>
      <c r="C19" s="103"/>
      <c r="D19" s="196"/>
      <c r="E19" s="103"/>
      <c r="F19" s="112"/>
      <c r="G19" s="212">
        <f t="shared" si="0"/>
        <v>0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4"/>
      <c r="AG19" s="214"/>
    </row>
    <row r="20" spans="1:33" ht="15" thickBot="1" x14ac:dyDescent="0.4">
      <c r="A20" s="92" t="s">
        <v>114</v>
      </c>
      <c r="B20" s="93" t="s">
        <v>123</v>
      </c>
      <c r="C20" s="103"/>
      <c r="D20" s="196"/>
      <c r="E20" s="103"/>
      <c r="F20" s="112"/>
      <c r="G20" s="212">
        <f t="shared" si="0"/>
        <v>0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</row>
    <row r="21" spans="1:33" ht="29.5" thickBot="1" x14ac:dyDescent="0.4">
      <c r="A21" s="92" t="s">
        <v>52</v>
      </c>
      <c r="B21" s="93" t="s">
        <v>369</v>
      </c>
      <c r="C21" s="103"/>
      <c r="D21" s="196"/>
      <c r="E21" s="103"/>
      <c r="F21" s="112"/>
      <c r="G21" s="212">
        <f t="shared" si="0"/>
        <v>0</v>
      </c>
      <c r="H21" s="213"/>
      <c r="I21" s="213"/>
      <c r="J21" s="213"/>
      <c r="K21" s="213"/>
      <c r="L21" s="213"/>
      <c r="M21" s="213"/>
      <c r="N21" s="213"/>
      <c r="O21" s="213"/>
      <c r="P21" s="213"/>
      <c r="Q21" s="215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4"/>
      <c r="AG21" s="214"/>
    </row>
    <row r="22" spans="1:33" ht="15" thickBot="1" x14ac:dyDescent="0.4">
      <c r="A22" s="92" t="s">
        <v>40</v>
      </c>
      <c r="B22" s="93" t="s">
        <v>82</v>
      </c>
      <c r="C22" s="103"/>
      <c r="D22" s="196"/>
      <c r="E22" s="103"/>
      <c r="F22" s="112"/>
      <c r="G22" s="212">
        <f t="shared" si="0"/>
        <v>0</v>
      </c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</row>
    <row r="23" spans="1:33" ht="29.5" thickBot="1" x14ac:dyDescent="0.4">
      <c r="A23" s="92" t="s">
        <v>270</v>
      </c>
      <c r="B23" s="93" t="s">
        <v>287</v>
      </c>
      <c r="C23" s="103"/>
      <c r="D23" s="196"/>
      <c r="E23" s="103"/>
      <c r="F23" s="112"/>
      <c r="G23" s="212">
        <f t="shared" si="0"/>
        <v>0</v>
      </c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4"/>
      <c r="AG23" s="214"/>
    </row>
    <row r="24" spans="1:33" ht="29.5" thickBot="1" x14ac:dyDescent="0.4">
      <c r="A24" s="92" t="s">
        <v>83</v>
      </c>
      <c r="B24" s="93" t="s">
        <v>84</v>
      </c>
      <c r="C24" s="103"/>
      <c r="D24" s="196"/>
      <c r="E24" s="103"/>
      <c r="F24" s="112"/>
      <c r="G24" s="212">
        <f t="shared" si="0"/>
        <v>0</v>
      </c>
      <c r="H24" s="213"/>
      <c r="I24" s="213"/>
      <c r="J24" s="213"/>
      <c r="K24" s="213"/>
      <c r="L24" s="213"/>
      <c r="M24" s="213"/>
      <c r="N24" s="213"/>
      <c r="O24" s="213"/>
      <c r="P24" s="213"/>
      <c r="Q24" s="215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4"/>
      <c r="AG24" s="214"/>
    </row>
    <row r="25" spans="1:33" ht="15" thickBot="1" x14ac:dyDescent="0.4">
      <c r="A25" s="92" t="s">
        <v>408</v>
      </c>
      <c r="B25" s="93" t="s">
        <v>409</v>
      </c>
      <c r="C25" s="103"/>
      <c r="D25" s="196"/>
      <c r="E25" s="103"/>
      <c r="F25" s="112"/>
      <c r="G25" s="212">
        <f t="shared" si="0"/>
        <v>0</v>
      </c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4"/>
      <c r="AG25" s="214"/>
    </row>
    <row r="26" spans="1:33" ht="15" thickBot="1" x14ac:dyDescent="0.4">
      <c r="A26" s="92" t="s">
        <v>113</v>
      </c>
      <c r="B26" s="93" t="s">
        <v>370</v>
      </c>
      <c r="C26" s="112"/>
      <c r="D26" s="196"/>
      <c r="E26" s="103"/>
      <c r="F26" s="112"/>
      <c r="G26" s="212">
        <f t="shared" si="0"/>
        <v>0</v>
      </c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4"/>
      <c r="AG26" s="214"/>
    </row>
    <row r="27" spans="1:33" ht="15" thickBot="1" x14ac:dyDescent="0.4">
      <c r="A27" s="92" t="s">
        <v>109</v>
      </c>
      <c r="B27" s="93" t="s">
        <v>371</v>
      </c>
      <c r="C27" s="112"/>
      <c r="D27" s="196"/>
      <c r="E27" s="103"/>
      <c r="F27" s="112"/>
      <c r="G27" s="212">
        <f t="shared" si="0"/>
        <v>0</v>
      </c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</row>
    <row r="28" spans="1:33" ht="15" thickBot="1" x14ac:dyDescent="0.4">
      <c r="A28" s="92" t="s">
        <v>117</v>
      </c>
      <c r="B28" s="93" t="s">
        <v>372</v>
      </c>
      <c r="C28" s="112"/>
      <c r="D28" s="196"/>
      <c r="E28" s="103"/>
      <c r="F28" s="112"/>
      <c r="G28" s="212">
        <f t="shared" si="0"/>
        <v>0</v>
      </c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</row>
    <row r="29" spans="1:33" ht="15" thickBot="1" x14ac:dyDescent="0.4">
      <c r="A29" s="92" t="s">
        <v>361</v>
      </c>
      <c r="B29" s="93" t="s">
        <v>373</v>
      </c>
      <c r="C29" s="112"/>
      <c r="D29" s="196"/>
      <c r="E29" s="103"/>
      <c r="F29" s="112"/>
      <c r="G29" s="212">
        <f t="shared" si="0"/>
        <v>0</v>
      </c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4"/>
      <c r="AG29" s="214"/>
    </row>
    <row r="30" spans="1:33" ht="15" thickBot="1" x14ac:dyDescent="0.4">
      <c r="A30" s="92" t="s">
        <v>118</v>
      </c>
      <c r="B30" s="93" t="s">
        <v>374</v>
      </c>
      <c r="C30" s="112"/>
      <c r="D30" s="196"/>
      <c r="E30" s="103"/>
      <c r="F30" s="112"/>
      <c r="G30" s="212">
        <f t="shared" si="0"/>
        <v>0</v>
      </c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4"/>
      <c r="AG30" s="214"/>
    </row>
    <row r="31" spans="1:33" ht="29.5" thickBot="1" x14ac:dyDescent="0.4">
      <c r="A31" s="92" t="s">
        <v>362</v>
      </c>
      <c r="B31" s="93" t="s">
        <v>375</v>
      </c>
      <c r="C31" s="112"/>
      <c r="D31" s="196"/>
      <c r="E31" s="103"/>
      <c r="F31" s="112"/>
      <c r="G31" s="212">
        <f t="shared" si="0"/>
        <v>0</v>
      </c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4"/>
      <c r="AG31" s="214"/>
    </row>
    <row r="32" spans="1:33" ht="15" thickBot="1" x14ac:dyDescent="0.4">
      <c r="A32" s="92" t="s">
        <v>119</v>
      </c>
      <c r="B32" s="93" t="s">
        <v>376</v>
      </c>
      <c r="C32" s="112"/>
      <c r="D32" s="196"/>
      <c r="E32" s="103"/>
      <c r="F32" s="112"/>
      <c r="G32" s="212">
        <f t="shared" si="0"/>
        <v>0</v>
      </c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4"/>
      <c r="AG32" s="214"/>
    </row>
    <row r="33" spans="1:35" ht="15" thickBot="1" x14ac:dyDescent="0.4">
      <c r="A33" s="104" t="s">
        <v>363</v>
      </c>
      <c r="B33" s="28" t="s">
        <v>377</v>
      </c>
      <c r="C33" s="112"/>
      <c r="D33" s="196"/>
      <c r="E33" s="112"/>
      <c r="F33" s="112"/>
      <c r="G33" s="212">
        <f t="shared" si="0"/>
        <v>0</v>
      </c>
      <c r="H33" s="216"/>
      <c r="I33" s="216"/>
      <c r="J33" s="213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44"/>
      <c r="AI33" s="44"/>
    </row>
    <row r="34" spans="1:35" s="24" customFormat="1" ht="15" thickBot="1" x14ac:dyDescent="0.4">
      <c r="A34" s="104" t="s">
        <v>120</v>
      </c>
      <c r="B34" s="28" t="s">
        <v>378</v>
      </c>
      <c r="C34" s="112"/>
      <c r="D34" s="196"/>
      <c r="E34" s="112"/>
      <c r="F34" s="112"/>
      <c r="G34" s="212">
        <f t="shared" si="0"/>
        <v>0</v>
      </c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44"/>
      <c r="AI34" s="44"/>
    </row>
    <row r="35" spans="1:35" ht="15" thickBot="1" x14ac:dyDescent="0.4">
      <c r="A35" s="104" t="s">
        <v>28</v>
      </c>
      <c r="B35" s="28" t="s">
        <v>85</v>
      </c>
      <c r="C35" s="112"/>
      <c r="D35" s="196"/>
      <c r="E35" s="112"/>
      <c r="F35" s="112"/>
      <c r="G35" s="212">
        <f t="shared" si="0"/>
        <v>0</v>
      </c>
      <c r="H35" s="217"/>
      <c r="I35" s="217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3"/>
      <c r="AF35" s="213"/>
      <c r="AG35" s="213"/>
      <c r="AH35" s="44"/>
      <c r="AI35" s="44"/>
    </row>
    <row r="36" spans="1:35" ht="15" thickBot="1" x14ac:dyDescent="0.4">
      <c r="A36" s="104" t="s">
        <v>121</v>
      </c>
      <c r="B36" s="28" t="s">
        <v>124</v>
      </c>
      <c r="C36" s="112"/>
      <c r="D36" s="196"/>
      <c r="E36" s="112"/>
      <c r="F36" s="112"/>
      <c r="G36" s="212">
        <f t="shared" si="0"/>
        <v>0</v>
      </c>
      <c r="H36" s="215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3"/>
      <c r="AG36" s="213"/>
    </row>
    <row r="37" spans="1:35" ht="15" thickBot="1" x14ac:dyDescent="0.4">
      <c r="A37" s="104" t="s">
        <v>54</v>
      </c>
      <c r="B37" s="28" t="s">
        <v>212</v>
      </c>
      <c r="C37" s="112"/>
      <c r="D37" s="196"/>
      <c r="E37" s="112"/>
      <c r="F37" s="112"/>
      <c r="G37" s="212">
        <f t="shared" si="0"/>
        <v>0</v>
      </c>
      <c r="H37" s="215"/>
      <c r="I37" s="218"/>
      <c r="J37" s="218"/>
      <c r="K37" s="218"/>
      <c r="L37" s="218"/>
      <c r="M37" s="218"/>
      <c r="N37" s="218"/>
      <c r="O37" s="215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4"/>
      <c r="AG37" s="214"/>
    </row>
    <row r="38" spans="1:35" ht="15" thickBot="1" x14ac:dyDescent="0.4">
      <c r="A38" s="104" t="s">
        <v>67</v>
      </c>
      <c r="B38" s="28" t="s">
        <v>379</v>
      </c>
      <c r="C38" s="112"/>
      <c r="D38" s="196"/>
      <c r="E38" s="112"/>
      <c r="F38" s="112"/>
      <c r="G38" s="212">
        <f t="shared" si="0"/>
        <v>0</v>
      </c>
      <c r="H38" s="215"/>
      <c r="I38" s="215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4"/>
      <c r="AG38" s="214"/>
    </row>
    <row r="39" spans="1:35" ht="15" thickBot="1" x14ac:dyDescent="0.4">
      <c r="A39" s="104" t="s">
        <v>87</v>
      </c>
      <c r="B39" s="28" t="s">
        <v>355</v>
      </c>
      <c r="C39" s="112"/>
      <c r="D39" s="196"/>
      <c r="E39" s="112"/>
      <c r="F39" s="112"/>
      <c r="G39" s="212">
        <f t="shared" si="0"/>
        <v>0</v>
      </c>
      <c r="H39" s="215"/>
      <c r="I39" s="215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5"/>
      <c r="AG39" s="215"/>
    </row>
    <row r="40" spans="1:35" ht="15" thickBot="1" x14ac:dyDescent="0.4">
      <c r="A40" s="205" t="s">
        <v>4</v>
      </c>
      <c r="B40" s="28" t="s">
        <v>434</v>
      </c>
      <c r="C40" s="112"/>
      <c r="D40" s="196"/>
      <c r="E40" s="112"/>
      <c r="F40" s="112"/>
      <c r="G40" s="212">
        <f t="shared" si="0"/>
        <v>0</v>
      </c>
      <c r="H40" s="215"/>
      <c r="I40" s="215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5"/>
      <c r="AG40" s="215"/>
    </row>
    <row r="41" spans="1:35" ht="15" thickBot="1" x14ac:dyDescent="0.4">
      <c r="A41" s="205" t="s">
        <v>435</v>
      </c>
      <c r="B41" s="28" t="s">
        <v>436</v>
      </c>
      <c r="C41" s="112"/>
      <c r="D41" s="196"/>
      <c r="E41" s="112"/>
      <c r="F41" s="112"/>
      <c r="G41" s="212">
        <f t="shared" si="0"/>
        <v>0</v>
      </c>
      <c r="H41" s="215"/>
      <c r="I41" s="215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5"/>
      <c r="AG41" s="215"/>
    </row>
    <row r="42" spans="1:35" ht="15" thickBot="1" x14ac:dyDescent="0.4">
      <c r="A42" s="28"/>
      <c r="B42" s="28"/>
      <c r="C42" s="112"/>
      <c r="D42" s="196"/>
      <c r="E42" s="112"/>
      <c r="F42" s="112"/>
      <c r="G42" s="212"/>
      <c r="H42" s="215"/>
      <c r="I42" s="215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5"/>
      <c r="AG42" s="215"/>
    </row>
    <row r="43" spans="1:35" ht="15" thickBot="1" x14ac:dyDescent="0.4">
      <c r="A43" s="28"/>
      <c r="B43" s="28"/>
      <c r="C43" s="112"/>
      <c r="D43" s="196"/>
      <c r="E43" s="112"/>
      <c r="F43" s="112"/>
      <c r="G43" s="212"/>
      <c r="H43" s="215"/>
      <c r="I43" s="215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5"/>
      <c r="AG43" s="215"/>
    </row>
    <row r="44" spans="1:35" ht="15" thickBot="1" x14ac:dyDescent="0.4">
      <c r="A44" s="28"/>
      <c r="B44" s="28"/>
      <c r="C44" s="112"/>
      <c r="D44" s="196"/>
      <c r="E44" s="112"/>
      <c r="F44" s="112"/>
      <c r="G44" s="212"/>
      <c r="H44" s="215"/>
      <c r="I44" s="215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5"/>
      <c r="AG44" s="215"/>
    </row>
    <row r="45" spans="1:35" ht="15" thickBot="1" x14ac:dyDescent="0.4">
      <c r="A45" s="28"/>
      <c r="B45" s="28"/>
      <c r="C45" s="112"/>
      <c r="D45" s="196"/>
      <c r="E45" s="112"/>
      <c r="F45" s="112"/>
      <c r="G45" s="212"/>
      <c r="H45" s="215"/>
      <c r="I45" s="215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5"/>
      <c r="AG45" s="215"/>
    </row>
    <row r="46" spans="1:35" ht="15" thickBot="1" x14ac:dyDescent="0.4">
      <c r="A46" s="28" t="s">
        <v>380</v>
      </c>
      <c r="B46" s="28"/>
      <c r="C46" s="112">
        <f>SUM(C9:C39)</f>
        <v>0</v>
      </c>
      <c r="D46" s="196">
        <f t="shared" ref="D46:G46" si="1">SUM(D9:D39)</f>
        <v>0</v>
      </c>
      <c r="E46" s="112">
        <f t="shared" si="1"/>
        <v>0</v>
      </c>
      <c r="F46" s="112">
        <f t="shared" si="1"/>
        <v>0</v>
      </c>
      <c r="G46" s="212">
        <f t="shared" si="1"/>
        <v>0</v>
      </c>
      <c r="H46" s="219"/>
      <c r="I46" s="219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18"/>
      <c r="X46" s="218"/>
      <c r="Y46" s="218"/>
      <c r="Z46" s="218"/>
      <c r="AA46" s="218"/>
      <c r="AB46" s="218"/>
      <c r="AC46" s="218"/>
      <c r="AD46" s="218"/>
      <c r="AE46" s="218"/>
      <c r="AF46" s="221"/>
      <c r="AG46" s="221"/>
    </row>
    <row r="47" spans="1:35" x14ac:dyDescent="0.35">
      <c r="F47" s="46"/>
      <c r="G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30"/>
      <c r="AG47" s="30"/>
    </row>
    <row r="48" spans="1:35" x14ac:dyDescent="0.35">
      <c r="F48" s="46"/>
      <c r="G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30"/>
      <c r="AG48" s="30"/>
    </row>
    <row r="49" spans="6:33" x14ac:dyDescent="0.35">
      <c r="F49" s="46"/>
      <c r="G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30"/>
      <c r="AG49" s="30"/>
    </row>
    <row r="50" spans="6:33" x14ac:dyDescent="0.35">
      <c r="F50" s="46">
        <f>111460-F46</f>
        <v>111460</v>
      </c>
      <c r="G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30"/>
      <c r="AG50" s="30"/>
    </row>
    <row r="51" spans="6:33" x14ac:dyDescent="0.35">
      <c r="F51" s="46"/>
      <c r="G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30"/>
      <c r="AG51" s="30"/>
    </row>
    <row r="52" spans="6:33" x14ac:dyDescent="0.35">
      <c r="F52" s="46"/>
      <c r="G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30"/>
      <c r="AG52" s="30"/>
    </row>
    <row r="53" spans="6:33" x14ac:dyDescent="0.35">
      <c r="F53" s="46"/>
      <c r="G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30"/>
      <c r="AG53" s="30"/>
    </row>
    <row r="54" spans="6:33" x14ac:dyDescent="0.35">
      <c r="F54" s="46"/>
      <c r="G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30"/>
      <c r="AG54" s="30"/>
    </row>
    <row r="55" spans="6:33" x14ac:dyDescent="0.35">
      <c r="F55" s="46"/>
      <c r="G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30"/>
      <c r="AG55" s="30"/>
    </row>
    <row r="56" spans="6:33" x14ac:dyDescent="0.35">
      <c r="F56" s="46"/>
      <c r="G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30"/>
      <c r="AG56" s="30"/>
    </row>
    <row r="57" spans="6:33" x14ac:dyDescent="0.35">
      <c r="F57" s="46"/>
      <c r="G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30"/>
      <c r="AG57" s="30"/>
    </row>
    <row r="58" spans="6:33" x14ac:dyDescent="0.35">
      <c r="F58" s="46"/>
      <c r="G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30"/>
      <c r="AG58" s="30"/>
    </row>
    <row r="59" spans="6:33" x14ac:dyDescent="0.35">
      <c r="F59" s="46"/>
      <c r="G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30"/>
      <c r="AG59" s="30"/>
    </row>
    <row r="60" spans="6:33" x14ac:dyDescent="0.35">
      <c r="F60" s="46"/>
      <c r="G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6:33" x14ac:dyDescent="0.35">
      <c r="F61" s="46"/>
      <c r="G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6:33" x14ac:dyDescent="0.35">
      <c r="F62" s="46"/>
      <c r="G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6:33" x14ac:dyDescent="0.35"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6:33" x14ac:dyDescent="0.35"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10:31" x14ac:dyDescent="0.35"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</row>
    <row r="66" spans="10:31" x14ac:dyDescent="0.35"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0:31" x14ac:dyDescent="0.35"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0:31" x14ac:dyDescent="0.35"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0:31" x14ac:dyDescent="0.35"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0:31" x14ac:dyDescent="0.35"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0:31" x14ac:dyDescent="0.35"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0:31" x14ac:dyDescent="0.35"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0:31" x14ac:dyDescent="0.35"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0:31" x14ac:dyDescent="0.35"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0:31" x14ac:dyDescent="0.35"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0:31" x14ac:dyDescent="0.35"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</row>
    <row r="77" spans="10:31" x14ac:dyDescent="0.35"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</row>
    <row r="78" spans="10:31" x14ac:dyDescent="0.35"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</row>
    <row r="79" spans="10:31" x14ac:dyDescent="0.35"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</row>
    <row r="80" spans="10:31" x14ac:dyDescent="0.35"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</row>
  </sheetData>
  <sheetProtection password="E89A" sheet="1" objects="1" scenarios="1"/>
  <sortState xmlns:xlrd2="http://schemas.microsoft.com/office/spreadsheetml/2017/richdata2" ref="A9:AG40">
    <sortCondition ref="A9:A40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2">
    <tabColor theme="2"/>
  </sheetPr>
  <dimension ref="A1:AJ51"/>
  <sheetViews>
    <sheetView workbookViewId="0">
      <pane xSplit="7" ySplit="8" topLeftCell="P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R9" sqref="R9"/>
    </sheetView>
  </sheetViews>
  <sheetFormatPr defaultColWidth="9.26953125" defaultRowHeight="14.5" x14ac:dyDescent="0.35"/>
  <cols>
    <col min="1" max="1" width="9.26953125" style="44"/>
    <col min="2" max="2" width="36.7265625" style="44" customWidth="1"/>
    <col min="3" max="3" width="14.26953125" style="44" customWidth="1"/>
    <col min="4" max="4" width="10.7265625" style="44" customWidth="1"/>
    <col min="5" max="6" width="14.26953125" style="44" customWidth="1"/>
    <col min="7" max="7" width="17.7265625" style="44" customWidth="1"/>
    <col min="8" max="8" width="12.26953125" style="44" customWidth="1"/>
    <col min="9" max="9" width="12.7265625" style="44" customWidth="1"/>
    <col min="10" max="10" width="12" style="44" customWidth="1"/>
    <col min="11" max="11" width="11.7265625" style="44" customWidth="1"/>
    <col min="12" max="12" width="12.26953125" style="44" customWidth="1"/>
    <col min="13" max="13" width="12.7265625" style="44" customWidth="1"/>
    <col min="14" max="14" width="12.453125" style="44" customWidth="1"/>
    <col min="15" max="15" width="13.26953125" style="44" customWidth="1"/>
    <col min="16" max="16" width="12.26953125" style="44" customWidth="1"/>
    <col min="17" max="17" width="13.7265625" style="44" customWidth="1"/>
    <col min="18" max="18" width="12.7265625" style="44" customWidth="1"/>
    <col min="19" max="19" width="13.26953125" style="44" customWidth="1"/>
    <col min="20" max="20" width="13" style="44" customWidth="1"/>
    <col min="21" max="22" width="15.7265625" style="44" customWidth="1"/>
    <col min="23" max="23" width="12.54296875" style="44" bestFit="1" customWidth="1"/>
    <col min="24" max="24" width="15" style="44" bestFit="1" customWidth="1"/>
    <col min="25" max="25" width="14.7265625" style="44" bestFit="1" customWidth="1"/>
    <col min="26" max="26" width="12.26953125" style="44" bestFit="1" customWidth="1"/>
    <col min="27" max="27" width="13.453125" style="44" bestFit="1" customWidth="1"/>
    <col min="28" max="28" width="11" style="44" bestFit="1" customWidth="1"/>
    <col min="29" max="29" width="9.7265625" style="44" bestFit="1" customWidth="1"/>
    <col min="30" max="30" width="9.26953125" style="44" bestFit="1" customWidth="1"/>
    <col min="31" max="31" width="9.54296875" style="44" bestFit="1" customWidth="1"/>
    <col min="32" max="32" width="8.7265625" style="44" bestFit="1" customWidth="1"/>
    <col min="33" max="33" width="11.54296875" style="44" bestFit="1" customWidth="1"/>
    <col min="34" max="34" width="15.453125" style="44" bestFit="1" customWidth="1"/>
    <col min="35" max="36" width="21.26953125" style="44" customWidth="1"/>
    <col min="37" max="16384" width="9.26953125" style="44"/>
  </cols>
  <sheetData>
    <row r="1" spans="1:36" ht="21" x14ac:dyDescent="0.5">
      <c r="A1" s="47" t="s">
        <v>0</v>
      </c>
      <c r="B1" s="53"/>
      <c r="C1" s="48" t="s">
        <v>149</v>
      </c>
      <c r="D1" s="48"/>
      <c r="E1" s="48"/>
      <c r="F1" s="47"/>
      <c r="G1" s="49"/>
      <c r="H1" s="54"/>
      <c r="I1" s="54"/>
      <c r="J1" s="48"/>
      <c r="K1" s="48"/>
      <c r="L1" s="47"/>
      <c r="M1" s="47"/>
      <c r="N1" s="48" t="str">
        <f>$C$1</f>
        <v>Title I-C Migrant</v>
      </c>
      <c r="O1" s="49"/>
      <c r="P1" s="54"/>
      <c r="Q1" s="48"/>
      <c r="R1" s="48"/>
      <c r="S1" s="48"/>
      <c r="T1" s="48" t="str">
        <f>$C$1</f>
        <v>Title I-C Migrant</v>
      </c>
      <c r="U1" s="47"/>
      <c r="V1" s="49"/>
      <c r="W1" s="49"/>
      <c r="X1" s="48"/>
      <c r="Y1" s="49"/>
      <c r="Z1" s="49"/>
      <c r="AA1" s="48" t="str">
        <f>$C$1</f>
        <v>Title I-C Migrant</v>
      </c>
      <c r="AB1" s="49"/>
      <c r="AC1" s="49"/>
      <c r="AD1" s="49"/>
      <c r="AE1" s="48"/>
      <c r="AF1" s="49"/>
      <c r="AG1" s="49"/>
      <c r="AH1" s="49"/>
      <c r="AI1" s="47"/>
      <c r="AJ1" s="47"/>
    </row>
    <row r="2" spans="1:36" ht="21" x14ac:dyDescent="0.5">
      <c r="A2" s="47" t="s">
        <v>155</v>
      </c>
      <c r="B2" s="49"/>
      <c r="C2" s="47" t="s">
        <v>163</v>
      </c>
      <c r="D2" s="47"/>
      <c r="E2" s="47"/>
      <c r="F2" s="50"/>
      <c r="G2" s="19"/>
      <c r="H2" s="54"/>
      <c r="I2" s="54"/>
      <c r="J2" s="50"/>
      <c r="K2" s="48"/>
      <c r="L2" s="48" t="s">
        <v>33</v>
      </c>
      <c r="M2" s="51"/>
      <c r="N2" s="50" t="str">
        <f>"FY"&amp;$C$4</f>
        <v>FY2019-20</v>
      </c>
      <c r="O2" s="19"/>
      <c r="P2" s="19"/>
      <c r="Q2" s="50"/>
      <c r="R2" s="50"/>
      <c r="S2" s="48"/>
      <c r="T2" s="50" t="str">
        <f>"FY"&amp;$C$4</f>
        <v>FY2019-20</v>
      </c>
      <c r="U2" s="51"/>
      <c r="V2" s="19"/>
      <c r="W2" s="49"/>
      <c r="X2" s="50"/>
      <c r="Y2" s="49"/>
      <c r="Z2" s="49"/>
      <c r="AA2" s="50" t="str">
        <f>"FY"&amp;$C$4</f>
        <v>FY2019-20</v>
      </c>
      <c r="AB2" s="49"/>
      <c r="AC2" s="49"/>
      <c r="AD2" s="49"/>
      <c r="AE2" s="50"/>
      <c r="AF2" s="49"/>
      <c r="AG2" s="49"/>
      <c r="AH2" s="49"/>
      <c r="AI2" s="47"/>
      <c r="AJ2" s="47"/>
    </row>
    <row r="3" spans="1:36" ht="16.149999999999999" customHeight="1" x14ac:dyDescent="0.5">
      <c r="A3" s="50" t="s">
        <v>1</v>
      </c>
      <c r="B3" s="53"/>
      <c r="C3" s="51">
        <v>4011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54"/>
      <c r="AJ3" s="54"/>
    </row>
    <row r="4" spans="1:36" ht="16.149999999999999" customHeight="1" x14ac:dyDescent="0.5">
      <c r="A4" s="50" t="s">
        <v>2</v>
      </c>
      <c r="B4" s="53"/>
      <c r="C4" s="51" t="s">
        <v>440</v>
      </c>
      <c r="D4" s="51"/>
      <c r="E4" s="51"/>
      <c r="F4" s="19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54"/>
      <c r="AJ4" s="54"/>
    </row>
    <row r="5" spans="1:36" ht="16.149999999999999" customHeight="1" x14ac:dyDescent="0.5">
      <c r="A5" s="50" t="s">
        <v>148</v>
      </c>
      <c r="B5" s="53"/>
      <c r="C5" s="63" t="s">
        <v>444</v>
      </c>
      <c r="D5" s="122"/>
      <c r="E5" s="122"/>
      <c r="F5" s="50"/>
      <c r="G5" s="9"/>
      <c r="H5" s="9"/>
      <c r="I5" s="9"/>
      <c r="J5" s="9"/>
      <c r="K5" s="9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2"/>
      <c r="AJ5" s="52"/>
    </row>
    <row r="6" spans="1:36" ht="16.149999999999999" customHeight="1" x14ac:dyDescent="0.5">
      <c r="A6" s="50" t="s">
        <v>19</v>
      </c>
      <c r="B6" s="53"/>
      <c r="C6" s="67" t="s">
        <v>463</v>
      </c>
      <c r="D6" s="50"/>
      <c r="E6" s="50"/>
      <c r="F6" s="50"/>
      <c r="G6" s="9"/>
      <c r="H6" s="9"/>
      <c r="I6" s="9"/>
      <c r="J6" s="9"/>
      <c r="K6" s="9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2"/>
      <c r="AJ6" s="52"/>
    </row>
    <row r="7" spans="1:36" ht="16.149999999999999" customHeight="1" thickBot="1" x14ac:dyDescent="0.55000000000000004">
      <c r="A7" s="50"/>
      <c r="B7" s="53"/>
      <c r="C7" s="50"/>
      <c r="D7" s="50"/>
      <c r="E7" s="50"/>
      <c r="F7" s="50"/>
      <c r="G7" s="9"/>
      <c r="H7" s="9"/>
      <c r="I7" s="9"/>
      <c r="J7" s="9"/>
      <c r="K7" s="9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2"/>
      <c r="AJ7" s="52"/>
    </row>
    <row r="8" spans="1:36" s="121" customFormat="1" ht="29.5" thickBot="1" x14ac:dyDescent="0.4">
      <c r="A8" s="55" t="s">
        <v>145</v>
      </c>
      <c r="B8" s="55" t="s">
        <v>44</v>
      </c>
      <c r="C8" s="55" t="s">
        <v>15</v>
      </c>
      <c r="D8" s="55"/>
      <c r="E8" s="55" t="s">
        <v>147</v>
      </c>
      <c r="F8" s="55" t="s">
        <v>16</v>
      </c>
      <c r="G8" s="25" t="s">
        <v>17</v>
      </c>
      <c r="H8" s="26" t="s">
        <v>133</v>
      </c>
      <c r="I8" s="27" t="s">
        <v>134</v>
      </c>
      <c r="J8" s="26" t="s">
        <v>135</v>
      </c>
      <c r="K8" s="27" t="s">
        <v>172</v>
      </c>
      <c r="L8" s="26" t="s">
        <v>173</v>
      </c>
      <c r="M8" s="27" t="s">
        <v>137</v>
      </c>
      <c r="N8" s="27" t="s">
        <v>252</v>
      </c>
      <c r="O8" s="27" t="s">
        <v>253</v>
      </c>
      <c r="P8" s="27" t="s">
        <v>254</v>
      </c>
      <c r="Q8" s="27" t="s">
        <v>255</v>
      </c>
      <c r="R8" s="27" t="s">
        <v>256</v>
      </c>
      <c r="S8" s="27" t="s">
        <v>531</v>
      </c>
      <c r="T8" s="26" t="s">
        <v>258</v>
      </c>
      <c r="U8" s="27" t="s">
        <v>259</v>
      </c>
      <c r="V8" s="27" t="s">
        <v>260</v>
      </c>
      <c r="W8" s="27" t="s">
        <v>442</v>
      </c>
      <c r="X8" s="26" t="s">
        <v>443</v>
      </c>
      <c r="Y8" s="27" t="s">
        <v>137</v>
      </c>
      <c r="Z8" s="12" t="s">
        <v>166</v>
      </c>
      <c r="AA8" s="27" t="s">
        <v>253</v>
      </c>
      <c r="AB8" s="27" t="s">
        <v>254</v>
      </c>
      <c r="AC8" s="27" t="s">
        <v>255</v>
      </c>
      <c r="AD8" s="27" t="s">
        <v>256</v>
      </c>
      <c r="AE8" s="27" t="s">
        <v>257</v>
      </c>
      <c r="AF8" s="26" t="s">
        <v>258</v>
      </c>
      <c r="AG8" s="27" t="s">
        <v>259</v>
      </c>
      <c r="AH8" s="27" t="s">
        <v>260</v>
      </c>
      <c r="AI8" s="55" t="s">
        <v>166</v>
      </c>
      <c r="AJ8" s="55" t="s">
        <v>167</v>
      </c>
    </row>
    <row r="9" spans="1:36" s="121" customFormat="1" ht="15" thickBot="1" x14ac:dyDescent="0.4">
      <c r="A9" s="138" t="s">
        <v>4</v>
      </c>
      <c r="B9" s="69" t="s">
        <v>92</v>
      </c>
      <c r="C9" s="266">
        <v>1323187</v>
      </c>
      <c r="D9" s="247">
        <v>0</v>
      </c>
      <c r="E9" s="247">
        <f>C9</f>
        <v>1323187</v>
      </c>
      <c r="F9" s="266">
        <f>SUM(H9:AH9)</f>
        <v>821401.40999999992</v>
      </c>
      <c r="G9" s="266">
        <f>C9-F9</f>
        <v>501785.59000000008</v>
      </c>
      <c r="H9" s="289"/>
      <c r="I9" s="289"/>
      <c r="J9" s="289"/>
      <c r="K9" s="290"/>
      <c r="L9" s="290"/>
      <c r="M9" s="290">
        <f>106934.96+88218.4</f>
        <v>195153.36</v>
      </c>
      <c r="N9" s="290">
        <v>104382.3</v>
      </c>
      <c r="O9" s="290">
        <v>104448.17</v>
      </c>
      <c r="P9" s="290"/>
      <c r="Q9" s="290">
        <f>98189.35+11859.06+87486.17</f>
        <v>197534.58000000002</v>
      </c>
      <c r="R9" s="290">
        <v>98519.37</v>
      </c>
      <c r="S9" s="290">
        <v>121363.63</v>
      </c>
      <c r="T9" s="290"/>
      <c r="U9" s="290"/>
      <c r="V9" s="290"/>
      <c r="W9" s="290"/>
      <c r="X9" s="290"/>
      <c r="Y9" s="267"/>
      <c r="Z9" s="267"/>
      <c r="AA9" s="267"/>
      <c r="AB9" s="267"/>
      <c r="AC9" s="133"/>
      <c r="AD9" s="133"/>
      <c r="AE9" s="133"/>
      <c r="AF9" s="133"/>
      <c r="AG9" s="133"/>
      <c r="AH9" s="133"/>
      <c r="AI9" s="44"/>
      <c r="AJ9" s="44"/>
    </row>
    <row r="10" spans="1:36" s="120" customFormat="1" ht="19" thickBot="1" x14ac:dyDescent="0.5">
      <c r="A10" s="138" t="s">
        <v>83</v>
      </c>
      <c r="B10" s="69" t="s">
        <v>84</v>
      </c>
      <c r="C10" s="266">
        <v>625000</v>
      </c>
      <c r="D10" s="247">
        <v>0</v>
      </c>
      <c r="E10" s="247">
        <f>C10</f>
        <v>625000</v>
      </c>
      <c r="F10" s="266">
        <f>SUM(H10:AH10)</f>
        <v>332570.65000000002</v>
      </c>
      <c r="G10" s="266">
        <f t="shared" ref="G10:G13" si="0">C10-F10</f>
        <v>292429.34999999998</v>
      </c>
      <c r="H10" s="290"/>
      <c r="I10" s="290"/>
      <c r="J10" s="290"/>
      <c r="K10" s="290">
        <v>19809.3</v>
      </c>
      <c r="L10" s="290">
        <v>46469.66</v>
      </c>
      <c r="M10" s="290">
        <v>41885.43</v>
      </c>
      <c r="N10" s="290">
        <v>40926.629999999997</v>
      </c>
      <c r="O10" s="290">
        <v>32290.83</v>
      </c>
      <c r="P10" s="290">
        <v>37414.67</v>
      </c>
      <c r="Q10" s="290">
        <v>41218.49</v>
      </c>
      <c r="R10" s="290">
        <v>38381.64</v>
      </c>
      <c r="S10" s="290">
        <v>34174</v>
      </c>
      <c r="T10" s="290"/>
      <c r="U10" s="290"/>
      <c r="V10" s="290"/>
      <c r="W10" s="290"/>
      <c r="X10" s="290"/>
      <c r="Y10" s="267"/>
      <c r="Z10" s="267"/>
      <c r="AA10" s="267"/>
      <c r="AB10" s="267"/>
      <c r="AC10" s="133"/>
      <c r="AD10" s="133"/>
      <c r="AE10" s="133"/>
      <c r="AF10" s="133"/>
      <c r="AG10" s="133"/>
      <c r="AH10" s="133"/>
      <c r="AI10" s="44"/>
      <c r="AJ10" s="44"/>
    </row>
    <row r="11" spans="1:36" s="120" customFormat="1" ht="19" thickBot="1" x14ac:dyDescent="0.5">
      <c r="A11" s="138">
        <v>2700</v>
      </c>
      <c r="B11" s="69" t="s">
        <v>412</v>
      </c>
      <c r="C11" s="266">
        <v>627802</v>
      </c>
      <c r="D11" s="247">
        <v>0</v>
      </c>
      <c r="E11" s="247">
        <f>C11</f>
        <v>627802</v>
      </c>
      <c r="F11" s="266">
        <f t="shared" ref="F11" si="1">SUM(H11:AH11)</f>
        <v>327236.43000000005</v>
      </c>
      <c r="G11" s="266">
        <f t="shared" si="0"/>
        <v>300565.56999999995</v>
      </c>
      <c r="H11" s="290"/>
      <c r="I11" s="290"/>
      <c r="J11" s="290"/>
      <c r="K11" s="290"/>
      <c r="L11" s="290"/>
      <c r="M11" s="290"/>
      <c r="N11" s="290"/>
      <c r="O11" s="290">
        <v>155437.29</v>
      </c>
      <c r="P11" s="290">
        <v>171799.14</v>
      </c>
      <c r="Q11" s="290"/>
      <c r="R11" s="290"/>
      <c r="S11" s="290"/>
      <c r="T11" s="290"/>
      <c r="U11" s="290"/>
      <c r="V11" s="290"/>
      <c r="W11" s="290"/>
      <c r="X11" s="290"/>
      <c r="Y11" s="267"/>
      <c r="Z11" s="267"/>
      <c r="AA11" s="267"/>
      <c r="AB11" s="267"/>
      <c r="AC11" s="133"/>
      <c r="AD11" s="133"/>
      <c r="AE11" s="133"/>
      <c r="AF11" s="133"/>
      <c r="AG11" s="133"/>
      <c r="AH11" s="133"/>
      <c r="AI11" s="44"/>
      <c r="AJ11" s="44"/>
    </row>
    <row r="12" spans="1:36" s="120" customFormat="1" ht="29.5" thickBot="1" x14ac:dyDescent="0.5">
      <c r="A12" s="138" t="s">
        <v>35</v>
      </c>
      <c r="B12" s="69" t="s">
        <v>86</v>
      </c>
      <c r="C12" s="266">
        <v>1962200</v>
      </c>
      <c r="D12" s="247">
        <v>0</v>
      </c>
      <c r="E12" s="247">
        <f>C12</f>
        <v>1962200</v>
      </c>
      <c r="F12" s="266">
        <f>SUM(H12:AH12)</f>
        <v>1308355</v>
      </c>
      <c r="G12" s="266">
        <f t="shared" si="0"/>
        <v>653845</v>
      </c>
      <c r="H12" s="290"/>
      <c r="I12" s="290"/>
      <c r="J12" s="290"/>
      <c r="K12" s="290">
        <v>133781</v>
      </c>
      <c r="L12" s="290">
        <v>144642</v>
      </c>
      <c r="M12" s="290">
        <v>147043</v>
      </c>
      <c r="N12" s="290">
        <v>134224</v>
      </c>
      <c r="O12" s="290">
        <v>154275</v>
      </c>
      <c r="P12" s="290">
        <v>177443</v>
      </c>
      <c r="Q12" s="290">
        <v>141748</v>
      </c>
      <c r="R12" s="290">
        <v>128483</v>
      </c>
      <c r="S12" s="290">
        <v>146716</v>
      </c>
      <c r="T12" s="290"/>
      <c r="U12" s="290"/>
      <c r="V12" s="290"/>
      <c r="W12" s="290"/>
      <c r="X12" s="290"/>
      <c r="Y12" s="267"/>
      <c r="Z12" s="267"/>
      <c r="AA12" s="267"/>
      <c r="AB12" s="267"/>
      <c r="AC12" s="133"/>
      <c r="AD12" s="133"/>
      <c r="AE12" s="133"/>
      <c r="AF12" s="133"/>
      <c r="AG12" s="133"/>
      <c r="AH12" s="133"/>
      <c r="AI12" s="44"/>
      <c r="AJ12" s="44"/>
    </row>
    <row r="13" spans="1:36" s="120" customFormat="1" ht="19" thickBot="1" x14ac:dyDescent="0.5">
      <c r="A13" s="138" t="s">
        <v>144</v>
      </c>
      <c r="B13" s="69" t="s">
        <v>266</v>
      </c>
      <c r="C13" s="266">
        <v>857683</v>
      </c>
      <c r="D13" s="247"/>
      <c r="E13" s="247">
        <f>C13</f>
        <v>857683</v>
      </c>
      <c r="F13" s="266">
        <f>SUM(H13:AH13)</f>
        <v>484320.32</v>
      </c>
      <c r="G13" s="266">
        <f t="shared" si="0"/>
        <v>373362.68</v>
      </c>
      <c r="H13" s="290"/>
      <c r="I13" s="290"/>
      <c r="J13" s="290">
        <v>57915.03</v>
      </c>
      <c r="K13" s="290">
        <v>53681.62</v>
      </c>
      <c r="L13" s="290">
        <v>51683.8</v>
      </c>
      <c r="M13" s="290">
        <v>45135.61</v>
      </c>
      <c r="N13" s="290">
        <v>44368.959999999999</v>
      </c>
      <c r="O13" s="290">
        <v>42395.17</v>
      </c>
      <c r="P13" s="290">
        <v>47951.59</v>
      </c>
      <c r="Q13" s="290">
        <v>48380.36</v>
      </c>
      <c r="R13" s="290">
        <v>43038.93</v>
      </c>
      <c r="S13" s="290">
        <v>49769.25</v>
      </c>
      <c r="T13" s="290"/>
      <c r="U13" s="290"/>
      <c r="V13" s="290"/>
      <c r="W13" s="290"/>
      <c r="X13" s="290"/>
      <c r="Y13" s="267"/>
      <c r="Z13" s="267"/>
      <c r="AA13" s="267"/>
      <c r="AB13" s="267"/>
      <c r="AC13" s="133"/>
      <c r="AD13" s="133"/>
      <c r="AE13" s="133"/>
      <c r="AF13" s="133"/>
      <c r="AG13" s="133"/>
      <c r="AH13" s="133"/>
      <c r="AI13" s="44"/>
      <c r="AJ13" s="44"/>
    </row>
    <row r="14" spans="1:36" ht="15" thickBot="1" x14ac:dyDescent="0.4">
      <c r="A14" s="69"/>
      <c r="B14" s="69"/>
      <c r="C14" s="268"/>
      <c r="D14" s="268"/>
      <c r="E14" s="268"/>
      <c r="F14" s="268"/>
      <c r="G14" s="268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133"/>
      <c r="AD14" s="133"/>
      <c r="AE14" s="133"/>
      <c r="AF14" s="133"/>
      <c r="AG14" s="133"/>
      <c r="AH14" s="133"/>
      <c r="AI14" s="75"/>
      <c r="AJ14" s="75"/>
    </row>
    <row r="15" spans="1:36" s="119" customFormat="1" ht="15" thickBot="1" x14ac:dyDescent="0.4">
      <c r="A15" s="71" t="s">
        <v>46</v>
      </c>
      <c r="B15" s="71"/>
      <c r="C15" s="269">
        <f>SUM(C9:C13)</f>
        <v>5395872</v>
      </c>
      <c r="D15" s="269">
        <v>0</v>
      </c>
      <c r="E15" s="269">
        <f>C15+D15</f>
        <v>5395872</v>
      </c>
      <c r="F15" s="269">
        <f t="shared" ref="F15:AJ15" si="2">SUM(F9:F13)</f>
        <v>3273883.81</v>
      </c>
      <c r="G15" s="269">
        <f t="shared" si="2"/>
        <v>2121988.19</v>
      </c>
      <c r="H15" s="269">
        <f t="shared" si="2"/>
        <v>0</v>
      </c>
      <c r="I15" s="269">
        <f t="shared" si="2"/>
        <v>0</v>
      </c>
      <c r="J15" s="269">
        <f t="shared" si="2"/>
        <v>57915.03</v>
      </c>
      <c r="K15" s="269">
        <f t="shared" si="2"/>
        <v>207271.91999999998</v>
      </c>
      <c r="L15" s="269">
        <f t="shared" si="2"/>
        <v>242795.46000000002</v>
      </c>
      <c r="M15" s="269">
        <f t="shared" si="2"/>
        <v>429217.39999999997</v>
      </c>
      <c r="N15" s="269">
        <f t="shared" si="2"/>
        <v>323901.89</v>
      </c>
      <c r="O15" s="269">
        <f t="shared" si="2"/>
        <v>488846.46</v>
      </c>
      <c r="P15" s="269">
        <f t="shared" si="2"/>
        <v>434608.4</v>
      </c>
      <c r="Q15" s="269">
        <f>SUM(Q9:Q13)</f>
        <v>428881.43</v>
      </c>
      <c r="R15" s="269">
        <f t="shared" si="2"/>
        <v>308422.94</v>
      </c>
      <c r="S15" s="269">
        <f t="shared" si="2"/>
        <v>352022.88</v>
      </c>
      <c r="T15" s="269">
        <f t="shared" si="2"/>
        <v>0</v>
      </c>
      <c r="U15" s="269">
        <f t="shared" si="2"/>
        <v>0</v>
      </c>
      <c r="V15" s="269">
        <f t="shared" si="2"/>
        <v>0</v>
      </c>
      <c r="W15" s="269">
        <f t="shared" si="2"/>
        <v>0</v>
      </c>
      <c r="X15" s="269">
        <f t="shared" si="2"/>
        <v>0</v>
      </c>
      <c r="Y15" s="269">
        <f t="shared" si="2"/>
        <v>0</v>
      </c>
      <c r="Z15" s="269">
        <f t="shared" si="2"/>
        <v>0</v>
      </c>
      <c r="AA15" s="269">
        <f t="shared" si="2"/>
        <v>0</v>
      </c>
      <c r="AB15" s="269">
        <f t="shared" si="2"/>
        <v>0</v>
      </c>
      <c r="AC15" s="71">
        <f t="shared" si="2"/>
        <v>0</v>
      </c>
      <c r="AD15" s="71">
        <f t="shared" si="2"/>
        <v>0</v>
      </c>
      <c r="AE15" s="71">
        <f t="shared" si="2"/>
        <v>0</v>
      </c>
      <c r="AF15" s="71">
        <f t="shared" si="2"/>
        <v>0</v>
      </c>
      <c r="AG15" s="71">
        <f t="shared" si="2"/>
        <v>0</v>
      </c>
      <c r="AH15" s="71">
        <f t="shared" si="2"/>
        <v>0</v>
      </c>
      <c r="AI15" s="71">
        <f t="shared" si="2"/>
        <v>0</v>
      </c>
      <c r="AJ15" s="71">
        <f t="shared" si="2"/>
        <v>0</v>
      </c>
    </row>
    <row r="16" spans="1:36" x14ac:dyDescent="0.35"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I16" s="75"/>
      <c r="AJ16" s="75"/>
    </row>
    <row r="17" spans="3:36" x14ac:dyDescent="0.35"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</row>
    <row r="18" spans="3:36" x14ac:dyDescent="0.35"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</row>
    <row r="19" spans="3:36" x14ac:dyDescent="0.35"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</row>
    <row r="20" spans="3:36" x14ac:dyDescent="0.35"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I20" s="75"/>
      <c r="AJ20" s="75"/>
    </row>
    <row r="22" spans="3:36" x14ac:dyDescent="0.35">
      <c r="AI22" s="75"/>
      <c r="AJ22" s="75"/>
    </row>
    <row r="26" spans="3:36" x14ac:dyDescent="0.35">
      <c r="AI26" s="75"/>
      <c r="AJ26" s="75"/>
    </row>
    <row r="27" spans="3:36" x14ac:dyDescent="0.35">
      <c r="AI27" s="75"/>
      <c r="AJ27" s="75"/>
    </row>
    <row r="32" spans="3:36" x14ac:dyDescent="0.35">
      <c r="AI32" s="75"/>
      <c r="AJ32" s="75"/>
    </row>
    <row r="33" spans="35:36" x14ac:dyDescent="0.35">
      <c r="AI33" s="75"/>
      <c r="AJ33" s="75"/>
    </row>
    <row r="35" spans="35:36" x14ac:dyDescent="0.35">
      <c r="AI35" s="75"/>
      <c r="AJ35" s="75"/>
    </row>
    <row r="38" spans="35:36" x14ac:dyDescent="0.35">
      <c r="AI38" s="30"/>
      <c r="AJ38" s="30"/>
    </row>
    <row r="39" spans="35:36" x14ac:dyDescent="0.35">
      <c r="AI39" s="30"/>
      <c r="AJ39" s="30"/>
    </row>
    <row r="40" spans="35:36" x14ac:dyDescent="0.35">
      <c r="AI40" s="30"/>
      <c r="AJ40" s="30"/>
    </row>
    <row r="41" spans="35:36" x14ac:dyDescent="0.35">
      <c r="AI41" s="30"/>
      <c r="AJ41" s="30"/>
    </row>
    <row r="42" spans="35:36" x14ac:dyDescent="0.35">
      <c r="AI42" s="30"/>
      <c r="AJ42" s="30"/>
    </row>
    <row r="43" spans="35:36" x14ac:dyDescent="0.35">
      <c r="AI43" s="30"/>
      <c r="AJ43" s="30"/>
    </row>
    <row r="44" spans="35:36" x14ac:dyDescent="0.35">
      <c r="AI44" s="30"/>
      <c r="AJ44" s="30"/>
    </row>
    <row r="45" spans="35:36" x14ac:dyDescent="0.35">
      <c r="AI45" s="30"/>
      <c r="AJ45" s="30"/>
    </row>
    <row r="46" spans="35:36" x14ac:dyDescent="0.35">
      <c r="AI46" s="30"/>
      <c r="AJ46" s="30"/>
    </row>
    <row r="47" spans="35:36" x14ac:dyDescent="0.35">
      <c r="AI47" s="30"/>
      <c r="AJ47" s="30"/>
    </row>
    <row r="48" spans="35:36" x14ac:dyDescent="0.35">
      <c r="AI48" s="30"/>
      <c r="AJ48" s="30"/>
    </row>
    <row r="49" spans="35:36" x14ac:dyDescent="0.35">
      <c r="AI49" s="30"/>
      <c r="AJ49" s="30"/>
    </row>
    <row r="50" spans="35:36" x14ac:dyDescent="0.35">
      <c r="AI50" s="30"/>
      <c r="AJ50" s="30"/>
    </row>
    <row r="51" spans="35:36" x14ac:dyDescent="0.35">
      <c r="AI51" s="30"/>
      <c r="AJ51" s="30"/>
    </row>
  </sheetData>
  <sheetProtection algorithmName="SHA-512" hashValue="C6++KMK8w9s0UkfOEEQTPaJkF2aHhZF1QjpLIuilG/ZAwiOlawf89Rf53zQtj840X15THLvTOgmSeFBMUuKsTA==" saltValue="e5Yod0LUG2zYcutNvmg/1w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tabColor theme="2"/>
  </sheetPr>
  <dimension ref="A1:AK56"/>
  <sheetViews>
    <sheetView workbookViewId="0">
      <pane xSplit="8" ySplit="8" topLeftCell="AK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G21" sqref="G21"/>
    </sheetView>
  </sheetViews>
  <sheetFormatPr defaultColWidth="8.7265625" defaultRowHeight="14.5" x14ac:dyDescent="0.35"/>
  <cols>
    <col min="1" max="1" width="8.7265625" style="36"/>
    <col min="2" max="2" width="36.7265625" style="44" customWidth="1"/>
    <col min="3" max="4" width="13.54296875" style="45" customWidth="1"/>
    <col min="5" max="5" width="15.26953125" style="45" customWidth="1"/>
    <col min="6" max="6" width="13.54296875" style="45" customWidth="1"/>
    <col min="7" max="7" width="13.7265625" style="45" customWidth="1"/>
    <col min="8" max="8" width="17.54296875" style="45" customWidth="1"/>
    <col min="9" max="35" width="15.7265625" style="91" customWidth="1"/>
    <col min="36" max="37" width="21.26953125" style="44" customWidth="1"/>
    <col min="38" max="16384" width="8.7265625" style="44"/>
  </cols>
  <sheetData>
    <row r="1" spans="1:37" s="45" customFormat="1" ht="21" x14ac:dyDescent="0.5">
      <c r="A1" s="32" t="s">
        <v>0</v>
      </c>
      <c r="B1" s="53"/>
      <c r="C1" s="48" t="s">
        <v>26</v>
      </c>
      <c r="D1" s="48"/>
      <c r="E1" s="48"/>
      <c r="F1" s="48"/>
      <c r="G1" s="47"/>
      <c r="H1" s="49"/>
      <c r="I1" s="79"/>
      <c r="J1" s="79"/>
      <c r="K1" s="79"/>
      <c r="L1" s="79"/>
      <c r="M1" s="48" t="str">
        <f>C1</f>
        <v>Title II-B Math &amp; Science Partnerships</v>
      </c>
      <c r="N1" s="79"/>
      <c r="O1" s="79"/>
      <c r="P1" s="79"/>
      <c r="Q1" s="79"/>
      <c r="R1" s="79"/>
      <c r="S1" s="48" t="s">
        <v>26</v>
      </c>
      <c r="T1" s="79"/>
      <c r="U1" s="79"/>
      <c r="V1" s="79"/>
      <c r="W1" s="79"/>
      <c r="X1" s="79"/>
      <c r="Y1" s="79"/>
      <c r="Z1" s="48" t="str">
        <f>$C$1</f>
        <v>Title II-B Math &amp; Science Partnerships</v>
      </c>
      <c r="AA1" s="79"/>
      <c r="AB1" s="48"/>
      <c r="AC1" s="79"/>
      <c r="AD1" s="79"/>
      <c r="AE1" s="79"/>
      <c r="AF1" s="79"/>
      <c r="AG1" s="48" t="str">
        <f>$C$1</f>
        <v>Title II-B Math &amp; Science Partnerships</v>
      </c>
      <c r="AH1" s="79"/>
      <c r="AI1" s="79"/>
      <c r="AJ1" s="47"/>
      <c r="AK1" s="47"/>
    </row>
    <row r="2" spans="1:37" s="45" customFormat="1" ht="21" x14ac:dyDescent="0.5">
      <c r="A2" s="32" t="s">
        <v>155</v>
      </c>
      <c r="B2" s="49"/>
      <c r="C2" s="48" t="s">
        <v>164</v>
      </c>
      <c r="D2" s="51"/>
      <c r="E2" s="51"/>
      <c r="F2" s="51"/>
      <c r="G2" s="50"/>
      <c r="H2" s="19"/>
      <c r="I2" s="136"/>
      <c r="J2" s="136"/>
      <c r="K2" s="136"/>
      <c r="L2" s="136"/>
      <c r="M2" s="135" t="str">
        <f>"FY"&amp;C4</f>
        <v>FY2018-19</v>
      </c>
      <c r="N2" s="136"/>
      <c r="O2" s="136"/>
      <c r="P2" s="136"/>
      <c r="Q2" s="136"/>
      <c r="R2" s="136"/>
      <c r="S2" s="135" t="str">
        <f>"FY"&amp;C4</f>
        <v>FY2018-19</v>
      </c>
      <c r="T2" s="136"/>
      <c r="U2" s="136"/>
      <c r="V2" s="136"/>
      <c r="W2" s="136"/>
      <c r="X2" s="136"/>
      <c r="Y2" s="136"/>
      <c r="Z2" s="135" t="str">
        <f>"FY"&amp;$C$4</f>
        <v>FY2018-19</v>
      </c>
      <c r="AA2" s="136"/>
      <c r="AB2" s="135"/>
      <c r="AC2" s="136"/>
      <c r="AD2" s="136"/>
      <c r="AE2" s="136"/>
      <c r="AF2" s="136"/>
      <c r="AG2" s="135" t="str">
        <f>"FY"&amp;$C$4</f>
        <v>FY2018-19</v>
      </c>
      <c r="AH2" s="79"/>
      <c r="AI2" s="79"/>
      <c r="AJ2" s="47"/>
      <c r="AK2" s="47"/>
    </row>
    <row r="3" spans="1:37" s="45" customFormat="1" ht="16.149999999999999" customHeight="1" x14ac:dyDescent="0.35">
      <c r="A3" s="33" t="s">
        <v>1</v>
      </c>
      <c r="B3" s="53"/>
      <c r="C3" s="51">
        <v>5366</v>
      </c>
      <c r="D3" s="51"/>
      <c r="E3" s="51"/>
      <c r="F3" s="51"/>
      <c r="G3" s="50"/>
      <c r="H3" s="1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54"/>
      <c r="AK3" s="54"/>
    </row>
    <row r="4" spans="1:37" s="45" customFormat="1" ht="16.149999999999999" customHeight="1" x14ac:dyDescent="0.5">
      <c r="A4" s="33" t="s">
        <v>2</v>
      </c>
      <c r="B4" s="53"/>
      <c r="C4" s="51" t="s">
        <v>171</v>
      </c>
      <c r="D4" s="48"/>
      <c r="E4" s="48"/>
      <c r="F4" s="48"/>
      <c r="G4" s="19"/>
      <c r="H4" s="1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54"/>
      <c r="AK4" s="54"/>
    </row>
    <row r="5" spans="1:37" s="45" customFormat="1" ht="16.149999999999999" customHeight="1" x14ac:dyDescent="0.35">
      <c r="A5" s="33" t="s">
        <v>18</v>
      </c>
      <c r="B5" s="53"/>
      <c r="C5" s="50" t="s">
        <v>251</v>
      </c>
      <c r="D5" s="50"/>
      <c r="E5" s="50"/>
      <c r="F5" s="50"/>
      <c r="G5" s="19"/>
      <c r="H5" s="19"/>
      <c r="I5" s="8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52"/>
      <c r="AK5" s="52"/>
    </row>
    <row r="6" spans="1:37" s="45" customFormat="1" ht="16.149999999999999" customHeight="1" x14ac:dyDescent="0.35">
      <c r="A6" s="33" t="s">
        <v>19</v>
      </c>
      <c r="B6" s="53"/>
      <c r="C6" s="51" t="s">
        <v>32</v>
      </c>
      <c r="D6" s="51"/>
      <c r="E6" s="51"/>
      <c r="F6" s="51"/>
      <c r="G6" s="19"/>
      <c r="H6" s="19"/>
      <c r="I6" s="80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52"/>
      <c r="AK6" s="52"/>
    </row>
    <row r="7" spans="1:37" s="45" customFormat="1" ht="16.149999999999999" customHeight="1" thickBot="1" x14ac:dyDescent="0.55000000000000004">
      <c r="A7" s="32"/>
      <c r="B7" s="53"/>
      <c r="C7" s="51"/>
      <c r="D7" s="51"/>
      <c r="E7" s="51"/>
      <c r="F7" s="51"/>
      <c r="G7" s="19"/>
      <c r="H7" s="19"/>
      <c r="I7" s="80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52"/>
      <c r="AK7" s="52"/>
    </row>
    <row r="8" spans="1:37" ht="29.5" thickBot="1" x14ac:dyDescent="0.4">
      <c r="A8" s="34" t="s">
        <v>145</v>
      </c>
      <c r="B8" s="12" t="s">
        <v>139</v>
      </c>
      <c r="C8" s="12" t="s">
        <v>15</v>
      </c>
      <c r="D8" s="12" t="s">
        <v>112</v>
      </c>
      <c r="E8" s="12" t="s">
        <v>168</v>
      </c>
      <c r="F8" s="12" t="s">
        <v>147</v>
      </c>
      <c r="G8" s="12" t="s">
        <v>16</v>
      </c>
      <c r="H8" s="10" t="s">
        <v>17</v>
      </c>
      <c r="I8" s="134" t="s">
        <v>63</v>
      </c>
      <c r="J8" s="134" t="s">
        <v>64</v>
      </c>
      <c r="K8" s="134" t="s">
        <v>65</v>
      </c>
      <c r="L8" s="134" t="s">
        <v>125</v>
      </c>
      <c r="M8" s="134" t="s">
        <v>126</v>
      </c>
      <c r="N8" s="134" t="s">
        <v>136</v>
      </c>
      <c r="O8" s="134" t="s">
        <v>127</v>
      </c>
      <c r="P8" s="134" t="s">
        <v>128</v>
      </c>
      <c r="Q8" s="134" t="s">
        <v>129</v>
      </c>
      <c r="R8" s="134" t="s">
        <v>130</v>
      </c>
      <c r="S8" s="134" t="s">
        <v>131</v>
      </c>
      <c r="T8" s="134" t="s">
        <v>132</v>
      </c>
      <c r="U8" s="134" t="s">
        <v>133</v>
      </c>
      <c r="V8" s="134" t="s">
        <v>134</v>
      </c>
      <c r="W8" s="134" t="s">
        <v>135</v>
      </c>
      <c r="X8" s="55" t="s">
        <v>172</v>
      </c>
      <c r="Y8" s="59" t="s">
        <v>173</v>
      </c>
      <c r="Z8" s="55" t="s">
        <v>137</v>
      </c>
      <c r="AA8" s="55" t="s">
        <v>252</v>
      </c>
      <c r="AB8" s="55" t="s">
        <v>253</v>
      </c>
      <c r="AC8" s="55" t="s">
        <v>254</v>
      </c>
      <c r="AD8" s="55" t="s">
        <v>255</v>
      </c>
      <c r="AE8" s="55" t="s">
        <v>256</v>
      </c>
      <c r="AF8" s="55" t="s">
        <v>257</v>
      </c>
      <c r="AG8" s="59" t="s">
        <v>258</v>
      </c>
      <c r="AH8" s="55" t="s">
        <v>259</v>
      </c>
      <c r="AI8" s="55" t="s">
        <v>260</v>
      </c>
      <c r="AJ8" s="55" t="s">
        <v>166</v>
      </c>
      <c r="AK8" s="55" t="s">
        <v>167</v>
      </c>
    </row>
    <row r="9" spans="1:37" s="21" customFormat="1" ht="15" thickBot="1" x14ac:dyDescent="0.4">
      <c r="A9" s="81"/>
      <c r="B9" s="82"/>
      <c r="C9" s="83">
        <v>0</v>
      </c>
      <c r="D9" s="83"/>
      <c r="E9" s="83"/>
      <c r="F9" s="83">
        <f>C9+D9+E9</f>
        <v>0</v>
      </c>
      <c r="G9" s="100">
        <f>SUM(I9:AI9)</f>
        <v>0</v>
      </c>
      <c r="H9" s="83">
        <f t="shared" ref="H9:H11" si="0">F9-G9</f>
        <v>0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44"/>
      <c r="AK9" s="44"/>
    </row>
    <row r="10" spans="1:37" s="21" customFormat="1" ht="15" thickBot="1" x14ac:dyDescent="0.4">
      <c r="A10" s="81"/>
      <c r="B10" s="82"/>
      <c r="C10" s="83">
        <v>0</v>
      </c>
      <c r="D10" s="83"/>
      <c r="E10" s="83"/>
      <c r="F10" s="83">
        <f t="shared" ref="F10:F14" si="1">C10+D10+E10</f>
        <v>0</v>
      </c>
      <c r="G10" s="100">
        <f t="shared" ref="G10:G14" si="2">SUM(I10:AI10)</f>
        <v>0</v>
      </c>
      <c r="H10" s="83">
        <f t="shared" si="0"/>
        <v>0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44"/>
      <c r="AK10" s="44"/>
    </row>
    <row r="11" spans="1:37" s="21" customFormat="1" ht="15" thickBot="1" x14ac:dyDescent="0.4">
      <c r="A11" s="81"/>
      <c r="B11" s="82"/>
      <c r="C11" s="83">
        <v>0</v>
      </c>
      <c r="D11" s="83"/>
      <c r="E11" s="83"/>
      <c r="F11" s="83">
        <f t="shared" si="1"/>
        <v>0</v>
      </c>
      <c r="G11" s="100">
        <f t="shared" si="2"/>
        <v>0</v>
      </c>
      <c r="H11" s="83">
        <f t="shared" si="0"/>
        <v>0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44"/>
      <c r="AK11" s="44"/>
    </row>
    <row r="12" spans="1:37" s="147" customFormat="1" ht="15" thickBot="1" x14ac:dyDescent="0.4">
      <c r="A12" s="143"/>
      <c r="B12" s="82"/>
      <c r="C12" s="144">
        <v>0</v>
      </c>
      <c r="D12" s="144"/>
      <c r="E12" s="83"/>
      <c r="F12" s="83">
        <f t="shared" si="1"/>
        <v>0</v>
      </c>
      <c r="G12" s="145">
        <f t="shared" si="2"/>
        <v>0</v>
      </c>
      <c r="H12" s="144">
        <f>F12-G12</f>
        <v>0</v>
      </c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8"/>
      <c r="AK12" s="38"/>
    </row>
    <row r="13" spans="1:37" s="21" customFormat="1" ht="15" thickBot="1" x14ac:dyDescent="0.4">
      <c r="A13" s="81"/>
      <c r="B13" s="82"/>
      <c r="C13" s="83">
        <v>0</v>
      </c>
      <c r="D13" s="83"/>
      <c r="E13" s="83"/>
      <c r="F13" s="83">
        <f t="shared" si="1"/>
        <v>0</v>
      </c>
      <c r="G13" s="100">
        <f t="shared" si="2"/>
        <v>0</v>
      </c>
      <c r="H13" s="83">
        <f t="shared" ref="H13" si="3">F13-G13</f>
        <v>0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44"/>
      <c r="AK13" s="44"/>
    </row>
    <row r="14" spans="1:37" s="21" customFormat="1" ht="15" thickBot="1" x14ac:dyDescent="0.4">
      <c r="A14" s="81"/>
      <c r="B14" s="82"/>
      <c r="C14" s="83">
        <v>0</v>
      </c>
      <c r="D14" s="83"/>
      <c r="E14" s="83"/>
      <c r="F14" s="83">
        <f t="shared" si="1"/>
        <v>0</v>
      </c>
      <c r="G14" s="100">
        <f t="shared" si="2"/>
        <v>0</v>
      </c>
      <c r="H14" s="83">
        <f>F14-G14</f>
        <v>0</v>
      </c>
      <c r="I14" s="84"/>
      <c r="J14" s="101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75"/>
      <c r="AK14" s="75"/>
    </row>
    <row r="15" spans="1:37" s="21" customFormat="1" ht="15" thickBot="1" x14ac:dyDescent="0.4">
      <c r="A15" s="81"/>
      <c r="B15" s="82"/>
      <c r="C15" s="83"/>
      <c r="D15" s="83"/>
      <c r="E15" s="83"/>
      <c r="F15" s="118"/>
      <c r="G15" s="85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75"/>
      <c r="AK15" s="75"/>
    </row>
    <row r="16" spans="1:37" s="14" customFormat="1" ht="15" thickBot="1" x14ac:dyDescent="0.4">
      <c r="A16" s="86" t="s">
        <v>46</v>
      </c>
      <c r="B16" s="22"/>
      <c r="C16" s="87">
        <f>SUM(C9:C14)</f>
        <v>0</v>
      </c>
      <c r="D16" s="87">
        <f>SUM(D9:D14)</f>
        <v>0</v>
      </c>
      <c r="E16" s="83"/>
      <c r="F16" s="87">
        <f>SUM(F9:F14)</f>
        <v>0</v>
      </c>
      <c r="G16" s="102">
        <f t="shared" ref="G16:AK16" si="4">SUM(G9:G14)</f>
        <v>0</v>
      </c>
      <c r="H16" s="102">
        <f t="shared" si="4"/>
        <v>0</v>
      </c>
      <c r="I16" s="87">
        <f t="shared" si="4"/>
        <v>0</v>
      </c>
      <c r="J16" s="102">
        <f t="shared" si="4"/>
        <v>0</v>
      </c>
      <c r="K16" s="87">
        <f t="shared" si="4"/>
        <v>0</v>
      </c>
      <c r="L16" s="87">
        <f t="shared" si="4"/>
        <v>0</v>
      </c>
      <c r="M16" s="87">
        <f t="shared" si="4"/>
        <v>0</v>
      </c>
      <c r="N16" s="87">
        <f t="shared" si="4"/>
        <v>0</v>
      </c>
      <c r="O16" s="87">
        <f t="shared" si="4"/>
        <v>0</v>
      </c>
      <c r="P16" s="87">
        <f t="shared" si="4"/>
        <v>0</v>
      </c>
      <c r="Q16" s="87">
        <f t="shared" si="4"/>
        <v>0</v>
      </c>
      <c r="R16" s="87">
        <f t="shared" si="4"/>
        <v>0</v>
      </c>
      <c r="S16" s="87">
        <f t="shared" si="4"/>
        <v>0</v>
      </c>
      <c r="T16" s="87">
        <f t="shared" si="4"/>
        <v>0</v>
      </c>
      <c r="U16" s="87">
        <f t="shared" si="4"/>
        <v>0</v>
      </c>
      <c r="V16" s="87">
        <f t="shared" si="4"/>
        <v>0</v>
      </c>
      <c r="W16" s="87">
        <f t="shared" si="4"/>
        <v>0</v>
      </c>
      <c r="X16" s="87">
        <f t="shared" si="4"/>
        <v>0</v>
      </c>
      <c r="Y16" s="87">
        <f t="shared" si="4"/>
        <v>0</v>
      </c>
      <c r="Z16" s="87">
        <f t="shared" si="4"/>
        <v>0</v>
      </c>
      <c r="AA16" s="87">
        <f t="shared" si="4"/>
        <v>0</v>
      </c>
      <c r="AB16" s="87">
        <f t="shared" si="4"/>
        <v>0</v>
      </c>
      <c r="AC16" s="87">
        <f t="shared" si="4"/>
        <v>0</v>
      </c>
      <c r="AD16" s="87">
        <f t="shared" si="4"/>
        <v>0</v>
      </c>
      <c r="AE16" s="87">
        <f t="shared" si="4"/>
        <v>0</v>
      </c>
      <c r="AF16" s="87">
        <f t="shared" si="4"/>
        <v>0</v>
      </c>
      <c r="AG16" s="87">
        <f t="shared" si="4"/>
        <v>0</v>
      </c>
      <c r="AH16" s="87">
        <f t="shared" si="4"/>
        <v>0</v>
      </c>
      <c r="AI16" s="87">
        <f t="shared" si="4"/>
        <v>0</v>
      </c>
      <c r="AJ16" s="87">
        <f t="shared" si="4"/>
        <v>0</v>
      </c>
      <c r="AK16" s="87">
        <f t="shared" si="4"/>
        <v>0</v>
      </c>
    </row>
    <row r="17" spans="1:37" s="17" customFormat="1" x14ac:dyDescent="0.35">
      <c r="A17" s="35"/>
      <c r="C17" s="16"/>
      <c r="D17" s="16"/>
      <c r="E17" s="16"/>
      <c r="F17" s="16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44"/>
      <c r="AK17" s="44"/>
    </row>
    <row r="18" spans="1:37" s="17" customFormat="1" x14ac:dyDescent="0.35">
      <c r="A18" s="35"/>
      <c r="C18" s="16"/>
      <c r="D18" s="16"/>
      <c r="E18" s="16"/>
      <c r="F18" s="16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44"/>
      <c r="AK18" s="44"/>
    </row>
    <row r="19" spans="1:37" s="17" customFormat="1" x14ac:dyDescent="0.35">
      <c r="A19" s="35"/>
      <c r="C19" s="16"/>
      <c r="D19" s="16"/>
      <c r="E19" s="16"/>
      <c r="F19" s="16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/>
      <c r="AK19" s="75"/>
    </row>
    <row r="20" spans="1:37" s="17" customFormat="1" x14ac:dyDescent="0.35">
      <c r="A20" s="35"/>
      <c r="C20" s="16"/>
      <c r="D20" s="16"/>
      <c r="E20" s="16"/>
      <c r="F20" s="16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44"/>
      <c r="AK20" s="44"/>
    </row>
    <row r="21" spans="1:37" s="17" customFormat="1" x14ac:dyDescent="0.35">
      <c r="A21" s="35"/>
      <c r="C21" s="16"/>
      <c r="D21" s="16"/>
      <c r="E21" s="16"/>
      <c r="F21" s="16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75"/>
      <c r="AK21" s="75"/>
    </row>
    <row r="22" spans="1:37" s="17" customFormat="1" x14ac:dyDescent="0.35">
      <c r="A22" s="35"/>
      <c r="C22" s="16"/>
      <c r="D22" s="16"/>
      <c r="E22" s="16"/>
      <c r="F22" s="16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44"/>
      <c r="AK22" s="44"/>
    </row>
    <row r="23" spans="1:37" s="17" customFormat="1" x14ac:dyDescent="0.35">
      <c r="A23" s="35"/>
      <c r="C23" s="16"/>
      <c r="D23" s="16"/>
      <c r="E23" s="16"/>
      <c r="F23" s="16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44"/>
      <c r="AK23" s="44"/>
    </row>
    <row r="24" spans="1:37" s="17" customFormat="1" x14ac:dyDescent="0.35">
      <c r="A24" s="35"/>
      <c r="C24" s="16"/>
      <c r="D24" s="16"/>
      <c r="E24" s="16"/>
      <c r="F24" s="16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4"/>
      <c r="AK24" s="44"/>
    </row>
    <row r="25" spans="1:37" s="17" customFormat="1" x14ac:dyDescent="0.35">
      <c r="A25" s="35"/>
      <c r="C25" s="16"/>
      <c r="D25" s="16"/>
      <c r="E25" s="16"/>
      <c r="F25" s="16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/>
      <c r="AK25" s="75"/>
    </row>
    <row r="26" spans="1:37" s="17" customFormat="1" x14ac:dyDescent="0.35">
      <c r="A26" s="35"/>
      <c r="C26" s="16"/>
      <c r="D26" s="16"/>
      <c r="E26" s="16"/>
      <c r="F26" s="16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/>
      <c r="AK26" s="75"/>
    </row>
    <row r="27" spans="1:37" s="17" customFormat="1" x14ac:dyDescent="0.35">
      <c r="A27" s="35"/>
      <c r="C27" s="16"/>
      <c r="D27" s="16"/>
      <c r="E27" s="16"/>
      <c r="F27" s="16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44"/>
      <c r="AK27" s="44"/>
    </row>
    <row r="28" spans="1:37" s="17" customFormat="1" x14ac:dyDescent="0.35">
      <c r="A28" s="35"/>
      <c r="C28" s="16"/>
      <c r="D28" s="16"/>
      <c r="E28" s="16"/>
      <c r="F28" s="16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44"/>
      <c r="AK28" s="44"/>
    </row>
    <row r="29" spans="1:37" s="17" customFormat="1" x14ac:dyDescent="0.35">
      <c r="A29" s="35"/>
      <c r="C29" s="16"/>
      <c r="D29" s="16"/>
      <c r="E29" s="16"/>
      <c r="F29" s="16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44"/>
      <c r="AK29" s="44"/>
    </row>
    <row r="30" spans="1:37" s="17" customFormat="1" x14ac:dyDescent="0.35">
      <c r="A30" s="35"/>
      <c r="C30" s="16"/>
      <c r="D30" s="16"/>
      <c r="E30" s="16"/>
      <c r="F30" s="16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44"/>
      <c r="AK30" s="44"/>
    </row>
    <row r="31" spans="1:37" s="17" customFormat="1" x14ac:dyDescent="0.35">
      <c r="A31" s="35"/>
      <c r="C31" s="16"/>
      <c r="D31" s="16"/>
      <c r="E31" s="16"/>
      <c r="F31" s="16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/>
      <c r="AK31" s="75"/>
    </row>
    <row r="32" spans="1:37" s="17" customFormat="1" x14ac:dyDescent="0.35">
      <c r="A32" s="35"/>
      <c r="C32" s="16"/>
      <c r="D32" s="16"/>
      <c r="E32" s="16"/>
      <c r="F32" s="16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/>
      <c r="AK32" s="75"/>
    </row>
    <row r="33" spans="1:37" s="17" customFormat="1" x14ac:dyDescent="0.35">
      <c r="A33" s="35"/>
      <c r="C33" s="16"/>
      <c r="D33" s="16"/>
      <c r="E33" s="16"/>
      <c r="F33" s="16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44"/>
      <c r="AK33" s="44"/>
    </row>
    <row r="34" spans="1:37" s="17" customFormat="1" x14ac:dyDescent="0.35">
      <c r="A34" s="35"/>
      <c r="C34" s="16"/>
      <c r="D34" s="16"/>
      <c r="E34" s="16"/>
      <c r="F34" s="16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75"/>
      <c r="AK34" s="75"/>
    </row>
    <row r="35" spans="1:37" s="17" customFormat="1" x14ac:dyDescent="0.35">
      <c r="A35" s="35"/>
      <c r="C35" s="16"/>
      <c r="D35" s="16"/>
      <c r="E35" s="16"/>
      <c r="F35" s="16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44"/>
      <c r="AK35" s="44"/>
    </row>
    <row r="36" spans="1:37" s="17" customFormat="1" x14ac:dyDescent="0.35">
      <c r="A36" s="35"/>
      <c r="C36" s="16"/>
      <c r="D36" s="16"/>
      <c r="E36" s="16"/>
      <c r="F36" s="16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44"/>
      <c r="AK36" s="44"/>
    </row>
    <row r="37" spans="1:37" s="17" customFormat="1" x14ac:dyDescent="0.35">
      <c r="A37" s="35"/>
      <c r="C37" s="16"/>
      <c r="D37" s="16"/>
      <c r="E37" s="16"/>
      <c r="F37" s="16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</row>
    <row r="38" spans="1:37" s="17" customFormat="1" x14ac:dyDescent="0.35">
      <c r="A38" s="35"/>
      <c r="C38" s="16"/>
      <c r="D38" s="16"/>
      <c r="E38" s="16"/>
      <c r="F38" s="16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30"/>
      <c r="AK38" s="30"/>
    </row>
    <row r="39" spans="1:37" s="17" customFormat="1" x14ac:dyDescent="0.35">
      <c r="A39" s="35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30"/>
      <c r="AK39" s="30"/>
    </row>
    <row r="40" spans="1:37" s="17" customFormat="1" x14ac:dyDescent="0.35">
      <c r="A40" s="35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30"/>
      <c r="AK40" s="30"/>
    </row>
    <row r="41" spans="1:37" s="17" customFormat="1" x14ac:dyDescent="0.35">
      <c r="A41" s="35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30"/>
      <c r="AK41" s="30"/>
    </row>
    <row r="42" spans="1:37" s="17" customFormat="1" x14ac:dyDescent="0.35">
      <c r="A42" s="35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30"/>
      <c r="AK42" s="30"/>
    </row>
    <row r="43" spans="1:37" s="17" customFormat="1" x14ac:dyDescent="0.35">
      <c r="A43" s="35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30"/>
      <c r="AK43" s="30"/>
    </row>
    <row r="44" spans="1:37" s="17" customFormat="1" x14ac:dyDescent="0.35">
      <c r="A44" s="35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30"/>
      <c r="AK44" s="30"/>
    </row>
    <row r="45" spans="1:37" s="17" customFormat="1" x14ac:dyDescent="0.35">
      <c r="A45" s="35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30"/>
      <c r="AK45" s="30"/>
    </row>
    <row r="46" spans="1:37" s="17" customFormat="1" x14ac:dyDescent="0.35">
      <c r="A46" s="35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30"/>
      <c r="AK46" s="30"/>
    </row>
    <row r="47" spans="1:37" s="17" customFormat="1" x14ac:dyDescent="0.35">
      <c r="A47" s="35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30"/>
      <c r="AK47" s="30"/>
    </row>
    <row r="48" spans="1:37" s="17" customFormat="1" x14ac:dyDescent="0.35">
      <c r="A48" s="35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30"/>
      <c r="AK48" s="30"/>
    </row>
    <row r="49" spans="9:37" x14ac:dyDescent="0.35"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AJ49" s="30"/>
      <c r="AK49" s="30"/>
    </row>
    <row r="50" spans="9:37" x14ac:dyDescent="0.35"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AJ50" s="30"/>
      <c r="AK50" s="30"/>
    </row>
    <row r="51" spans="9:37" x14ac:dyDescent="0.35"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9:37" x14ac:dyDescent="0.35"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9:37" x14ac:dyDescent="0.35"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9:37" x14ac:dyDescent="0.35"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9:37" x14ac:dyDescent="0.35"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9:37" x14ac:dyDescent="0.35"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</sheetData>
  <sheetProtection algorithmName="SHA-512" hashValue="upr7sUHD+JzMSb8Qng3yz9GRBYde5hBxCixWXxlTna11wIP9UMjkaG7L/Be96PnFJUa+U7EuDKbnA+dgS9R/Xg==" saltValue="ziG9GptmyQV6S5VLL4B98Q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7" filterMode="1">
    <tabColor theme="2"/>
  </sheetPr>
  <dimension ref="A1:AP73"/>
  <sheetViews>
    <sheetView zoomScale="70" zoomScaleNormal="70" workbookViewId="0">
      <pane xSplit="8" ySplit="8" topLeftCell="S15" activePane="bottomRight" state="frozen"/>
      <selection activeCell="A8" sqref="A8:XFD8"/>
      <selection pane="topRight" activeCell="A8" sqref="A8:XFD8"/>
      <selection pane="bottomLeft" activeCell="A8" sqref="A8:XFD8"/>
      <selection pane="bottomRight" activeCell="T19" sqref="T19"/>
    </sheetView>
  </sheetViews>
  <sheetFormatPr defaultColWidth="0" defaultRowHeight="14.5" x14ac:dyDescent="0.35"/>
  <cols>
    <col min="1" max="1" width="8.7265625" style="65" customWidth="1"/>
    <col min="2" max="2" width="31.54296875" style="44" customWidth="1"/>
    <col min="3" max="3" width="11.26953125" style="65" customWidth="1"/>
    <col min="4" max="4" width="30.54296875" style="44" customWidth="1"/>
    <col min="5" max="5" width="14.54296875" style="44" customWidth="1"/>
    <col min="6" max="8" width="14.7265625" style="45" customWidth="1"/>
    <col min="9" max="26" width="15.7265625" style="44" customWidth="1"/>
    <col min="27" max="28" width="21.26953125" style="44" customWidth="1"/>
    <col min="29" max="42" width="0" style="44" hidden="1" customWidth="1"/>
    <col min="43" max="16384" width="8.7265625" style="44" hidden="1"/>
  </cols>
  <sheetData>
    <row r="1" spans="1:28" s="45" customFormat="1" ht="21" x14ac:dyDescent="0.5">
      <c r="A1" s="62" t="s">
        <v>0</v>
      </c>
      <c r="B1" s="53"/>
      <c r="C1" s="66" t="s">
        <v>213</v>
      </c>
      <c r="D1" s="50"/>
      <c r="E1" s="50"/>
      <c r="F1" s="50"/>
      <c r="G1" s="50"/>
      <c r="H1" s="54"/>
      <c r="I1" s="53"/>
      <c r="J1" s="48"/>
      <c r="K1" s="66" t="str">
        <f>$C$1</f>
        <v>21st Century Cohort 8</v>
      </c>
      <c r="L1" s="53"/>
      <c r="M1" s="53"/>
      <c r="N1" s="48"/>
      <c r="O1" s="53"/>
      <c r="P1" s="53"/>
      <c r="Q1" s="66" t="str">
        <f>$C$1</f>
        <v>21st Century Cohort 8</v>
      </c>
      <c r="R1" s="48"/>
      <c r="S1" s="48"/>
      <c r="T1" s="53"/>
      <c r="U1" s="48"/>
      <c r="V1" s="53"/>
      <c r="W1" s="53"/>
      <c r="X1" s="66" t="str">
        <f>$C$1</f>
        <v>21st Century Cohort 8</v>
      </c>
      <c r="Y1" s="53"/>
      <c r="Z1" s="48"/>
      <c r="AA1" s="47"/>
      <c r="AB1" s="47"/>
    </row>
    <row r="2" spans="1:28" s="3" customFormat="1" ht="21" x14ac:dyDescent="0.5">
      <c r="A2" s="47" t="s">
        <v>155</v>
      </c>
      <c r="B2" s="49"/>
      <c r="C2" s="62" t="s">
        <v>472</v>
      </c>
      <c r="D2" s="48"/>
      <c r="E2" s="48"/>
      <c r="F2" s="48"/>
      <c r="G2" s="48"/>
      <c r="H2" s="15"/>
      <c r="I2" s="49"/>
      <c r="J2" s="49"/>
      <c r="K2" s="50" t="str">
        <f>"FY"&amp;$C$4</f>
        <v>FY2019-20</v>
      </c>
      <c r="L2" s="49"/>
      <c r="M2" s="49"/>
      <c r="N2" s="49"/>
      <c r="O2" s="49"/>
      <c r="P2" s="49"/>
      <c r="Q2" s="50" t="str">
        <f>"FY"&amp;$C$4</f>
        <v>FY2019-20</v>
      </c>
      <c r="R2" s="49"/>
      <c r="S2" s="49"/>
      <c r="T2" s="49"/>
      <c r="U2" s="49"/>
      <c r="V2" s="49"/>
      <c r="W2" s="49"/>
      <c r="X2" s="50" t="str">
        <f>"FY"&amp;$C$4</f>
        <v>FY2019-20</v>
      </c>
      <c r="Y2" s="49"/>
      <c r="Z2" s="49"/>
      <c r="AA2" s="47"/>
      <c r="AB2" s="47"/>
    </row>
    <row r="3" spans="1:28" s="45" customFormat="1" ht="15.5" x14ac:dyDescent="0.35">
      <c r="A3" s="63" t="s">
        <v>1</v>
      </c>
      <c r="B3" s="53"/>
      <c r="C3" s="67" t="s">
        <v>471</v>
      </c>
      <c r="D3" s="50"/>
      <c r="E3" s="50"/>
      <c r="F3" s="50"/>
      <c r="G3" s="50"/>
      <c r="H3" s="54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4"/>
    </row>
    <row r="4" spans="1:28" s="45" customFormat="1" ht="15.5" x14ac:dyDescent="0.35">
      <c r="A4" s="63" t="s">
        <v>2</v>
      </c>
      <c r="B4" s="53"/>
      <c r="C4" s="67" t="s">
        <v>440</v>
      </c>
      <c r="D4" s="50"/>
      <c r="E4" s="50"/>
      <c r="F4" s="50"/>
      <c r="G4" s="50"/>
      <c r="H4" s="5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</row>
    <row r="5" spans="1:28" s="45" customFormat="1" ht="15.5" x14ac:dyDescent="0.35">
      <c r="A5" s="63" t="s">
        <v>524</v>
      </c>
      <c r="B5" s="53"/>
      <c r="C5" s="67" t="s">
        <v>445</v>
      </c>
      <c r="D5" s="50"/>
      <c r="E5" s="50"/>
      <c r="F5" s="50"/>
      <c r="G5" s="50"/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2"/>
      <c r="AB5" s="52"/>
    </row>
    <row r="6" spans="1:28" s="45" customFormat="1" ht="15.5" x14ac:dyDescent="0.35">
      <c r="A6" s="63"/>
      <c r="B6" s="53"/>
      <c r="C6" s="50"/>
      <c r="D6" s="50"/>
      <c r="E6" s="50"/>
      <c r="F6" s="50"/>
      <c r="G6" s="50"/>
      <c r="H6" s="5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2"/>
      <c r="AB6" s="52"/>
    </row>
    <row r="7" spans="1:28" s="45" customFormat="1" ht="24" thickBot="1" x14ac:dyDescent="0.6">
      <c r="A7" s="365"/>
      <c r="B7" s="366"/>
      <c r="C7" s="366"/>
      <c r="D7" s="366"/>
      <c r="E7" s="366"/>
      <c r="F7" s="366"/>
      <c r="G7" s="367"/>
      <c r="H7" s="367"/>
      <c r="I7" s="52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2"/>
      <c r="AB7" s="52"/>
    </row>
    <row r="8" spans="1:28" ht="29.5" thickBot="1" x14ac:dyDescent="0.4">
      <c r="A8" s="11" t="s">
        <v>145</v>
      </c>
      <c r="B8" s="12" t="s">
        <v>139</v>
      </c>
      <c r="C8" s="11" t="s">
        <v>152</v>
      </c>
      <c r="D8" s="12" t="s">
        <v>43</v>
      </c>
      <c r="E8" s="13" t="s">
        <v>473</v>
      </c>
      <c r="F8" s="13" t="s">
        <v>15</v>
      </c>
      <c r="G8" s="12" t="s">
        <v>16</v>
      </c>
      <c r="H8" s="29" t="s">
        <v>17</v>
      </c>
      <c r="I8" s="26" t="s">
        <v>133</v>
      </c>
      <c r="J8" s="27" t="s">
        <v>134</v>
      </c>
      <c r="K8" s="26" t="s">
        <v>135</v>
      </c>
      <c r="L8" s="27" t="s">
        <v>172</v>
      </c>
      <c r="M8" s="207" t="s">
        <v>173</v>
      </c>
      <c r="N8" s="208" t="s">
        <v>137</v>
      </c>
      <c r="O8" s="208" t="s">
        <v>252</v>
      </c>
      <c r="P8" s="208" t="s">
        <v>253</v>
      </c>
      <c r="Q8" s="208" t="s">
        <v>254</v>
      </c>
      <c r="R8" s="208" t="s">
        <v>255</v>
      </c>
      <c r="S8" s="27" t="s">
        <v>256</v>
      </c>
      <c r="T8" s="27" t="s">
        <v>441</v>
      </c>
      <c r="U8" s="26" t="s">
        <v>258</v>
      </c>
      <c r="V8" s="27" t="s">
        <v>259</v>
      </c>
      <c r="W8" s="27" t="s">
        <v>260</v>
      </c>
      <c r="X8" s="27" t="s">
        <v>442</v>
      </c>
      <c r="Y8" s="26" t="s">
        <v>443</v>
      </c>
      <c r="Z8" s="27" t="s">
        <v>137</v>
      </c>
      <c r="AA8" s="12" t="s">
        <v>166</v>
      </c>
      <c r="AB8" s="12" t="s">
        <v>167</v>
      </c>
    </row>
    <row r="9" spans="1:28" s="37" customFormat="1" ht="29.15" customHeight="1" thickBot="1" x14ac:dyDescent="0.4">
      <c r="A9" s="96" t="s">
        <v>66</v>
      </c>
      <c r="B9" s="93" t="s">
        <v>174</v>
      </c>
      <c r="C9" s="97" t="s">
        <v>301</v>
      </c>
      <c r="D9" s="93" t="s">
        <v>320</v>
      </c>
      <c r="E9" s="93" t="s">
        <v>474</v>
      </c>
      <c r="F9" s="162">
        <v>149790</v>
      </c>
      <c r="G9" s="162">
        <f t="shared" ref="G9:G48" si="0">SUM(I9:Z9)</f>
        <v>90444.72</v>
      </c>
      <c r="H9" s="162">
        <f t="shared" ref="H9:H48" si="1">F9-G9</f>
        <v>59345.279999999999</v>
      </c>
      <c r="I9" s="163"/>
      <c r="J9" s="164"/>
      <c r="K9" s="164"/>
      <c r="L9" s="206">
        <v>11931.65</v>
      </c>
      <c r="M9" s="272">
        <v>27511.05</v>
      </c>
      <c r="N9" s="273">
        <v>8829.33</v>
      </c>
      <c r="O9" s="272"/>
      <c r="P9" s="272">
        <v>17287.39</v>
      </c>
      <c r="Q9" s="274"/>
      <c r="R9" s="272">
        <f>7054.04+7801.58</f>
        <v>14855.619999999999</v>
      </c>
      <c r="S9" s="164">
        <v>10029.68</v>
      </c>
      <c r="T9" s="164"/>
      <c r="U9" s="164"/>
      <c r="V9" s="164"/>
      <c r="W9" s="164"/>
      <c r="X9" s="164"/>
      <c r="Y9" s="164"/>
      <c r="Z9" s="164"/>
      <c r="AA9" s="68"/>
      <c r="AB9" s="68"/>
    </row>
    <row r="10" spans="1:28" s="37" customFormat="1" ht="29.15" customHeight="1" thickBot="1" x14ac:dyDescent="0.4">
      <c r="A10" s="96" t="s">
        <v>66</v>
      </c>
      <c r="B10" s="93" t="s">
        <v>174</v>
      </c>
      <c r="C10" s="92" t="s">
        <v>300</v>
      </c>
      <c r="D10" s="93" t="s">
        <v>319</v>
      </c>
      <c r="E10" s="93" t="s">
        <v>474</v>
      </c>
      <c r="F10" s="162">
        <v>142702</v>
      </c>
      <c r="G10" s="162">
        <f t="shared" si="0"/>
        <v>82374.219999999987</v>
      </c>
      <c r="H10" s="162">
        <f t="shared" si="1"/>
        <v>60327.780000000013</v>
      </c>
      <c r="I10" s="202"/>
      <c r="J10" s="202"/>
      <c r="K10" s="202"/>
      <c r="L10" s="203">
        <v>8448.67</v>
      </c>
      <c r="M10" s="272">
        <v>10385.540000000001</v>
      </c>
      <c r="N10" s="273">
        <v>15185.56</v>
      </c>
      <c r="O10" s="272"/>
      <c r="P10" s="272">
        <v>27226.35</v>
      </c>
      <c r="Q10" s="274"/>
      <c r="R10" s="272">
        <f>5887.32+9936.49</f>
        <v>15823.81</v>
      </c>
      <c r="S10" s="202">
        <v>5304.29</v>
      </c>
      <c r="T10" s="202"/>
      <c r="U10" s="202"/>
      <c r="V10" s="202"/>
      <c r="W10" s="202"/>
      <c r="X10" s="202"/>
      <c r="Y10" s="202"/>
      <c r="Z10" s="202"/>
      <c r="AA10" s="68"/>
      <c r="AB10" s="68"/>
    </row>
    <row r="11" spans="1:28" s="37" customFormat="1" ht="29.15" customHeight="1" thickBot="1" x14ac:dyDescent="0.4">
      <c r="A11" s="96" t="s">
        <v>22</v>
      </c>
      <c r="B11" s="93" t="s">
        <v>79</v>
      </c>
      <c r="C11" s="92">
        <v>2918</v>
      </c>
      <c r="D11" s="93" t="s">
        <v>321</v>
      </c>
      <c r="E11" s="93" t="s">
        <v>475</v>
      </c>
      <c r="F11" s="162">
        <v>195000</v>
      </c>
      <c r="G11" s="162">
        <f t="shared" si="0"/>
        <v>91412.94</v>
      </c>
      <c r="H11" s="162">
        <f t="shared" si="1"/>
        <v>103587.06</v>
      </c>
      <c r="I11" s="166"/>
      <c r="J11" s="166">
        <v>11828</v>
      </c>
      <c r="K11" s="166">
        <v>7411.59</v>
      </c>
      <c r="L11" s="166">
        <v>9685.19</v>
      </c>
      <c r="M11" s="275">
        <v>15878.34</v>
      </c>
      <c r="N11" s="275">
        <v>12751.97</v>
      </c>
      <c r="O11" s="275">
        <v>12016.09</v>
      </c>
      <c r="P11" s="275"/>
      <c r="Q11" s="276"/>
      <c r="R11" s="275">
        <v>11926.72</v>
      </c>
      <c r="S11" s="166">
        <v>9915.0400000000009</v>
      </c>
      <c r="T11" s="166"/>
      <c r="U11" s="166"/>
      <c r="V11" s="166"/>
      <c r="W11" s="166"/>
      <c r="X11" s="166"/>
      <c r="Y11" s="166"/>
      <c r="Z11" s="166"/>
      <c r="AA11" s="68"/>
      <c r="AB11" s="68"/>
    </row>
    <row r="12" spans="1:28" s="37" customFormat="1" ht="29.15" customHeight="1" thickBot="1" x14ac:dyDescent="0.4">
      <c r="A12" s="96" t="s">
        <v>23</v>
      </c>
      <c r="B12" s="93" t="s">
        <v>283</v>
      </c>
      <c r="C12" s="92">
        <v>1652</v>
      </c>
      <c r="D12" s="93" t="s">
        <v>322</v>
      </c>
      <c r="E12" s="93" t="s">
        <v>475</v>
      </c>
      <c r="F12" s="162">
        <v>150000</v>
      </c>
      <c r="G12" s="162">
        <f t="shared" si="0"/>
        <v>59795</v>
      </c>
      <c r="H12" s="162">
        <f t="shared" si="1"/>
        <v>90205</v>
      </c>
      <c r="I12" s="165"/>
      <c r="J12" s="165"/>
      <c r="K12" s="165"/>
      <c r="L12" s="168">
        <v>4223</v>
      </c>
      <c r="M12" s="272"/>
      <c r="N12" s="273">
        <v>26088</v>
      </c>
      <c r="O12" s="272">
        <v>11714</v>
      </c>
      <c r="P12" s="272"/>
      <c r="Q12" s="274"/>
      <c r="R12" s="272">
        <v>12275</v>
      </c>
      <c r="S12" s="198">
        <v>5495</v>
      </c>
      <c r="T12" s="165"/>
      <c r="U12" s="165"/>
      <c r="V12" s="165"/>
      <c r="W12" s="165"/>
      <c r="X12" s="165"/>
      <c r="Y12" s="165"/>
      <c r="Z12" s="165"/>
      <c r="AA12" s="68"/>
      <c r="AB12" s="68"/>
    </row>
    <row r="13" spans="1:28" s="37" customFormat="1" ht="29.15" customHeight="1" thickBot="1" x14ac:dyDescent="0.4">
      <c r="A13" s="96" t="s">
        <v>4</v>
      </c>
      <c r="B13" s="93" t="s">
        <v>92</v>
      </c>
      <c r="C13" s="92" t="s">
        <v>302</v>
      </c>
      <c r="D13" s="93" t="s">
        <v>323</v>
      </c>
      <c r="E13" s="93" t="s">
        <v>475</v>
      </c>
      <c r="F13" s="162">
        <v>299926</v>
      </c>
      <c r="G13" s="162">
        <f t="shared" si="0"/>
        <v>106164.31</v>
      </c>
      <c r="H13" s="162">
        <f t="shared" si="1"/>
        <v>193761.69</v>
      </c>
      <c r="I13" s="165"/>
      <c r="J13" s="165"/>
      <c r="K13" s="165"/>
      <c r="L13" s="168">
        <v>12245.98</v>
      </c>
      <c r="M13" s="272">
        <v>19035.71</v>
      </c>
      <c r="N13" s="273">
        <v>17346.599999999999</v>
      </c>
      <c r="O13" s="272">
        <v>10742.57</v>
      </c>
      <c r="P13" s="272"/>
      <c r="Q13" s="274"/>
      <c r="R13" s="272">
        <v>29874.85</v>
      </c>
      <c r="S13" s="198">
        <v>16918.599999999999</v>
      </c>
      <c r="T13" s="165"/>
      <c r="U13" s="165"/>
      <c r="V13" s="165"/>
      <c r="W13" s="165"/>
      <c r="X13" s="165"/>
      <c r="Y13" s="165"/>
      <c r="Z13" s="165"/>
      <c r="AA13" s="167"/>
      <c r="AB13" s="167"/>
    </row>
    <row r="14" spans="1:28" s="37" customFormat="1" ht="29.15" customHeight="1" thickBot="1" x14ac:dyDescent="0.4">
      <c r="A14" s="96" t="s">
        <v>267</v>
      </c>
      <c r="B14" s="93" t="s">
        <v>284</v>
      </c>
      <c r="C14" s="92" t="s">
        <v>303</v>
      </c>
      <c r="D14" s="93" t="s">
        <v>324</v>
      </c>
      <c r="E14" s="93" t="s">
        <v>474</v>
      </c>
      <c r="F14" s="162">
        <v>145200</v>
      </c>
      <c r="G14" s="162">
        <f t="shared" si="0"/>
        <v>132647.91999999998</v>
      </c>
      <c r="H14" s="162">
        <f t="shared" si="1"/>
        <v>12552.080000000016</v>
      </c>
      <c r="I14" s="165"/>
      <c r="J14" s="165"/>
      <c r="K14" s="165"/>
      <c r="L14" s="168"/>
      <c r="M14" s="272"/>
      <c r="N14" s="273"/>
      <c r="O14" s="272"/>
      <c r="P14" s="272"/>
      <c r="Q14" s="274"/>
      <c r="R14" s="272">
        <f>38464.77+51994.68</f>
        <v>90459.45</v>
      </c>
      <c r="S14" s="198">
        <v>42188.47</v>
      </c>
      <c r="T14" s="165"/>
      <c r="U14" s="165"/>
      <c r="V14" s="165"/>
      <c r="W14" s="165"/>
      <c r="X14" s="165"/>
      <c r="Y14" s="165"/>
      <c r="Z14" s="165"/>
      <c r="AA14" s="167"/>
      <c r="AB14" s="167"/>
    </row>
    <row r="15" spans="1:28" s="37" customFormat="1" ht="29.15" customHeight="1" thickBot="1" x14ac:dyDescent="0.4">
      <c r="A15" s="96" t="s">
        <v>5</v>
      </c>
      <c r="B15" s="93" t="s">
        <v>176</v>
      </c>
      <c r="C15" s="92" t="s">
        <v>304</v>
      </c>
      <c r="D15" s="93" t="s">
        <v>325</v>
      </c>
      <c r="E15" s="93" t="s">
        <v>475</v>
      </c>
      <c r="F15" s="162">
        <v>144577</v>
      </c>
      <c r="G15" s="162">
        <f t="shared" si="0"/>
        <v>66809.039999999994</v>
      </c>
      <c r="H15" s="162">
        <f t="shared" si="1"/>
        <v>77767.960000000006</v>
      </c>
      <c r="I15" s="165"/>
      <c r="J15" s="165"/>
      <c r="K15" s="165">
        <v>17364.919999999998</v>
      </c>
      <c r="L15" s="168">
        <v>8284.9500000000007</v>
      </c>
      <c r="M15" s="272">
        <v>20121.939999999999</v>
      </c>
      <c r="N15" s="273">
        <v>7395.14</v>
      </c>
      <c r="O15" s="272"/>
      <c r="P15" s="272"/>
      <c r="Q15" s="274"/>
      <c r="R15" s="272"/>
      <c r="S15" s="198">
        <v>13642.09</v>
      </c>
      <c r="T15" s="165"/>
      <c r="U15" s="165"/>
      <c r="V15" s="165"/>
      <c r="W15" s="165"/>
      <c r="X15" s="165"/>
      <c r="Y15" s="165"/>
      <c r="Z15" s="165"/>
      <c r="AA15" s="68"/>
      <c r="AB15" s="68"/>
    </row>
    <row r="16" spans="1:28" s="37" customFormat="1" ht="29.15" customHeight="1" thickBot="1" x14ac:dyDescent="0.4">
      <c r="A16" s="96" t="s">
        <v>51</v>
      </c>
      <c r="B16" s="204" t="s">
        <v>177</v>
      </c>
      <c r="C16" s="92" t="s">
        <v>306</v>
      </c>
      <c r="D16" s="93" t="s">
        <v>327</v>
      </c>
      <c r="E16" s="93" t="s">
        <v>475</v>
      </c>
      <c r="F16" s="162">
        <v>150000</v>
      </c>
      <c r="G16" s="162">
        <f t="shared" si="0"/>
        <v>44869.72</v>
      </c>
      <c r="H16" s="162">
        <f t="shared" si="1"/>
        <v>105130.28</v>
      </c>
      <c r="I16" s="202"/>
      <c r="J16" s="202"/>
      <c r="K16" s="202"/>
      <c r="L16" s="203"/>
      <c r="M16" s="272"/>
      <c r="N16" s="273"/>
      <c r="O16" s="272"/>
      <c r="P16" s="272"/>
      <c r="Q16" s="274"/>
      <c r="R16" s="272">
        <v>44869.72</v>
      </c>
      <c r="S16" s="202"/>
      <c r="T16" s="202"/>
      <c r="U16" s="202"/>
      <c r="V16" s="202"/>
      <c r="W16" s="202"/>
      <c r="X16" s="202"/>
      <c r="Y16" s="202"/>
      <c r="Z16" s="202"/>
      <c r="AA16" s="168"/>
      <c r="AB16" s="168"/>
    </row>
    <row r="17" spans="1:28" s="37" customFormat="1" ht="29.15" customHeight="1" thickBot="1" x14ac:dyDescent="0.4">
      <c r="A17" s="96" t="s">
        <v>51</v>
      </c>
      <c r="B17" s="93" t="s">
        <v>177</v>
      </c>
      <c r="C17" s="95" t="s">
        <v>305</v>
      </c>
      <c r="D17" s="93" t="s">
        <v>326</v>
      </c>
      <c r="E17" s="93" t="s">
        <v>474</v>
      </c>
      <c r="F17" s="162">
        <v>600000</v>
      </c>
      <c r="G17" s="162">
        <f t="shared" si="0"/>
        <v>284797.8</v>
      </c>
      <c r="H17" s="162">
        <f t="shared" si="1"/>
        <v>315202.2</v>
      </c>
      <c r="I17" s="165"/>
      <c r="J17" s="165"/>
      <c r="K17" s="165"/>
      <c r="L17" s="168"/>
      <c r="M17" s="272"/>
      <c r="N17" s="273"/>
      <c r="O17" s="272"/>
      <c r="P17" s="272"/>
      <c r="Q17" s="274">
        <v>215424.75</v>
      </c>
      <c r="R17" s="272"/>
      <c r="S17" s="165"/>
      <c r="T17" s="165">
        <v>69373.05</v>
      </c>
      <c r="U17" s="165"/>
      <c r="V17" s="165"/>
      <c r="W17" s="165"/>
      <c r="X17" s="165"/>
      <c r="Y17" s="165"/>
      <c r="Z17" s="165"/>
      <c r="AA17" s="68"/>
      <c r="AB17" s="68"/>
    </row>
    <row r="18" spans="1:28" s="37" customFormat="1" ht="29.15" customHeight="1" thickBot="1" x14ac:dyDescent="0.4">
      <c r="A18" s="96" t="s">
        <v>268</v>
      </c>
      <c r="B18" s="93" t="s">
        <v>285</v>
      </c>
      <c r="C18" s="92">
        <v>3578</v>
      </c>
      <c r="D18" s="93" t="s">
        <v>328</v>
      </c>
      <c r="E18" s="93" t="s">
        <v>474</v>
      </c>
      <c r="F18" s="162">
        <v>127688</v>
      </c>
      <c r="G18" s="162">
        <f t="shared" si="0"/>
        <v>111643.96</v>
      </c>
      <c r="H18" s="162">
        <f t="shared" si="1"/>
        <v>16044.039999999994</v>
      </c>
      <c r="I18" s="165"/>
      <c r="J18" s="165"/>
      <c r="K18" s="165"/>
      <c r="L18" s="168"/>
      <c r="M18" s="272"/>
      <c r="N18" s="273"/>
      <c r="O18" s="272"/>
      <c r="P18" s="272"/>
      <c r="Q18" s="274"/>
      <c r="R18" s="272"/>
      <c r="S18" s="165"/>
      <c r="T18" s="165">
        <v>111643.96</v>
      </c>
      <c r="U18" s="165"/>
      <c r="V18" s="165"/>
      <c r="W18" s="165"/>
      <c r="X18" s="165"/>
      <c r="Y18" s="165"/>
      <c r="Z18" s="165"/>
      <c r="AA18" s="68"/>
      <c r="AB18" s="68"/>
    </row>
    <row r="19" spans="1:28" s="37" customFormat="1" ht="29.15" customHeight="1" thickBot="1" x14ac:dyDescent="0.4">
      <c r="A19" s="96" t="s">
        <v>269</v>
      </c>
      <c r="B19" s="93" t="s">
        <v>286</v>
      </c>
      <c r="C19" s="92" t="s">
        <v>307</v>
      </c>
      <c r="D19" s="93" t="s">
        <v>329</v>
      </c>
      <c r="E19" s="93" t="s">
        <v>474</v>
      </c>
      <c r="F19" s="162">
        <v>120596</v>
      </c>
      <c r="G19" s="162">
        <f t="shared" si="0"/>
        <v>93152.73</v>
      </c>
      <c r="H19" s="162">
        <f t="shared" si="1"/>
        <v>27443.270000000004</v>
      </c>
      <c r="I19" s="165"/>
      <c r="J19" s="165"/>
      <c r="K19" s="165">
        <v>26313.279999999999</v>
      </c>
      <c r="L19" s="168">
        <v>2127.2600000000002</v>
      </c>
      <c r="M19" s="272"/>
      <c r="N19" s="273">
        <v>29938.120000000003</v>
      </c>
      <c r="O19" s="272"/>
      <c r="P19" s="272">
        <v>8571.69</v>
      </c>
      <c r="Q19" s="274"/>
      <c r="R19" s="272">
        <v>23156.21</v>
      </c>
      <c r="S19" s="165">
        <v>3046.17</v>
      </c>
      <c r="T19" s="165"/>
      <c r="U19" s="165"/>
      <c r="V19" s="165"/>
      <c r="W19" s="165"/>
      <c r="X19" s="165"/>
      <c r="Y19" s="165"/>
      <c r="Z19" s="165"/>
      <c r="AA19" s="68"/>
      <c r="AB19" s="68"/>
    </row>
    <row r="20" spans="1:28" s="37" customFormat="1" ht="29.15" customHeight="1" thickBot="1" x14ac:dyDescent="0.4">
      <c r="A20" s="96" t="s">
        <v>29</v>
      </c>
      <c r="B20" s="93" t="s">
        <v>81</v>
      </c>
      <c r="C20" s="92" t="s">
        <v>308</v>
      </c>
      <c r="D20" s="204" t="s">
        <v>330</v>
      </c>
      <c r="E20" s="93" t="s">
        <v>474</v>
      </c>
      <c r="F20" s="162">
        <v>150000</v>
      </c>
      <c r="G20" s="162">
        <f t="shared" si="0"/>
        <v>99889.06</v>
      </c>
      <c r="H20" s="162">
        <f t="shared" si="1"/>
        <v>50110.94</v>
      </c>
      <c r="I20" s="165"/>
      <c r="J20" s="165"/>
      <c r="K20" s="165"/>
      <c r="L20" s="168">
        <v>26402.68</v>
      </c>
      <c r="M20" s="272">
        <v>13644.33</v>
      </c>
      <c r="N20" s="273">
        <v>17231.05</v>
      </c>
      <c r="O20" s="272">
        <v>9371.5499999999993</v>
      </c>
      <c r="P20" s="272">
        <v>8989.2800000000007</v>
      </c>
      <c r="Q20" s="274">
        <v>9547.84</v>
      </c>
      <c r="R20" s="272">
        <v>8708.18</v>
      </c>
      <c r="S20" s="198">
        <v>5994.15</v>
      </c>
      <c r="T20" s="198"/>
      <c r="U20" s="165"/>
      <c r="V20" s="165"/>
      <c r="W20" s="165"/>
      <c r="X20" s="165"/>
      <c r="Y20" s="165"/>
      <c r="Z20" s="165"/>
      <c r="AA20" s="68"/>
      <c r="AB20" s="68"/>
    </row>
    <row r="21" spans="1:28" s="37" customFormat="1" ht="29.15" customHeight="1" thickBot="1" x14ac:dyDescent="0.4">
      <c r="A21" s="96" t="s">
        <v>29</v>
      </c>
      <c r="B21" s="93" t="s">
        <v>81</v>
      </c>
      <c r="C21" s="92" t="s">
        <v>309</v>
      </c>
      <c r="D21" s="93" t="s">
        <v>331</v>
      </c>
      <c r="E21" s="93" t="s">
        <v>474</v>
      </c>
      <c r="F21" s="162">
        <v>300000</v>
      </c>
      <c r="G21" s="162">
        <f t="shared" si="0"/>
        <v>215303.89</v>
      </c>
      <c r="H21" s="162">
        <f t="shared" si="1"/>
        <v>84696.109999999986</v>
      </c>
      <c r="I21" s="165"/>
      <c r="J21" s="165"/>
      <c r="K21" s="165"/>
      <c r="L21" s="168">
        <v>46233.5</v>
      </c>
      <c r="M21" s="272"/>
      <c r="N21" s="273">
        <v>56292.54</v>
      </c>
      <c r="O21" s="277">
        <v>18646.66</v>
      </c>
      <c r="P21" s="272">
        <v>24372.55</v>
      </c>
      <c r="Q21" s="274">
        <v>34833.01</v>
      </c>
      <c r="R21" s="272">
        <v>23746.62</v>
      </c>
      <c r="S21" s="165">
        <v>11179.01</v>
      </c>
      <c r="T21" s="165"/>
      <c r="U21" s="165"/>
      <c r="V21" s="165"/>
      <c r="W21" s="165"/>
      <c r="X21" s="165"/>
      <c r="Y21" s="165"/>
      <c r="Z21" s="165"/>
      <c r="AA21" s="68"/>
      <c r="AB21" s="68"/>
    </row>
    <row r="22" spans="1:28" s="37" customFormat="1" ht="29.15" customHeight="1" thickBot="1" x14ac:dyDescent="0.4">
      <c r="A22" s="96" t="s">
        <v>34</v>
      </c>
      <c r="B22" s="93" t="s">
        <v>178</v>
      </c>
      <c r="C22" s="92" t="s">
        <v>310</v>
      </c>
      <c r="D22" s="93" t="s">
        <v>332</v>
      </c>
      <c r="E22" s="93" t="s">
        <v>474</v>
      </c>
      <c r="F22" s="162">
        <v>136202</v>
      </c>
      <c r="G22" s="162">
        <f t="shared" si="0"/>
        <v>80539</v>
      </c>
      <c r="H22" s="162">
        <f t="shared" si="1"/>
        <v>55663</v>
      </c>
      <c r="I22" s="165"/>
      <c r="J22" s="165"/>
      <c r="K22" s="165"/>
      <c r="L22" s="168"/>
      <c r="M22" s="272"/>
      <c r="N22" s="273">
        <v>30694</v>
      </c>
      <c r="O22" s="272"/>
      <c r="P22" s="272"/>
      <c r="Q22" s="274">
        <v>25375</v>
      </c>
      <c r="R22" s="272">
        <v>24470</v>
      </c>
      <c r="S22" s="165"/>
      <c r="T22" s="165"/>
      <c r="U22" s="165"/>
      <c r="V22" s="165"/>
      <c r="W22" s="165"/>
      <c r="X22" s="165"/>
      <c r="Y22" s="165"/>
      <c r="Z22" s="165"/>
      <c r="AA22" s="68"/>
      <c r="AB22" s="68"/>
    </row>
    <row r="23" spans="1:28" s="37" customFormat="1" ht="29.15" customHeight="1" thickBot="1" x14ac:dyDescent="0.4">
      <c r="A23" s="96" t="s">
        <v>53</v>
      </c>
      <c r="B23" s="93" t="s">
        <v>55</v>
      </c>
      <c r="C23" s="92" t="s">
        <v>311</v>
      </c>
      <c r="D23" s="93" t="s">
        <v>333</v>
      </c>
      <c r="E23" s="93" t="s">
        <v>474</v>
      </c>
      <c r="F23" s="162">
        <v>427096</v>
      </c>
      <c r="G23" s="162">
        <f t="shared" si="0"/>
        <v>191646.32</v>
      </c>
      <c r="H23" s="162">
        <f t="shared" si="1"/>
        <v>235449.68</v>
      </c>
      <c r="I23" s="165"/>
      <c r="J23" s="165"/>
      <c r="K23" s="165"/>
      <c r="L23" s="168">
        <v>17058.29</v>
      </c>
      <c r="M23" s="272"/>
      <c r="N23" s="273"/>
      <c r="O23" s="272">
        <v>69295.58</v>
      </c>
      <c r="P23" s="272"/>
      <c r="Q23" s="274"/>
      <c r="R23" s="272">
        <v>105292.45</v>
      </c>
      <c r="S23" s="165"/>
      <c r="T23" s="165"/>
      <c r="U23" s="165"/>
      <c r="V23" s="165"/>
      <c r="W23" s="165"/>
      <c r="X23" s="165"/>
      <c r="Y23" s="165"/>
      <c r="Z23" s="165"/>
      <c r="AA23" s="68"/>
      <c r="AB23" s="68"/>
    </row>
    <row r="24" spans="1:28" s="37" customFormat="1" ht="29.15" customHeight="1" thickBot="1" x14ac:dyDescent="0.4">
      <c r="A24" s="96" t="s">
        <v>270</v>
      </c>
      <c r="B24" s="93" t="s">
        <v>287</v>
      </c>
      <c r="C24" s="92" t="s">
        <v>312</v>
      </c>
      <c r="D24" s="93" t="s">
        <v>334</v>
      </c>
      <c r="E24" s="93" t="s">
        <v>474</v>
      </c>
      <c r="F24" s="162">
        <v>149483</v>
      </c>
      <c r="G24" s="162">
        <f t="shared" si="0"/>
        <v>0</v>
      </c>
      <c r="H24" s="162">
        <f t="shared" si="1"/>
        <v>149483</v>
      </c>
      <c r="I24" s="165"/>
      <c r="J24" s="165"/>
      <c r="K24" s="165"/>
      <c r="L24" s="168"/>
      <c r="M24" s="272"/>
      <c r="N24" s="273"/>
      <c r="O24" s="272"/>
      <c r="P24" s="272"/>
      <c r="Q24" s="274"/>
      <c r="R24" s="272"/>
      <c r="S24" s="165"/>
      <c r="T24" s="165"/>
      <c r="U24" s="165"/>
      <c r="V24" s="165"/>
      <c r="W24" s="165"/>
      <c r="X24" s="165"/>
      <c r="Y24" s="165"/>
      <c r="Z24" s="165"/>
      <c r="AA24" s="68"/>
      <c r="AB24" s="68"/>
    </row>
    <row r="25" spans="1:28" s="37" customFormat="1" ht="29.15" customHeight="1" thickBot="1" x14ac:dyDescent="0.4">
      <c r="A25" s="96" t="s">
        <v>271</v>
      </c>
      <c r="B25" s="93" t="s">
        <v>288</v>
      </c>
      <c r="C25" s="92" t="s">
        <v>313</v>
      </c>
      <c r="D25" s="93" t="s">
        <v>335</v>
      </c>
      <c r="E25" s="93" t="s">
        <v>475</v>
      </c>
      <c r="F25" s="162">
        <v>108475</v>
      </c>
      <c r="G25" s="162">
        <f t="shared" si="0"/>
        <v>0</v>
      </c>
      <c r="H25" s="162">
        <f t="shared" si="1"/>
        <v>108475</v>
      </c>
      <c r="I25" s="165"/>
      <c r="J25" s="165"/>
      <c r="K25" s="165"/>
      <c r="L25" s="168"/>
      <c r="M25" s="272"/>
      <c r="N25" s="273"/>
      <c r="O25" s="272"/>
      <c r="P25" s="272"/>
      <c r="Q25" s="274"/>
      <c r="R25" s="272"/>
      <c r="S25" s="165"/>
      <c r="T25" s="165"/>
      <c r="U25" s="165"/>
      <c r="V25" s="165"/>
      <c r="W25" s="165"/>
      <c r="X25" s="165"/>
      <c r="Y25" s="165"/>
      <c r="Z25" s="165"/>
      <c r="AA25" s="68"/>
      <c r="AB25" s="68"/>
    </row>
    <row r="26" spans="1:28" s="37" customFormat="1" ht="29.15" customHeight="1" thickBot="1" x14ac:dyDescent="0.4">
      <c r="A26" s="96" t="s">
        <v>83</v>
      </c>
      <c r="B26" s="93" t="s">
        <v>84</v>
      </c>
      <c r="C26" s="92" t="s">
        <v>314</v>
      </c>
      <c r="D26" s="93" t="s">
        <v>336</v>
      </c>
      <c r="E26" s="93" t="s">
        <v>474</v>
      </c>
      <c r="F26" s="162">
        <v>150000</v>
      </c>
      <c r="G26" s="162">
        <f t="shared" si="0"/>
        <v>70098.31</v>
      </c>
      <c r="H26" s="162">
        <f t="shared" si="1"/>
        <v>79901.69</v>
      </c>
      <c r="I26" s="165"/>
      <c r="J26" s="165"/>
      <c r="K26" s="165"/>
      <c r="L26" s="168"/>
      <c r="M26" s="272">
        <v>1425.38</v>
      </c>
      <c r="N26" s="273"/>
      <c r="O26" s="272"/>
      <c r="P26" s="272">
        <v>46688.42</v>
      </c>
      <c r="Q26" s="274">
        <v>10444.77</v>
      </c>
      <c r="R26" s="272"/>
      <c r="S26" s="165">
        <v>11539.74</v>
      </c>
      <c r="T26" s="165"/>
      <c r="U26" s="165"/>
      <c r="V26" s="165"/>
      <c r="W26" s="165"/>
      <c r="X26" s="165"/>
      <c r="Y26" s="165"/>
      <c r="Z26" s="165"/>
      <c r="AA26" s="68"/>
      <c r="AB26" s="68"/>
    </row>
    <row r="27" spans="1:28" s="37" customFormat="1" ht="29.15" customHeight="1" thickBot="1" x14ac:dyDescent="0.4">
      <c r="A27" s="96" t="s">
        <v>36</v>
      </c>
      <c r="B27" s="93" t="s">
        <v>289</v>
      </c>
      <c r="C27" s="92" t="s">
        <v>315</v>
      </c>
      <c r="D27" s="93" t="s">
        <v>337</v>
      </c>
      <c r="E27" s="93" t="s">
        <v>474</v>
      </c>
      <c r="F27" s="162">
        <v>150000</v>
      </c>
      <c r="G27" s="162">
        <f t="shared" si="0"/>
        <v>45979.72</v>
      </c>
      <c r="H27" s="162">
        <f t="shared" si="1"/>
        <v>104020.28</v>
      </c>
      <c r="I27" s="165"/>
      <c r="J27" s="165"/>
      <c r="K27" s="270"/>
      <c r="L27" s="168"/>
      <c r="M27" s="272"/>
      <c r="N27" s="273">
        <v>3329.12</v>
      </c>
      <c r="O27" s="272"/>
      <c r="P27" s="272">
        <v>12866.54</v>
      </c>
      <c r="Q27" s="274"/>
      <c r="R27" s="272"/>
      <c r="S27" s="165">
        <v>29784.06</v>
      </c>
      <c r="T27" s="165"/>
      <c r="U27" s="165"/>
      <c r="V27" s="165"/>
      <c r="W27" s="165"/>
      <c r="X27" s="165"/>
      <c r="Y27" s="165"/>
      <c r="Z27" s="165"/>
      <c r="AA27" s="68"/>
      <c r="AB27" s="68"/>
    </row>
    <row r="28" spans="1:28" s="37" customFormat="1" ht="29.15" customHeight="1" thickBot="1" x14ac:dyDescent="0.4">
      <c r="A28" s="96" t="s">
        <v>272</v>
      </c>
      <c r="B28" s="93" t="s">
        <v>290</v>
      </c>
      <c r="C28" s="92" t="s">
        <v>433</v>
      </c>
      <c r="D28" s="93" t="s">
        <v>338</v>
      </c>
      <c r="E28" s="93" t="s">
        <v>474</v>
      </c>
      <c r="F28" s="162">
        <v>175000</v>
      </c>
      <c r="G28" s="162">
        <f t="shared" si="0"/>
        <v>122592.74</v>
      </c>
      <c r="H28" s="162">
        <f t="shared" si="1"/>
        <v>52407.259999999995</v>
      </c>
      <c r="I28" s="165"/>
      <c r="J28" s="165"/>
      <c r="K28" s="165"/>
      <c r="L28" s="168"/>
      <c r="M28" s="272"/>
      <c r="N28" s="273"/>
      <c r="O28" s="272"/>
      <c r="P28" s="272"/>
      <c r="Q28" s="274">
        <v>98591.010000000009</v>
      </c>
      <c r="R28" s="272"/>
      <c r="S28" s="165">
        <v>24001.73</v>
      </c>
      <c r="T28" s="165"/>
      <c r="U28" s="165"/>
      <c r="V28" s="165"/>
      <c r="W28" s="165"/>
      <c r="X28" s="165"/>
      <c r="Y28" s="165"/>
      <c r="Z28" s="165"/>
      <c r="AA28" s="68"/>
      <c r="AB28" s="68"/>
    </row>
    <row r="29" spans="1:28" s="37" customFormat="1" ht="29.15" customHeight="1" thickBot="1" x14ac:dyDescent="0.4">
      <c r="A29" s="96" t="s">
        <v>28</v>
      </c>
      <c r="B29" s="93" t="s">
        <v>85</v>
      </c>
      <c r="C29" s="92" t="s">
        <v>316</v>
      </c>
      <c r="D29" s="93" t="s">
        <v>439</v>
      </c>
      <c r="E29" s="93" t="s">
        <v>474</v>
      </c>
      <c r="F29" s="162">
        <v>582000</v>
      </c>
      <c r="G29" s="162">
        <f t="shared" si="0"/>
        <v>314945.71000000002</v>
      </c>
      <c r="H29" s="162">
        <f t="shared" si="1"/>
        <v>267054.28999999998</v>
      </c>
      <c r="I29" s="165"/>
      <c r="J29" s="165"/>
      <c r="K29" s="165"/>
      <c r="L29" s="168">
        <v>63240.73</v>
      </c>
      <c r="M29" s="278"/>
      <c r="N29" s="273">
        <v>103501.92</v>
      </c>
      <c r="O29" s="272">
        <v>26602.34</v>
      </c>
      <c r="P29" s="272"/>
      <c r="Q29" s="274">
        <v>23265.39</v>
      </c>
      <c r="R29" s="272">
        <f>43116.97+55218.36</f>
        <v>98335.33</v>
      </c>
      <c r="S29" s="165"/>
      <c r="T29" s="165"/>
      <c r="U29" s="165"/>
      <c r="V29" s="165"/>
      <c r="W29" s="165"/>
      <c r="X29" s="165"/>
      <c r="Y29" s="165"/>
      <c r="Z29" s="165"/>
      <c r="AA29" s="68"/>
      <c r="AB29" s="68"/>
    </row>
    <row r="30" spans="1:28" s="37" customFormat="1" ht="29.15" customHeight="1" thickBot="1" x14ac:dyDescent="0.4">
      <c r="A30" s="96" t="s">
        <v>54</v>
      </c>
      <c r="B30" s="93" t="s">
        <v>212</v>
      </c>
      <c r="C30" s="92">
        <v>6219</v>
      </c>
      <c r="D30" s="93" t="s">
        <v>339</v>
      </c>
      <c r="E30" s="93" t="s">
        <v>475</v>
      </c>
      <c r="F30" s="162">
        <v>450000</v>
      </c>
      <c r="G30" s="162">
        <f t="shared" si="0"/>
        <v>78417</v>
      </c>
      <c r="H30" s="162">
        <f t="shared" si="1"/>
        <v>371583</v>
      </c>
      <c r="I30" s="165"/>
      <c r="J30" s="165"/>
      <c r="K30" s="165"/>
      <c r="L30" s="168"/>
      <c r="M30" s="296">
        <v>46473</v>
      </c>
      <c r="N30" s="272"/>
      <c r="O30" s="272"/>
      <c r="P30" s="274"/>
      <c r="Q30" s="274"/>
      <c r="R30" s="272">
        <v>31944</v>
      </c>
      <c r="S30" s="165"/>
      <c r="T30" s="165"/>
      <c r="U30" s="165"/>
      <c r="V30" s="165"/>
      <c r="W30" s="165"/>
      <c r="X30" s="165"/>
      <c r="Y30" s="165"/>
      <c r="Z30" s="165"/>
      <c r="AA30" s="68"/>
      <c r="AB30" s="68"/>
    </row>
    <row r="31" spans="1:28" s="37" customFormat="1" ht="29.15" customHeight="1" thickBot="1" x14ac:dyDescent="0.4">
      <c r="A31" s="96" t="s">
        <v>54</v>
      </c>
      <c r="B31" s="93" t="s">
        <v>212</v>
      </c>
      <c r="C31" s="92" t="s">
        <v>359</v>
      </c>
      <c r="D31" s="93" t="s">
        <v>340</v>
      </c>
      <c r="E31" s="93" t="s">
        <v>475</v>
      </c>
      <c r="F31" s="162">
        <v>149895</v>
      </c>
      <c r="G31" s="162">
        <f t="shared" si="0"/>
        <v>20011</v>
      </c>
      <c r="H31" s="162">
        <f t="shared" si="1"/>
        <v>129884</v>
      </c>
      <c r="I31" s="165"/>
      <c r="J31" s="165"/>
      <c r="K31" s="165"/>
      <c r="L31" s="168"/>
      <c r="M31" s="272"/>
      <c r="N31" s="274"/>
      <c r="O31" s="272"/>
      <c r="P31" s="274"/>
      <c r="Q31" s="274"/>
      <c r="R31" s="272">
        <v>11749</v>
      </c>
      <c r="S31" s="364">
        <v>8262</v>
      </c>
      <c r="T31" s="165"/>
      <c r="U31" s="165"/>
      <c r="V31" s="165"/>
      <c r="W31" s="165"/>
      <c r="X31" s="165"/>
      <c r="Y31" s="165"/>
      <c r="Z31" s="165"/>
      <c r="AA31" s="68"/>
      <c r="AB31" s="68"/>
    </row>
    <row r="32" spans="1:28" s="37" customFormat="1" ht="29.15" customHeight="1" thickBot="1" x14ac:dyDescent="0.4">
      <c r="A32" s="96" t="s">
        <v>54</v>
      </c>
      <c r="B32" s="93" t="s">
        <v>212</v>
      </c>
      <c r="C32" s="92" t="s">
        <v>354</v>
      </c>
      <c r="D32" s="93" t="s">
        <v>341</v>
      </c>
      <c r="E32" s="93" t="s">
        <v>475</v>
      </c>
      <c r="F32" s="162">
        <v>150000</v>
      </c>
      <c r="G32" s="162">
        <f t="shared" si="0"/>
        <v>80839</v>
      </c>
      <c r="H32" s="162">
        <f t="shared" si="1"/>
        <v>69161</v>
      </c>
      <c r="I32" s="165"/>
      <c r="J32" s="165"/>
      <c r="K32" s="165"/>
      <c r="L32" s="168"/>
      <c r="M32" s="272"/>
      <c r="N32" s="272"/>
      <c r="O32" s="272"/>
      <c r="P32" s="272"/>
      <c r="Q32" s="274"/>
      <c r="R32" s="272">
        <v>80839</v>
      </c>
      <c r="S32" s="165"/>
      <c r="T32" s="165"/>
      <c r="U32" s="165"/>
      <c r="V32" s="165"/>
      <c r="W32" s="165"/>
      <c r="X32" s="165"/>
      <c r="Y32" s="165"/>
      <c r="Z32" s="165"/>
      <c r="AA32" s="68"/>
      <c r="AB32" s="68"/>
    </row>
    <row r="33" spans="1:42" s="37" customFormat="1" ht="29.15" customHeight="1" thickBot="1" x14ac:dyDescent="0.4">
      <c r="A33" s="96" t="s">
        <v>95</v>
      </c>
      <c r="B33" s="204" t="s">
        <v>179</v>
      </c>
      <c r="C33" s="92" t="s">
        <v>95</v>
      </c>
      <c r="D33" s="93" t="s">
        <v>342</v>
      </c>
      <c r="E33" s="93" t="s">
        <v>475</v>
      </c>
      <c r="F33" s="162">
        <v>450000</v>
      </c>
      <c r="G33" s="162">
        <f t="shared" si="0"/>
        <v>198151.62</v>
      </c>
      <c r="H33" s="162">
        <f t="shared" si="1"/>
        <v>251848.38</v>
      </c>
      <c r="I33" s="165"/>
      <c r="J33" s="165"/>
      <c r="K33" s="165"/>
      <c r="L33" s="168">
        <v>46791</v>
      </c>
      <c r="M33" s="272">
        <v>43320</v>
      </c>
      <c r="N33" s="272">
        <v>44219</v>
      </c>
      <c r="O33" s="272"/>
      <c r="P33" s="272"/>
      <c r="Q33" s="274"/>
      <c r="R33" s="272">
        <v>21173.77</v>
      </c>
      <c r="S33" s="165">
        <v>42647.85</v>
      </c>
      <c r="T33" s="165"/>
      <c r="U33" s="165"/>
      <c r="V33" s="165"/>
      <c r="W33" s="165"/>
      <c r="X33" s="165"/>
      <c r="Y33" s="165"/>
      <c r="Z33" s="165"/>
      <c r="AA33" s="68"/>
      <c r="AB33" s="68"/>
    </row>
    <row r="34" spans="1:42" s="37" customFormat="1" ht="29.15" customHeight="1" thickBot="1" x14ac:dyDescent="0.4">
      <c r="A34" s="96" t="s">
        <v>273</v>
      </c>
      <c r="B34" s="93" t="s">
        <v>291</v>
      </c>
      <c r="C34" s="92" t="s">
        <v>317</v>
      </c>
      <c r="D34" s="93" t="s">
        <v>462</v>
      </c>
      <c r="E34" s="93" t="s">
        <v>475</v>
      </c>
      <c r="F34" s="162">
        <v>495080</v>
      </c>
      <c r="G34" s="162">
        <f t="shared" si="0"/>
        <v>278067</v>
      </c>
      <c r="H34" s="162">
        <f t="shared" si="1"/>
        <v>217013</v>
      </c>
      <c r="I34" s="165">
        <v>16283</v>
      </c>
      <c r="J34" s="165">
        <v>17001</v>
      </c>
      <c r="K34" s="165">
        <v>29072</v>
      </c>
      <c r="L34" s="168">
        <v>32836</v>
      </c>
      <c r="M34" s="272">
        <v>42479</v>
      </c>
      <c r="N34" s="272">
        <v>34326</v>
      </c>
      <c r="O34" s="272">
        <v>39001</v>
      </c>
      <c r="P34" s="272"/>
      <c r="Q34" s="279"/>
      <c r="R34" s="272">
        <v>33273</v>
      </c>
      <c r="S34" s="165">
        <v>33796</v>
      </c>
      <c r="T34" s="165"/>
      <c r="U34" s="165"/>
      <c r="V34" s="165"/>
      <c r="W34" s="165"/>
      <c r="X34" s="165"/>
      <c r="Y34" s="165"/>
      <c r="Z34" s="165"/>
      <c r="AA34" s="68"/>
      <c r="AB34" s="68"/>
    </row>
    <row r="35" spans="1:42" s="37" customFormat="1" ht="29.15" customHeight="1" thickBot="1" x14ac:dyDescent="0.4">
      <c r="A35" s="96" t="s">
        <v>274</v>
      </c>
      <c r="B35" s="93" t="s">
        <v>292</v>
      </c>
      <c r="C35" s="92" t="s">
        <v>274</v>
      </c>
      <c r="D35" s="93" t="s">
        <v>343</v>
      </c>
      <c r="E35" s="93" t="s">
        <v>475</v>
      </c>
      <c r="F35" s="162">
        <v>118398</v>
      </c>
      <c r="G35" s="162">
        <f t="shared" si="0"/>
        <v>59577.36</v>
      </c>
      <c r="H35" s="162">
        <f t="shared" si="1"/>
        <v>58820.639999999999</v>
      </c>
      <c r="I35" s="165"/>
      <c r="J35" s="165"/>
      <c r="K35" s="165">
        <v>10333.94</v>
      </c>
      <c r="L35" s="168">
        <v>4768.7700000000004</v>
      </c>
      <c r="M35" s="272">
        <v>5361.22</v>
      </c>
      <c r="N35" s="272">
        <v>28019.43</v>
      </c>
      <c r="O35" s="272">
        <f>5698+5396</f>
        <v>11094</v>
      </c>
      <c r="P35" s="272"/>
      <c r="Q35" s="274"/>
      <c r="R35" s="272"/>
      <c r="S35" s="165"/>
      <c r="T35" s="165"/>
      <c r="U35" s="165"/>
      <c r="V35" s="165"/>
      <c r="W35" s="165"/>
      <c r="X35" s="165"/>
      <c r="Y35" s="165"/>
      <c r="Z35" s="165"/>
      <c r="AA35" s="68"/>
      <c r="AB35" s="68"/>
    </row>
    <row r="36" spans="1:42" s="37" customFormat="1" ht="29.15" customHeight="1" thickBot="1" x14ac:dyDescent="0.4">
      <c r="A36" s="96" t="s">
        <v>275</v>
      </c>
      <c r="B36" s="93" t="s">
        <v>293</v>
      </c>
      <c r="C36" s="92" t="s">
        <v>275</v>
      </c>
      <c r="D36" s="93" t="s">
        <v>344</v>
      </c>
      <c r="E36" s="93" t="s">
        <v>475</v>
      </c>
      <c r="F36" s="162">
        <v>150000</v>
      </c>
      <c r="G36" s="162">
        <f t="shared" si="0"/>
        <v>96558.39</v>
      </c>
      <c r="H36" s="162">
        <f t="shared" si="1"/>
        <v>53441.61</v>
      </c>
      <c r="I36" s="165"/>
      <c r="J36" s="315">
        <v>14288</v>
      </c>
      <c r="K36" s="165">
        <v>25573.48</v>
      </c>
      <c r="L36" s="168">
        <v>10999.98</v>
      </c>
      <c r="M36" s="272">
        <v>10546.9</v>
      </c>
      <c r="N36" s="272">
        <v>11319.07</v>
      </c>
      <c r="O36" s="272">
        <v>10193.08</v>
      </c>
      <c r="P36" s="272"/>
      <c r="Q36" s="274"/>
      <c r="R36" s="272">
        <v>13637.88</v>
      </c>
      <c r="S36" s="165"/>
      <c r="T36" s="165"/>
      <c r="U36" s="165"/>
      <c r="V36" s="165"/>
      <c r="W36" s="165"/>
      <c r="X36" s="165"/>
      <c r="Y36" s="165"/>
      <c r="Z36" s="165"/>
      <c r="AA36" s="68"/>
      <c r="AB36" s="68"/>
    </row>
    <row r="37" spans="1:42" s="37" customFormat="1" ht="29.15" customHeight="1" thickBot="1" x14ac:dyDescent="0.4">
      <c r="A37" s="96" t="s">
        <v>276</v>
      </c>
      <c r="B37" s="93" t="s">
        <v>294</v>
      </c>
      <c r="C37" s="92" t="s">
        <v>276</v>
      </c>
      <c r="D37" s="93" t="s">
        <v>345</v>
      </c>
      <c r="E37" s="93" t="s">
        <v>474</v>
      </c>
      <c r="F37" s="162">
        <v>132714</v>
      </c>
      <c r="G37" s="162">
        <f t="shared" si="0"/>
        <v>96807.18</v>
      </c>
      <c r="H37" s="162">
        <f t="shared" si="1"/>
        <v>35906.820000000007</v>
      </c>
      <c r="I37" s="165"/>
      <c r="J37" s="165"/>
      <c r="K37" s="165"/>
      <c r="L37" s="168">
        <v>26874.09</v>
      </c>
      <c r="M37" s="272"/>
      <c r="N37" s="272">
        <v>28019.43</v>
      </c>
      <c r="O37" s="272">
        <f>28019.43+9942.67</f>
        <v>37962.1</v>
      </c>
      <c r="P37" s="272">
        <v>-28019.43</v>
      </c>
      <c r="Q37" s="274">
        <v>22846.23</v>
      </c>
      <c r="R37" s="272">
        <v>9124.76</v>
      </c>
      <c r="S37" s="165"/>
      <c r="T37" s="165"/>
      <c r="U37" s="165"/>
      <c r="V37" s="165"/>
      <c r="W37" s="165"/>
      <c r="X37" s="165"/>
      <c r="Y37" s="165"/>
      <c r="Z37" s="165"/>
      <c r="AA37" s="68"/>
      <c r="AB37" s="68"/>
    </row>
    <row r="38" spans="1:42" s="37" customFormat="1" ht="29.15" customHeight="1" thickBot="1" x14ac:dyDescent="0.4">
      <c r="A38" s="96" t="s">
        <v>277</v>
      </c>
      <c r="B38" s="93" t="s">
        <v>295</v>
      </c>
      <c r="C38" s="92" t="s">
        <v>277</v>
      </c>
      <c r="D38" s="93" t="s">
        <v>346</v>
      </c>
      <c r="E38" s="93" t="s">
        <v>474</v>
      </c>
      <c r="F38" s="162">
        <v>149996</v>
      </c>
      <c r="G38" s="162">
        <f t="shared" si="0"/>
        <v>104839.03</v>
      </c>
      <c r="H38" s="162">
        <f t="shared" si="1"/>
        <v>45156.97</v>
      </c>
      <c r="I38" s="165"/>
      <c r="J38" s="165"/>
      <c r="K38" s="165">
        <v>0</v>
      </c>
      <c r="L38" s="168">
        <f>6651.02+10583.34</f>
        <v>17234.36</v>
      </c>
      <c r="M38" s="272"/>
      <c r="N38" s="272"/>
      <c r="O38" s="272">
        <f>10583.34+10170.3+10816.42+11457.95+8526.76</f>
        <v>51554.77</v>
      </c>
      <c r="P38" s="272">
        <v>4226.1400000000003</v>
      </c>
      <c r="Q38" s="274">
        <v>13410.99</v>
      </c>
      <c r="R38" s="272">
        <v>12992.62</v>
      </c>
      <c r="S38" s="165">
        <v>5420.15</v>
      </c>
      <c r="T38" s="165"/>
      <c r="U38" s="165"/>
      <c r="V38" s="165"/>
      <c r="W38" s="165"/>
      <c r="X38" s="165"/>
      <c r="Y38" s="165"/>
      <c r="Z38" s="165"/>
      <c r="AA38" s="68"/>
      <c r="AB38" s="68"/>
    </row>
    <row r="39" spans="1:42" s="37" customFormat="1" ht="29.15" customHeight="1" thickBot="1" x14ac:dyDescent="0.4">
      <c r="A39" s="96" t="s">
        <v>278</v>
      </c>
      <c r="B39" s="93" t="s">
        <v>296</v>
      </c>
      <c r="C39" s="92" t="s">
        <v>278</v>
      </c>
      <c r="D39" s="93" t="s">
        <v>347</v>
      </c>
      <c r="E39" s="93" t="s">
        <v>474</v>
      </c>
      <c r="F39" s="162">
        <v>95776</v>
      </c>
      <c r="G39" s="162">
        <f t="shared" si="0"/>
        <v>66922.560000000012</v>
      </c>
      <c r="H39" s="162">
        <f t="shared" si="1"/>
        <v>28853.439999999988</v>
      </c>
      <c r="I39" s="165"/>
      <c r="J39" s="165"/>
      <c r="K39" s="165"/>
      <c r="L39" s="168">
        <f>2163.69+6699.72</f>
        <v>8863.41</v>
      </c>
      <c r="M39" s="272"/>
      <c r="N39" s="272"/>
      <c r="O39" s="272">
        <f>6699.72+6228.53+8129.73+8395.84+7476.84</f>
        <v>36930.660000000003</v>
      </c>
      <c r="P39" s="272">
        <v>3217.44</v>
      </c>
      <c r="Q39" s="274">
        <v>5550.4</v>
      </c>
      <c r="R39" s="272">
        <v>9090.24</v>
      </c>
      <c r="S39" s="165">
        <v>3270.41</v>
      </c>
      <c r="T39" s="165"/>
      <c r="U39" s="165"/>
      <c r="V39" s="165"/>
      <c r="W39" s="165"/>
      <c r="X39" s="165"/>
      <c r="Y39" s="165"/>
      <c r="Z39" s="165"/>
      <c r="AA39" s="68"/>
      <c r="AB39" s="68"/>
    </row>
    <row r="40" spans="1:42" s="37" customFormat="1" ht="29.15" customHeight="1" thickBot="1" x14ac:dyDescent="0.4">
      <c r="A40" s="96" t="s">
        <v>279</v>
      </c>
      <c r="B40" s="93" t="s">
        <v>297</v>
      </c>
      <c r="C40" s="92" t="s">
        <v>279</v>
      </c>
      <c r="D40" s="93" t="s">
        <v>348</v>
      </c>
      <c r="E40" s="93" t="s">
        <v>475</v>
      </c>
      <c r="F40" s="162">
        <v>295890</v>
      </c>
      <c r="G40" s="162">
        <f t="shared" si="0"/>
        <v>164120.22</v>
      </c>
      <c r="H40" s="162">
        <f t="shared" si="1"/>
        <v>131769.78</v>
      </c>
      <c r="I40" s="165"/>
      <c r="J40" s="165">
        <v>18297.310000000001</v>
      </c>
      <c r="K40" s="165">
        <v>20174.59</v>
      </c>
      <c r="L40" s="168">
        <v>18915.86</v>
      </c>
      <c r="M40" s="272">
        <v>19900.39</v>
      </c>
      <c r="N40" s="272">
        <v>21680.55</v>
      </c>
      <c r="O40" s="272">
        <v>28883.09</v>
      </c>
      <c r="P40" s="272"/>
      <c r="Q40" s="274"/>
      <c r="R40" s="272">
        <v>20404.23</v>
      </c>
      <c r="S40" s="165">
        <v>15864.2</v>
      </c>
      <c r="T40" s="165"/>
      <c r="U40" s="165"/>
      <c r="V40" s="165"/>
      <c r="W40" s="165"/>
      <c r="X40" s="165"/>
      <c r="Y40" s="165"/>
      <c r="Z40" s="165"/>
      <c r="AA40" s="168"/>
      <c r="AB40" s="168"/>
    </row>
    <row r="41" spans="1:42" s="37" customFormat="1" ht="29.15" customHeight="1" thickBot="1" x14ac:dyDescent="0.4">
      <c r="A41" s="96" t="s">
        <v>280</v>
      </c>
      <c r="B41" s="93" t="s">
        <v>298</v>
      </c>
      <c r="C41" s="92" t="s">
        <v>280</v>
      </c>
      <c r="D41" s="93" t="s">
        <v>349</v>
      </c>
      <c r="E41" s="93" t="s">
        <v>474</v>
      </c>
      <c r="F41" s="162">
        <v>600000</v>
      </c>
      <c r="G41" s="162">
        <f t="shared" si="0"/>
        <v>422489.60999999993</v>
      </c>
      <c r="H41" s="162">
        <f t="shared" si="1"/>
        <v>177510.39000000007</v>
      </c>
      <c r="I41" s="165"/>
      <c r="J41" s="165"/>
      <c r="K41" s="165"/>
      <c r="L41" s="168">
        <f>58850+50693.8</f>
        <v>109543.8</v>
      </c>
      <c r="M41" s="272">
        <v>70099.929999999993</v>
      </c>
      <c r="N41" s="272">
        <v>38136.43</v>
      </c>
      <c r="O41" s="272">
        <v>35338.910000000003</v>
      </c>
      <c r="P41" s="272"/>
      <c r="Q41" s="274">
        <v>95790.62</v>
      </c>
      <c r="R41" s="272">
        <v>38639.839999999997</v>
      </c>
      <c r="S41" s="165">
        <v>34940.080000000002</v>
      </c>
      <c r="T41" s="165"/>
      <c r="U41" s="165"/>
      <c r="V41" s="165"/>
      <c r="W41" s="165"/>
      <c r="X41" s="165"/>
      <c r="Y41" s="165"/>
      <c r="Z41" s="165"/>
      <c r="AA41" s="168"/>
      <c r="AB41" s="168"/>
    </row>
    <row r="42" spans="1:42" s="37" customFormat="1" ht="29.15" customHeight="1" thickBot="1" x14ac:dyDescent="0.4">
      <c r="A42" s="96" t="s">
        <v>281</v>
      </c>
      <c r="B42" s="93" t="s">
        <v>299</v>
      </c>
      <c r="C42" s="92" t="s">
        <v>281</v>
      </c>
      <c r="D42" s="93" t="s">
        <v>461</v>
      </c>
      <c r="E42" s="93" t="s">
        <v>475</v>
      </c>
      <c r="F42" s="162">
        <v>300000</v>
      </c>
      <c r="G42" s="162">
        <f t="shared" si="0"/>
        <v>118929.34</v>
      </c>
      <c r="H42" s="162">
        <f t="shared" si="1"/>
        <v>181070.66</v>
      </c>
      <c r="I42" s="165"/>
      <c r="J42" s="165"/>
      <c r="K42" s="165"/>
      <c r="L42" s="168"/>
      <c r="M42" s="272">
        <v>54835.34</v>
      </c>
      <c r="N42" s="272"/>
      <c r="O42" s="272">
        <v>20424</v>
      </c>
      <c r="P42" s="272"/>
      <c r="Q42" s="274"/>
      <c r="R42" s="272"/>
      <c r="S42" s="165">
        <v>43670</v>
      </c>
      <c r="T42" s="165"/>
      <c r="U42" s="165"/>
      <c r="V42" s="165"/>
      <c r="W42" s="165"/>
      <c r="X42" s="165"/>
      <c r="Y42" s="165"/>
      <c r="Z42" s="165"/>
      <c r="AA42" s="68"/>
      <c r="AB42" s="68"/>
    </row>
    <row r="43" spans="1:42" s="37" customFormat="1" ht="29.15" customHeight="1" thickBot="1" x14ac:dyDescent="0.4">
      <c r="A43" s="96" t="s">
        <v>73</v>
      </c>
      <c r="B43" s="93" t="s">
        <v>180</v>
      </c>
      <c r="C43" s="92" t="s">
        <v>73</v>
      </c>
      <c r="D43" s="93" t="s">
        <v>111</v>
      </c>
      <c r="E43" s="93" t="s">
        <v>475</v>
      </c>
      <c r="F43" s="162">
        <v>150000</v>
      </c>
      <c r="G43" s="162">
        <f t="shared" si="0"/>
        <v>60065.680000000008</v>
      </c>
      <c r="H43" s="162">
        <f t="shared" si="1"/>
        <v>89934.319999999992</v>
      </c>
      <c r="I43" s="165"/>
      <c r="J43" s="165"/>
      <c r="K43" s="165">
        <v>14885.27</v>
      </c>
      <c r="L43" s="168"/>
      <c r="M43" s="272">
        <f>8969.84+10831.79</f>
        <v>19801.63</v>
      </c>
      <c r="N43" s="272">
        <v>17055.37</v>
      </c>
      <c r="O43" s="272">
        <v>8323.41</v>
      </c>
      <c r="P43" s="272"/>
      <c r="Q43" s="274"/>
      <c r="R43" s="272"/>
      <c r="S43" s="165"/>
      <c r="T43" s="165"/>
      <c r="U43" s="165"/>
      <c r="V43" s="165"/>
      <c r="W43" s="165"/>
      <c r="X43" s="165"/>
      <c r="Y43" s="165"/>
      <c r="Z43" s="165"/>
      <c r="AA43" s="68"/>
      <c r="AB43" s="68"/>
    </row>
    <row r="44" spans="1:42" s="37" customFormat="1" ht="29.15" customHeight="1" thickBot="1" x14ac:dyDescent="0.4">
      <c r="A44" s="95" t="s">
        <v>96</v>
      </c>
      <c r="B44" s="93" t="s">
        <v>181</v>
      </c>
      <c r="C44" s="97" t="s">
        <v>96</v>
      </c>
      <c r="D44" s="93" t="s">
        <v>350</v>
      </c>
      <c r="E44" s="93" t="s">
        <v>474</v>
      </c>
      <c r="F44" s="162">
        <v>115025</v>
      </c>
      <c r="G44" s="162">
        <f t="shared" si="0"/>
        <v>99893</v>
      </c>
      <c r="H44" s="162">
        <f t="shared" si="1"/>
        <v>15132</v>
      </c>
      <c r="I44" s="165"/>
      <c r="J44" s="165"/>
      <c r="K44" s="165"/>
      <c r="L44" s="168">
        <f>3036+3346</f>
        <v>6382</v>
      </c>
      <c r="M44" s="272">
        <f>6389+7099+2582+7817</f>
        <v>23887</v>
      </c>
      <c r="N44" s="272">
        <v>22783</v>
      </c>
      <c r="O44" s="272">
        <f>6919+5958</f>
        <v>12877</v>
      </c>
      <c r="P44" s="272"/>
      <c r="Q44" s="274">
        <v>9721</v>
      </c>
      <c r="R44" s="272">
        <v>11044</v>
      </c>
      <c r="S44" s="165">
        <v>13199</v>
      </c>
      <c r="T44" s="165"/>
      <c r="U44" s="165"/>
      <c r="V44" s="165"/>
      <c r="W44" s="165"/>
      <c r="X44" s="165"/>
      <c r="Y44" s="165"/>
      <c r="Z44" s="165"/>
      <c r="AA44" s="68"/>
      <c r="AB44" s="68"/>
    </row>
    <row r="45" spans="1:42" ht="29.15" customHeight="1" thickBot="1" x14ac:dyDescent="0.4">
      <c r="A45" s="95" t="s">
        <v>14</v>
      </c>
      <c r="B45" s="93" t="s">
        <v>24</v>
      </c>
      <c r="C45" s="97" t="s">
        <v>282</v>
      </c>
      <c r="D45" s="93" t="s">
        <v>352</v>
      </c>
      <c r="E45" s="93" t="s">
        <v>474</v>
      </c>
      <c r="F45" s="162">
        <v>300000</v>
      </c>
      <c r="G45" s="162">
        <f t="shared" si="0"/>
        <v>126737</v>
      </c>
      <c r="H45" s="162">
        <f t="shared" si="1"/>
        <v>173263</v>
      </c>
      <c r="I45" s="165"/>
      <c r="J45" s="165"/>
      <c r="K45" s="165"/>
      <c r="L45" s="168"/>
      <c r="M45" s="272"/>
      <c r="N45" s="272">
        <v>40825</v>
      </c>
      <c r="O45" s="272">
        <f>9810+17351</f>
        <v>27161</v>
      </c>
      <c r="P45" s="272">
        <v>28449</v>
      </c>
      <c r="Q45" s="274">
        <v>12842</v>
      </c>
      <c r="R45" s="272"/>
      <c r="S45" s="165">
        <v>17460</v>
      </c>
      <c r="T45" s="165"/>
      <c r="U45" s="165"/>
      <c r="V45" s="165"/>
      <c r="W45" s="165"/>
      <c r="X45" s="165"/>
      <c r="Y45" s="165"/>
      <c r="Z45" s="165"/>
      <c r="AA45" s="68"/>
      <c r="AB45" s="68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</row>
    <row r="46" spans="1:42" s="37" customFormat="1" ht="29.15" customHeight="1" thickBot="1" x14ac:dyDescent="0.4">
      <c r="A46" s="95" t="s">
        <v>14</v>
      </c>
      <c r="B46" s="93" t="s">
        <v>24</v>
      </c>
      <c r="C46" s="97" t="s">
        <v>318</v>
      </c>
      <c r="D46" s="93" t="s">
        <v>351</v>
      </c>
      <c r="E46" s="93" t="s">
        <v>474</v>
      </c>
      <c r="F46" s="162">
        <v>150000</v>
      </c>
      <c r="G46" s="162">
        <f>SUM(I46:Z46)</f>
        <v>72073</v>
      </c>
      <c r="H46" s="162">
        <f>F46-G46</f>
        <v>77927</v>
      </c>
      <c r="I46" s="165"/>
      <c r="J46" s="165"/>
      <c r="K46" s="165"/>
      <c r="L46" s="168"/>
      <c r="M46" s="272"/>
      <c r="N46" s="272"/>
      <c r="O46" s="272">
        <f>5702+9943+20578</f>
        <v>36223</v>
      </c>
      <c r="P46" s="272">
        <v>18616</v>
      </c>
      <c r="Q46" s="274">
        <v>7547</v>
      </c>
      <c r="R46" s="272"/>
      <c r="S46" s="165">
        <v>9687</v>
      </c>
      <c r="T46" s="165"/>
      <c r="U46" s="165"/>
      <c r="V46" s="165"/>
      <c r="W46" s="165"/>
      <c r="X46" s="165"/>
      <c r="Y46" s="165"/>
      <c r="Z46" s="165"/>
      <c r="AA46" s="68"/>
      <c r="AB46" s="68"/>
    </row>
    <row r="47" spans="1:42" ht="29.15" customHeight="1" thickBot="1" x14ac:dyDescent="0.4">
      <c r="A47" s="95" t="s">
        <v>91</v>
      </c>
      <c r="B47" s="93" t="s">
        <v>519</v>
      </c>
      <c r="C47" s="97" t="s">
        <v>91</v>
      </c>
      <c r="D47" s="93"/>
      <c r="E47" s="93" t="s">
        <v>474</v>
      </c>
      <c r="F47" s="162">
        <v>107804</v>
      </c>
      <c r="G47" s="162">
        <f>SUM(I47:Z47)</f>
        <v>50579.880000000005</v>
      </c>
      <c r="H47" s="162">
        <f>F47-G47</f>
        <v>57224.119999999995</v>
      </c>
      <c r="I47" s="165"/>
      <c r="J47" s="165"/>
      <c r="K47" s="165">
        <f>5458.16+3303.39</f>
        <v>8761.5499999999993</v>
      </c>
      <c r="L47" s="168">
        <f>4511.63+5833.29</f>
        <v>10344.92</v>
      </c>
      <c r="M47" s="272"/>
      <c r="N47" s="272">
        <v>6905.34</v>
      </c>
      <c r="O47" s="272">
        <v>9786.09</v>
      </c>
      <c r="P47" s="272"/>
      <c r="Q47" s="274"/>
      <c r="R47" s="272">
        <v>5174.55</v>
      </c>
      <c r="S47" s="165">
        <v>9607.43</v>
      </c>
      <c r="T47" s="165"/>
      <c r="U47" s="165"/>
      <c r="V47" s="165"/>
      <c r="W47" s="165"/>
      <c r="X47" s="165"/>
      <c r="Y47" s="165"/>
      <c r="Z47" s="165"/>
      <c r="AA47" s="68"/>
      <c r="AB47" s="68"/>
    </row>
    <row r="48" spans="1:42" s="37" customFormat="1" ht="29.5" hidden="1" thickBot="1" x14ac:dyDescent="0.4">
      <c r="A48" s="95" t="s">
        <v>91</v>
      </c>
      <c r="B48" s="93" t="s">
        <v>93</v>
      </c>
      <c r="C48" s="97" t="s">
        <v>91</v>
      </c>
      <c r="D48" s="93" t="s">
        <v>353</v>
      </c>
      <c r="E48" s="93" t="s">
        <v>475</v>
      </c>
      <c r="F48" s="162">
        <v>107804</v>
      </c>
      <c r="G48" s="162">
        <f t="shared" si="0"/>
        <v>26011.81</v>
      </c>
      <c r="H48" s="162">
        <f t="shared" si="1"/>
        <v>81792.19</v>
      </c>
      <c r="I48" s="165"/>
      <c r="J48" s="165"/>
      <c r="K48" s="165">
        <f>5458.16+3303.39</f>
        <v>8761.5499999999993</v>
      </c>
      <c r="L48" s="168">
        <v>4511.63</v>
      </c>
      <c r="M48" s="272">
        <v>5833.29</v>
      </c>
      <c r="N48" s="272">
        <v>6905.34</v>
      </c>
      <c r="O48" s="272"/>
      <c r="P48" s="280"/>
      <c r="Q48" s="280"/>
      <c r="R48" s="272"/>
      <c r="S48" s="165"/>
      <c r="T48" s="165"/>
      <c r="U48" s="165"/>
      <c r="V48" s="165"/>
      <c r="W48" s="165"/>
      <c r="X48" s="165"/>
      <c r="Y48" s="165"/>
      <c r="Z48" s="165"/>
      <c r="AA48" s="68"/>
      <c r="AB48" s="68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</row>
    <row r="49" spans="1:28" ht="20.149999999999999" customHeight="1" thickBot="1" x14ac:dyDescent="0.4">
      <c r="F49" s="46"/>
      <c r="G49" s="46"/>
      <c r="H49" s="46"/>
      <c r="M49" s="280"/>
      <c r="N49" s="280"/>
      <c r="O49" s="280"/>
      <c r="P49" s="280"/>
      <c r="Q49" s="280"/>
      <c r="R49" s="280"/>
      <c r="AA49" s="30"/>
      <c r="AB49" s="30"/>
    </row>
    <row r="50" spans="1:28" s="37" customFormat="1" ht="20.149999999999999" customHeight="1" thickBot="1" x14ac:dyDescent="0.4">
      <c r="A50" s="98" t="s">
        <v>46</v>
      </c>
      <c r="B50" s="43"/>
      <c r="C50" s="64"/>
      <c r="D50" s="43"/>
      <c r="E50" s="43"/>
      <c r="F50" s="169">
        <f>SUM(F9:F48)</f>
        <v>9022117</v>
      </c>
      <c r="G50" s="169">
        <f>SUM(G9:G48)</f>
        <v>4526196.79</v>
      </c>
      <c r="H50" s="169">
        <f>SUM(H9:H48)</f>
        <v>4495920.21</v>
      </c>
      <c r="I50" s="169">
        <f t="shared" ref="I50" si="2">SUM(I1:I32)</f>
        <v>0</v>
      </c>
      <c r="J50" s="169">
        <f>SUM(J9:J48)</f>
        <v>61414.31</v>
      </c>
      <c r="K50" s="169">
        <f>SUM(K9:K48)</f>
        <v>168652.16999999995</v>
      </c>
      <c r="L50" s="169">
        <f t="shared" ref="L50:AB50" si="3">SUM(L9:L48)</f>
        <v>507947.72</v>
      </c>
      <c r="M50" s="271">
        <f t="shared" si="3"/>
        <v>450539.98999999993</v>
      </c>
      <c r="N50" s="271">
        <f t="shared" si="3"/>
        <v>628777.30999999994</v>
      </c>
      <c r="O50" s="271">
        <f t="shared" si="3"/>
        <v>524140.9</v>
      </c>
      <c r="P50" s="271">
        <f t="shared" si="3"/>
        <v>172491.37</v>
      </c>
      <c r="Q50" s="271">
        <f t="shared" si="3"/>
        <v>585190.01</v>
      </c>
      <c r="R50" s="271">
        <f t="shared" si="3"/>
        <v>802880.85</v>
      </c>
      <c r="S50" s="169">
        <f t="shared" si="3"/>
        <v>426862.15</v>
      </c>
      <c r="T50" s="169">
        <f t="shared" si="3"/>
        <v>181017.01</v>
      </c>
      <c r="U50" s="169">
        <f t="shared" si="3"/>
        <v>0</v>
      </c>
      <c r="V50" s="169">
        <f t="shared" si="3"/>
        <v>0</v>
      </c>
      <c r="W50" s="169">
        <f t="shared" si="3"/>
        <v>0</v>
      </c>
      <c r="X50" s="169">
        <f t="shared" si="3"/>
        <v>0</v>
      </c>
      <c r="Y50" s="169">
        <f t="shared" si="3"/>
        <v>0</v>
      </c>
      <c r="Z50" s="169">
        <f t="shared" si="3"/>
        <v>0</v>
      </c>
      <c r="AA50" s="169">
        <f t="shared" si="3"/>
        <v>0</v>
      </c>
      <c r="AB50" s="169">
        <f t="shared" si="3"/>
        <v>0</v>
      </c>
    </row>
    <row r="51" spans="1:28" ht="35.25" hidden="1" customHeight="1" x14ac:dyDescent="0.35">
      <c r="C51" s="46"/>
      <c r="D51" s="46"/>
      <c r="E51" s="46"/>
      <c r="F51" s="46"/>
      <c r="G51" s="68"/>
      <c r="H51" s="44"/>
      <c r="J51" s="68"/>
      <c r="K51" s="288"/>
      <c r="L51" s="68"/>
      <c r="M51" s="68"/>
      <c r="P51" s="68"/>
      <c r="Q51" s="44" t="s">
        <v>33</v>
      </c>
      <c r="R51" s="30"/>
      <c r="AA51" s="30"/>
      <c r="AB51" s="30"/>
    </row>
    <row r="52" spans="1:28" ht="33" hidden="1" customHeight="1" x14ac:dyDescent="0.35">
      <c r="C52" s="46"/>
      <c r="D52" s="46"/>
      <c r="E52" s="46"/>
      <c r="F52" s="46"/>
      <c r="G52" s="44"/>
      <c r="H52" s="44"/>
      <c r="K52" s="288"/>
      <c r="L52" s="68"/>
      <c r="N52" s="68"/>
      <c r="O52" s="68"/>
      <c r="P52" s="68"/>
      <c r="R52" s="288">
        <v>485739.13</v>
      </c>
      <c r="AA52" s="30"/>
      <c r="AB52" s="30"/>
    </row>
    <row r="53" spans="1:28" ht="26.25" hidden="1" customHeight="1" x14ac:dyDescent="0.35">
      <c r="C53" s="46"/>
      <c r="D53" s="46"/>
      <c r="E53" s="46"/>
      <c r="F53" s="46"/>
      <c r="G53" s="68"/>
      <c r="H53" s="68"/>
      <c r="K53" s="161"/>
      <c r="L53" s="68"/>
      <c r="Q53" s="68"/>
      <c r="R53" s="288">
        <v>192609.72</v>
      </c>
      <c r="AA53" s="30"/>
      <c r="AB53" s="30"/>
    </row>
    <row r="54" spans="1:28" ht="33.75" hidden="1" customHeight="1" x14ac:dyDescent="0.35">
      <c r="C54" s="46"/>
      <c r="D54" s="46"/>
      <c r="E54" s="46"/>
      <c r="F54" s="46"/>
      <c r="G54" s="68"/>
      <c r="H54" s="44"/>
      <c r="Q54" s="68"/>
      <c r="R54" s="272">
        <v>31944</v>
      </c>
      <c r="AA54" s="30"/>
      <c r="AB54" s="30"/>
    </row>
    <row r="55" spans="1:28" ht="36" hidden="1" customHeight="1" x14ac:dyDescent="0.35">
      <c r="C55" s="46"/>
      <c r="D55" s="46"/>
      <c r="E55" s="46"/>
      <c r="F55" s="46"/>
      <c r="G55" s="44"/>
      <c r="H55" s="44"/>
      <c r="P55" s="68"/>
      <c r="R55" s="272">
        <v>11749</v>
      </c>
      <c r="S55" s="68"/>
      <c r="AA55" s="30"/>
      <c r="AB55" s="30"/>
    </row>
    <row r="56" spans="1:28" ht="29.25" hidden="1" customHeight="1" x14ac:dyDescent="0.35">
      <c r="C56" s="46"/>
      <c r="D56" s="46"/>
      <c r="E56" s="46"/>
      <c r="F56" s="46"/>
      <c r="G56" s="44"/>
      <c r="H56" s="44"/>
      <c r="J56" s="68"/>
      <c r="R56" s="272">
        <v>80839</v>
      </c>
      <c r="AA56" s="30"/>
      <c r="AB56" s="30"/>
    </row>
    <row r="57" spans="1:28" ht="33.75" hidden="1" customHeight="1" x14ac:dyDescent="0.35">
      <c r="C57" s="46"/>
      <c r="D57" s="46"/>
      <c r="E57" s="46"/>
      <c r="F57" s="46"/>
      <c r="G57" s="44"/>
      <c r="H57" s="44"/>
      <c r="R57" s="288">
        <f>SUBTOTAL(9,R52:R56)</f>
        <v>0</v>
      </c>
      <c r="AA57" s="30"/>
      <c r="AB57" s="30"/>
    </row>
    <row r="58" spans="1:28" hidden="1" x14ac:dyDescent="0.35">
      <c r="C58" s="46"/>
      <c r="D58" s="46"/>
      <c r="E58" s="46"/>
      <c r="F58" s="46"/>
      <c r="G58" s="44"/>
      <c r="H58" s="44"/>
      <c r="AA58" s="30"/>
      <c r="AB58" s="30"/>
    </row>
    <row r="59" spans="1:28" ht="16" customHeight="1" x14ac:dyDescent="0.35">
      <c r="C59" s="46"/>
      <c r="D59" s="46"/>
      <c r="E59" s="46"/>
      <c r="F59" s="46"/>
      <c r="G59" s="44"/>
      <c r="H59" s="44"/>
      <c r="AA59" s="30"/>
      <c r="AB59" s="30"/>
    </row>
    <row r="60" spans="1:28" ht="16" customHeight="1" x14ac:dyDescent="0.35">
      <c r="C60" s="46"/>
      <c r="D60" s="46"/>
      <c r="E60" s="46"/>
      <c r="F60" s="46"/>
      <c r="G60" s="44"/>
      <c r="H60" s="44"/>
      <c r="AA60" s="30"/>
      <c r="AB60" s="30"/>
    </row>
    <row r="61" spans="1:28" ht="16" customHeight="1" x14ac:dyDescent="0.35">
      <c r="C61" s="46"/>
      <c r="D61" s="46"/>
      <c r="E61" s="46"/>
      <c r="F61" s="46"/>
      <c r="G61" s="44"/>
      <c r="H61" s="44"/>
      <c r="AA61" s="30"/>
      <c r="AB61" s="30"/>
    </row>
    <row r="62" spans="1:28" ht="16" customHeight="1" x14ac:dyDescent="0.35">
      <c r="C62" s="46"/>
      <c r="D62" s="46"/>
      <c r="E62" s="46"/>
      <c r="F62" s="46"/>
      <c r="G62" s="44"/>
      <c r="H62" s="44"/>
    </row>
    <row r="63" spans="1:28" ht="16" customHeight="1" x14ac:dyDescent="0.35">
      <c r="C63" s="46"/>
      <c r="D63" s="46"/>
      <c r="E63" s="46"/>
      <c r="F63" s="46"/>
      <c r="G63" s="44"/>
      <c r="H63" s="44"/>
    </row>
    <row r="64" spans="1:28" x14ac:dyDescent="0.35">
      <c r="C64" s="46"/>
      <c r="D64" s="46"/>
      <c r="E64" s="46"/>
      <c r="F64" s="46"/>
      <c r="G64" s="44"/>
      <c r="H64" s="44"/>
    </row>
    <row r="65" spans="3:8" x14ac:dyDescent="0.35">
      <c r="C65" s="46"/>
      <c r="D65" s="46"/>
      <c r="E65" s="46"/>
      <c r="F65" s="46"/>
      <c r="G65" s="44"/>
      <c r="H65" s="44"/>
    </row>
    <row r="66" spans="3:8" x14ac:dyDescent="0.35">
      <c r="F66" s="46"/>
      <c r="G66" s="46"/>
      <c r="H66" s="46"/>
    </row>
    <row r="67" spans="3:8" x14ac:dyDescent="0.35">
      <c r="F67" s="46"/>
      <c r="G67" s="46"/>
      <c r="H67" s="46"/>
    </row>
    <row r="68" spans="3:8" x14ac:dyDescent="0.35">
      <c r="F68" s="46"/>
      <c r="G68" s="46"/>
      <c r="H68" s="46"/>
    </row>
    <row r="69" spans="3:8" x14ac:dyDescent="0.35">
      <c r="F69" s="46"/>
      <c r="G69" s="46"/>
      <c r="H69" s="46"/>
    </row>
    <row r="70" spans="3:8" x14ac:dyDescent="0.35">
      <c r="F70" s="46"/>
      <c r="G70" s="46"/>
      <c r="H70" s="46"/>
    </row>
    <row r="71" spans="3:8" x14ac:dyDescent="0.35">
      <c r="G71" s="46"/>
      <c r="H71" s="46"/>
    </row>
    <row r="72" spans="3:8" x14ac:dyDescent="0.35">
      <c r="G72" s="46"/>
      <c r="H72" s="46"/>
    </row>
    <row r="73" spans="3:8" x14ac:dyDescent="0.35">
      <c r="G73" s="46"/>
      <c r="H73" s="46"/>
    </row>
  </sheetData>
  <autoFilter ref="A8:AP48" xr:uid="{00000000-0009-0000-0000-000001000000}">
    <filterColumn colId="4">
      <filters>
        <filter val="21st-229F"/>
      </filters>
    </filterColumn>
    <sortState xmlns:xlrd2="http://schemas.microsoft.com/office/spreadsheetml/2017/richdata2" ref="A9:AO48">
      <sortCondition ref="A8"/>
    </sortState>
  </autoFilter>
  <sortState xmlns:xlrd2="http://schemas.microsoft.com/office/spreadsheetml/2017/richdata2" ref="A9:AA50">
    <sortCondition ref="A9:A50"/>
    <sortCondition ref="C9:C50"/>
  </sortState>
  <mergeCells count="1">
    <mergeCell ref="A7:H7"/>
  </mergeCells>
  <pageMargins left="0.7" right="0.7" top="0.75" bottom="0.75" header="0.3" footer="0.3"/>
  <pageSetup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53">
    <tabColor theme="2"/>
  </sheetPr>
  <dimension ref="A1:AJ47"/>
  <sheetViews>
    <sheetView zoomScale="90" zoomScaleNormal="90" workbookViewId="0">
      <pane xSplit="7" ySplit="8" topLeftCell="P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R10" sqref="R10"/>
    </sheetView>
  </sheetViews>
  <sheetFormatPr defaultColWidth="9.26953125" defaultRowHeight="14.5" x14ac:dyDescent="0.35"/>
  <cols>
    <col min="1" max="1" width="9.26953125" style="44"/>
    <col min="2" max="2" width="36.7265625" style="44" customWidth="1"/>
    <col min="3" max="6" width="14.26953125" style="44" customWidth="1"/>
    <col min="7" max="7" width="17.7265625" style="44" customWidth="1"/>
    <col min="8" max="8" width="12.26953125" style="44" customWidth="1"/>
    <col min="9" max="9" width="12.7265625" style="44" customWidth="1"/>
    <col min="10" max="10" width="12" style="44" customWidth="1"/>
    <col min="11" max="11" width="11.7265625" style="44" customWidth="1"/>
    <col min="12" max="12" width="12.26953125" style="44" customWidth="1"/>
    <col min="13" max="13" width="12.7265625" style="44" customWidth="1"/>
    <col min="14" max="14" width="12.453125" style="44" customWidth="1"/>
    <col min="15" max="15" width="13.26953125" style="44" customWidth="1"/>
    <col min="16" max="16" width="12.26953125" style="44" customWidth="1"/>
    <col min="17" max="17" width="13.7265625" style="44" customWidth="1"/>
    <col min="18" max="18" width="12.7265625" style="44" customWidth="1"/>
    <col min="19" max="19" width="13.26953125" style="44" customWidth="1"/>
    <col min="20" max="20" width="13" style="44" customWidth="1"/>
    <col min="21" max="22" width="15.7265625" style="44" customWidth="1"/>
    <col min="23" max="23" width="12.54296875" style="44" bestFit="1" customWidth="1"/>
    <col min="24" max="24" width="15" style="44" bestFit="1" customWidth="1"/>
    <col min="25" max="25" width="14.7265625" style="44" bestFit="1" customWidth="1"/>
    <col min="26" max="26" width="12.26953125" style="44" bestFit="1" customWidth="1"/>
    <col min="27" max="27" width="13.453125" style="44" bestFit="1" customWidth="1"/>
    <col min="28" max="28" width="11" style="44" bestFit="1" customWidth="1"/>
    <col min="29" max="29" width="9.7265625" style="44" bestFit="1" customWidth="1"/>
    <col min="30" max="30" width="9.26953125" style="44" bestFit="1" customWidth="1"/>
    <col min="31" max="31" width="9.54296875" style="44" bestFit="1" customWidth="1"/>
    <col min="32" max="32" width="8.7265625" style="44" bestFit="1" customWidth="1"/>
    <col min="33" max="33" width="11.54296875" style="44" bestFit="1" customWidth="1"/>
    <col min="34" max="34" width="15.453125" style="44" bestFit="1" customWidth="1"/>
    <col min="35" max="36" width="21.26953125" style="44" customWidth="1"/>
    <col min="37" max="16384" width="9.26953125" style="44"/>
  </cols>
  <sheetData>
    <row r="1" spans="1:36" ht="21" x14ac:dyDescent="0.5">
      <c r="A1" s="47" t="s">
        <v>0</v>
      </c>
      <c r="B1" s="53"/>
      <c r="C1" s="48" t="s">
        <v>389</v>
      </c>
      <c r="D1" s="48"/>
      <c r="E1" s="48"/>
      <c r="F1" s="47"/>
      <c r="G1" s="49"/>
      <c r="H1" s="54"/>
      <c r="I1" s="54"/>
      <c r="J1" s="48"/>
      <c r="K1" s="48"/>
      <c r="L1" s="47"/>
      <c r="M1" s="47"/>
      <c r="N1" s="48" t="str">
        <f>$C$1</f>
        <v>Title III PD</v>
      </c>
      <c r="O1" s="49"/>
      <c r="P1" s="54"/>
      <c r="Q1" s="48"/>
      <c r="R1" s="48"/>
      <c r="S1" s="48"/>
      <c r="T1" s="48" t="str">
        <f>$C$1</f>
        <v>Title III PD</v>
      </c>
      <c r="U1" s="47"/>
      <c r="V1" s="49"/>
      <c r="W1" s="49"/>
      <c r="X1" s="48"/>
      <c r="Y1" s="49"/>
      <c r="Z1" s="49"/>
      <c r="AA1" s="48" t="str">
        <f>$C$1</f>
        <v>Title III PD</v>
      </c>
      <c r="AB1" s="49"/>
      <c r="AC1" s="49"/>
      <c r="AD1" s="49"/>
      <c r="AE1" s="48"/>
      <c r="AF1" s="49"/>
      <c r="AG1" s="49"/>
      <c r="AH1" s="49"/>
      <c r="AI1" s="47"/>
      <c r="AJ1" s="47"/>
    </row>
    <row r="2" spans="1:36" ht="21" x14ac:dyDescent="0.5">
      <c r="A2" s="47" t="s">
        <v>155</v>
      </c>
      <c r="B2" s="49"/>
      <c r="C2" s="47" t="s">
        <v>525</v>
      </c>
      <c r="D2" s="47"/>
      <c r="E2" s="47"/>
      <c r="F2" s="50"/>
      <c r="G2" s="19"/>
      <c r="H2" s="54"/>
      <c r="I2" s="54"/>
      <c r="J2" s="50"/>
      <c r="K2" s="48"/>
      <c r="L2" s="48" t="s">
        <v>33</v>
      </c>
      <c r="M2" s="51"/>
      <c r="N2" s="50" t="str">
        <f>"FY"&amp;$C$4</f>
        <v>FY2019-20</v>
      </c>
      <c r="O2" s="19"/>
      <c r="P2" s="19"/>
      <c r="Q2" s="50"/>
      <c r="R2" s="50"/>
      <c r="S2" s="48"/>
      <c r="T2" s="50" t="str">
        <f>"FY"&amp;$C$4</f>
        <v>FY2019-20</v>
      </c>
      <c r="U2" s="51"/>
      <c r="V2" s="19"/>
      <c r="W2" s="49"/>
      <c r="X2" s="50"/>
      <c r="Y2" s="49"/>
      <c r="Z2" s="49"/>
      <c r="AA2" s="50" t="str">
        <f>"FY"&amp;$C$4</f>
        <v>FY2019-20</v>
      </c>
      <c r="AB2" s="49"/>
      <c r="AC2" s="49"/>
      <c r="AD2" s="49"/>
      <c r="AE2" s="50"/>
      <c r="AF2" s="49"/>
      <c r="AG2" s="49"/>
      <c r="AH2" s="49"/>
      <c r="AI2" s="47"/>
      <c r="AJ2" s="47"/>
    </row>
    <row r="3" spans="1:36" ht="16.149999999999999" customHeight="1" x14ac:dyDescent="0.5">
      <c r="A3" s="50" t="s">
        <v>1</v>
      </c>
      <c r="B3" s="53"/>
      <c r="C3" s="51">
        <v>5365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54"/>
      <c r="AJ3" s="54"/>
    </row>
    <row r="4" spans="1:36" ht="16.149999999999999" customHeight="1" x14ac:dyDescent="0.5">
      <c r="A4" s="50" t="s">
        <v>2</v>
      </c>
      <c r="B4" s="53"/>
      <c r="C4" s="51" t="s">
        <v>440</v>
      </c>
      <c r="D4" s="51"/>
      <c r="E4" s="51"/>
      <c r="F4" s="19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54"/>
      <c r="AJ4" s="54"/>
    </row>
    <row r="5" spans="1:36" ht="16.149999999999999" customHeight="1" x14ac:dyDescent="0.5">
      <c r="A5" s="50" t="s">
        <v>523</v>
      </c>
      <c r="B5" s="53"/>
      <c r="C5" s="67" t="s">
        <v>445</v>
      </c>
      <c r="D5" s="122"/>
      <c r="E5" s="122"/>
      <c r="F5" s="50"/>
      <c r="G5" s="9"/>
      <c r="H5" s="9"/>
      <c r="I5" s="9"/>
      <c r="J5" s="9"/>
      <c r="K5" s="9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2"/>
      <c r="AJ5" s="52"/>
    </row>
    <row r="6" spans="1:36" ht="16.149999999999999" customHeight="1" x14ac:dyDescent="0.5">
      <c r="A6" s="50"/>
      <c r="B6" s="53"/>
      <c r="C6" s="50"/>
      <c r="D6" s="50"/>
      <c r="E6" s="50"/>
      <c r="F6" s="50"/>
      <c r="G6" s="9"/>
      <c r="H6" s="9"/>
      <c r="I6" s="9"/>
      <c r="J6" s="9"/>
      <c r="K6" s="9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2"/>
      <c r="AJ6" s="52"/>
    </row>
    <row r="7" spans="1:36" ht="16.149999999999999" customHeight="1" thickBot="1" x14ac:dyDescent="0.55000000000000004">
      <c r="A7" s="50"/>
      <c r="B7" s="53"/>
      <c r="C7" s="50"/>
      <c r="D7" s="50"/>
      <c r="E7" s="50"/>
      <c r="F7" s="50"/>
      <c r="G7" s="9"/>
      <c r="H7" s="9"/>
      <c r="I7" s="9"/>
      <c r="J7" s="9"/>
      <c r="K7" s="9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2"/>
      <c r="AJ7" s="52"/>
    </row>
    <row r="8" spans="1:36" s="121" customFormat="1" ht="29.5" thickBot="1" x14ac:dyDescent="0.4">
      <c r="A8" s="55" t="s">
        <v>145</v>
      </c>
      <c r="B8" s="55" t="s">
        <v>44</v>
      </c>
      <c r="C8" s="55" t="s">
        <v>15</v>
      </c>
      <c r="D8" s="55" t="s">
        <v>112</v>
      </c>
      <c r="E8" s="55" t="s">
        <v>147</v>
      </c>
      <c r="F8" s="55" t="s">
        <v>16</v>
      </c>
      <c r="G8" s="25" t="s">
        <v>17</v>
      </c>
      <c r="H8" s="26" t="s">
        <v>133</v>
      </c>
      <c r="I8" s="27" t="s">
        <v>134</v>
      </c>
      <c r="J8" s="26" t="s">
        <v>135</v>
      </c>
      <c r="K8" s="27" t="s">
        <v>172</v>
      </c>
      <c r="L8" s="26" t="s">
        <v>173</v>
      </c>
      <c r="M8" s="27" t="s">
        <v>137</v>
      </c>
      <c r="N8" s="27" t="s">
        <v>252</v>
      </c>
      <c r="O8" s="27" t="s">
        <v>253</v>
      </c>
      <c r="P8" s="27" t="s">
        <v>254</v>
      </c>
      <c r="Q8" s="27" t="s">
        <v>255</v>
      </c>
      <c r="R8" s="27" t="s">
        <v>256</v>
      </c>
      <c r="S8" s="27" t="s">
        <v>441</v>
      </c>
      <c r="T8" s="26" t="s">
        <v>258</v>
      </c>
      <c r="U8" s="27" t="s">
        <v>259</v>
      </c>
      <c r="V8" s="27" t="s">
        <v>260</v>
      </c>
      <c r="W8" s="27" t="s">
        <v>442</v>
      </c>
      <c r="X8" s="26" t="s">
        <v>443</v>
      </c>
      <c r="Y8" s="27" t="s">
        <v>137</v>
      </c>
      <c r="Z8" s="12" t="s">
        <v>166</v>
      </c>
      <c r="AA8" s="27" t="s">
        <v>253</v>
      </c>
      <c r="AB8" s="27" t="s">
        <v>254</v>
      </c>
      <c r="AC8" s="27" t="s">
        <v>255</v>
      </c>
      <c r="AD8" s="27" t="s">
        <v>256</v>
      </c>
      <c r="AE8" s="27" t="s">
        <v>257</v>
      </c>
      <c r="AF8" s="26" t="s">
        <v>258</v>
      </c>
      <c r="AG8" s="27" t="s">
        <v>259</v>
      </c>
      <c r="AH8" s="27" t="s">
        <v>260</v>
      </c>
      <c r="AI8" s="55" t="s">
        <v>166</v>
      </c>
      <c r="AJ8" s="55" t="s">
        <v>167</v>
      </c>
    </row>
    <row r="9" spans="1:36" s="120" customFormat="1" ht="29.5" thickBot="1" x14ac:dyDescent="0.5">
      <c r="A9" s="138" t="s">
        <v>35</v>
      </c>
      <c r="B9" s="69" t="s">
        <v>86</v>
      </c>
      <c r="C9" s="266">
        <v>113000</v>
      </c>
      <c r="D9" s="247">
        <v>0</v>
      </c>
      <c r="E9" s="247">
        <v>113000</v>
      </c>
      <c r="F9" s="266">
        <f>SUM(H9:AH9)</f>
        <v>69393</v>
      </c>
      <c r="G9" s="266">
        <f t="shared" ref="G9" si="0">C9-F9</f>
        <v>43607</v>
      </c>
      <c r="H9" s="267"/>
      <c r="I9" s="267"/>
      <c r="J9" s="267">
        <v>5439</v>
      </c>
      <c r="K9" s="267">
        <v>8761</v>
      </c>
      <c r="L9" s="267"/>
      <c r="M9" s="267">
        <v>7060</v>
      </c>
      <c r="N9" s="267">
        <v>8725</v>
      </c>
      <c r="O9" s="267">
        <f>8641+8110</f>
        <v>16751</v>
      </c>
      <c r="P9" s="267">
        <v>7591</v>
      </c>
      <c r="Q9" s="267">
        <v>7533</v>
      </c>
      <c r="R9" s="267">
        <v>7533</v>
      </c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28"/>
      <c r="AJ9" s="228"/>
    </row>
    <row r="10" spans="1:36" ht="15" thickBot="1" x14ac:dyDescent="0.4">
      <c r="A10" s="69"/>
      <c r="B10" s="69"/>
      <c r="C10" s="268"/>
      <c r="D10" s="268"/>
      <c r="E10" s="268"/>
      <c r="F10" s="268"/>
      <c r="G10" s="268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27"/>
      <c r="AJ10" s="227"/>
    </row>
    <row r="11" spans="1:36" s="119" customFormat="1" ht="15" thickBot="1" x14ac:dyDescent="0.4">
      <c r="A11" s="71" t="s">
        <v>46</v>
      </c>
      <c r="B11" s="71"/>
      <c r="C11" s="269">
        <f>SUM(C9:C9)</f>
        <v>113000</v>
      </c>
      <c r="D11" s="269">
        <v>0</v>
      </c>
      <c r="E11" s="269">
        <f>C11+D11</f>
        <v>113000</v>
      </c>
      <c r="F11" s="269">
        <f t="shared" ref="F11:AJ11" si="1">SUM(F9:F9)</f>
        <v>69393</v>
      </c>
      <c r="G11" s="269">
        <f t="shared" si="1"/>
        <v>43607</v>
      </c>
      <c r="H11" s="269">
        <f t="shared" si="1"/>
        <v>0</v>
      </c>
      <c r="I11" s="269">
        <f t="shared" si="1"/>
        <v>0</v>
      </c>
      <c r="J11" s="269">
        <f t="shared" si="1"/>
        <v>5439</v>
      </c>
      <c r="K11" s="269">
        <f t="shared" si="1"/>
        <v>8761</v>
      </c>
      <c r="L11" s="269">
        <f t="shared" si="1"/>
        <v>0</v>
      </c>
      <c r="M11" s="269">
        <f t="shared" si="1"/>
        <v>7060</v>
      </c>
      <c r="N11" s="269">
        <f t="shared" si="1"/>
        <v>8725</v>
      </c>
      <c r="O11" s="269">
        <f t="shared" si="1"/>
        <v>16751</v>
      </c>
      <c r="P11" s="269">
        <f t="shared" si="1"/>
        <v>7591</v>
      </c>
      <c r="Q11" s="269">
        <f t="shared" si="1"/>
        <v>7533</v>
      </c>
      <c r="R11" s="269">
        <f t="shared" si="1"/>
        <v>7533</v>
      </c>
      <c r="S11" s="269">
        <f t="shared" si="1"/>
        <v>0</v>
      </c>
      <c r="T11" s="269">
        <f t="shared" si="1"/>
        <v>0</v>
      </c>
      <c r="U11" s="269">
        <f t="shared" si="1"/>
        <v>0</v>
      </c>
      <c r="V11" s="269">
        <f t="shared" si="1"/>
        <v>0</v>
      </c>
      <c r="W11" s="269">
        <f t="shared" si="1"/>
        <v>0</v>
      </c>
      <c r="X11" s="269">
        <f t="shared" si="1"/>
        <v>0</v>
      </c>
      <c r="Y11" s="269">
        <f t="shared" si="1"/>
        <v>0</v>
      </c>
      <c r="Z11" s="269">
        <f t="shared" si="1"/>
        <v>0</v>
      </c>
      <c r="AA11" s="269">
        <f t="shared" si="1"/>
        <v>0</v>
      </c>
      <c r="AB11" s="269">
        <f t="shared" si="1"/>
        <v>0</v>
      </c>
      <c r="AC11" s="269">
        <f t="shared" si="1"/>
        <v>0</v>
      </c>
      <c r="AD11" s="269">
        <f t="shared" si="1"/>
        <v>0</v>
      </c>
      <c r="AE11" s="269">
        <f t="shared" si="1"/>
        <v>0</v>
      </c>
      <c r="AF11" s="269">
        <f t="shared" si="1"/>
        <v>0</v>
      </c>
      <c r="AG11" s="269">
        <f t="shared" si="1"/>
        <v>0</v>
      </c>
      <c r="AH11" s="269">
        <f t="shared" si="1"/>
        <v>0</v>
      </c>
      <c r="AI11" s="269">
        <f t="shared" si="1"/>
        <v>0</v>
      </c>
      <c r="AJ11" s="269">
        <f t="shared" si="1"/>
        <v>0</v>
      </c>
    </row>
    <row r="12" spans="1:36" x14ac:dyDescent="0.35"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>
        <v>7533</v>
      </c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7"/>
      <c r="AJ12" s="227"/>
    </row>
    <row r="13" spans="1:36" x14ac:dyDescent="0.35"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</row>
    <row r="14" spans="1:36" x14ac:dyDescent="0.35"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</row>
    <row r="15" spans="1:36" x14ac:dyDescent="0.35"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</row>
    <row r="16" spans="1:36" x14ac:dyDescent="0.35"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7"/>
      <c r="AJ16" s="227"/>
    </row>
    <row r="17" spans="3:36" x14ac:dyDescent="0.35"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</row>
    <row r="18" spans="3:36" x14ac:dyDescent="0.35"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7"/>
      <c r="AJ18" s="227"/>
    </row>
    <row r="19" spans="3:36" x14ac:dyDescent="0.35"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</row>
    <row r="20" spans="3:36" x14ac:dyDescent="0.35"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</row>
    <row r="21" spans="3:36" x14ac:dyDescent="0.35"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</row>
    <row r="22" spans="3:36" x14ac:dyDescent="0.35"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7"/>
      <c r="AJ22" s="227"/>
    </row>
    <row r="23" spans="3:36" x14ac:dyDescent="0.35">
      <c r="AI23" s="75"/>
      <c r="AJ23" s="75"/>
    </row>
    <row r="28" spans="3:36" x14ac:dyDescent="0.35">
      <c r="AI28" s="75"/>
      <c r="AJ28" s="75"/>
    </row>
    <row r="29" spans="3:36" x14ac:dyDescent="0.35">
      <c r="AI29" s="75"/>
      <c r="AJ29" s="75"/>
    </row>
    <row r="31" spans="3:36" x14ac:dyDescent="0.35">
      <c r="AI31" s="75"/>
      <c r="AJ31" s="75"/>
    </row>
    <row r="34" spans="35:36" x14ac:dyDescent="0.35">
      <c r="AI34" s="30"/>
      <c r="AJ34" s="30"/>
    </row>
    <row r="35" spans="35:36" x14ac:dyDescent="0.35">
      <c r="AI35" s="30"/>
      <c r="AJ35" s="30"/>
    </row>
    <row r="36" spans="35:36" x14ac:dyDescent="0.35">
      <c r="AI36" s="30"/>
      <c r="AJ36" s="30"/>
    </row>
    <row r="37" spans="35:36" x14ac:dyDescent="0.35">
      <c r="AI37" s="30"/>
      <c r="AJ37" s="30"/>
    </row>
    <row r="38" spans="35:36" x14ac:dyDescent="0.35">
      <c r="AI38" s="30"/>
      <c r="AJ38" s="30"/>
    </row>
    <row r="39" spans="35:36" x14ac:dyDescent="0.35">
      <c r="AI39" s="30"/>
      <c r="AJ39" s="30"/>
    </row>
    <row r="40" spans="35:36" x14ac:dyDescent="0.35">
      <c r="AI40" s="30"/>
      <c r="AJ40" s="30"/>
    </row>
    <row r="41" spans="35:36" x14ac:dyDescent="0.35">
      <c r="AI41" s="30"/>
      <c r="AJ41" s="30"/>
    </row>
    <row r="42" spans="35:36" x14ac:dyDescent="0.35">
      <c r="AI42" s="30"/>
      <c r="AJ42" s="30"/>
    </row>
    <row r="43" spans="35:36" x14ac:dyDescent="0.35">
      <c r="AI43" s="30"/>
      <c r="AJ43" s="30"/>
    </row>
    <row r="44" spans="35:36" x14ac:dyDescent="0.35">
      <c r="AI44" s="30"/>
      <c r="AJ44" s="30"/>
    </row>
    <row r="45" spans="35:36" x14ac:dyDescent="0.35">
      <c r="AI45" s="30"/>
      <c r="AJ45" s="30"/>
    </row>
    <row r="46" spans="35:36" x14ac:dyDescent="0.35">
      <c r="AI46" s="30"/>
      <c r="AJ46" s="30"/>
    </row>
    <row r="47" spans="35:36" x14ac:dyDescent="0.35">
      <c r="AI47" s="30"/>
      <c r="AJ47" s="30"/>
    </row>
  </sheetData>
  <sheetProtection algorithmName="SHA-512" hashValue="xOtCVEPNlHsM6EU4wpxo4j+noAWwJvbcQMrDJoJj2p5cVM0DWw9bd+COQ1nTDYuWgOtRNzxqojGBABq62LKekw==" saltValue="x9FcRsw1p7IIVlnXnJaaGQ==" spinCount="100000" sheet="1" objects="1" scenarios="1"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tabColor theme="2"/>
  </sheetPr>
  <dimension ref="A1:AH44"/>
  <sheetViews>
    <sheetView zoomScale="98" zoomScaleNormal="98" workbookViewId="0">
      <pane xSplit="7" ySplit="8" topLeftCell="Q17" activePane="bottomRight" state="frozen"/>
      <selection activeCell="A8" sqref="A8:XFD8"/>
      <selection pane="topRight" activeCell="A8" sqref="A8:XFD8"/>
      <selection pane="bottomLeft" activeCell="A8" sqref="A8:XFD8"/>
      <selection pane="bottomRight" activeCell="D19" sqref="D19"/>
    </sheetView>
  </sheetViews>
  <sheetFormatPr defaultColWidth="9.26953125" defaultRowHeight="14.5" x14ac:dyDescent="0.35"/>
  <cols>
    <col min="1" max="1" width="9.26953125" style="45"/>
    <col min="2" max="2" width="34.453125" style="45" customWidth="1"/>
    <col min="3" max="3" width="9.7265625" style="45" customWidth="1"/>
    <col min="4" max="4" width="44.7265625" style="45" customWidth="1"/>
    <col min="5" max="7" width="14.7265625" style="45" customWidth="1"/>
    <col min="8" max="31" width="12.7265625" style="45" customWidth="1"/>
    <col min="32" max="33" width="21.26953125" style="44" customWidth="1"/>
    <col min="34" max="16384" width="9.26953125" style="45"/>
  </cols>
  <sheetData>
    <row r="1" spans="1:34" ht="21" x14ac:dyDescent="0.5">
      <c r="A1" s="47" t="s">
        <v>0</v>
      </c>
      <c r="B1" s="53"/>
      <c r="C1" s="48" t="s">
        <v>47</v>
      </c>
      <c r="D1" s="48"/>
      <c r="E1" s="54"/>
      <c r="F1" s="54"/>
      <c r="G1" s="53"/>
      <c r="H1" s="53"/>
      <c r="I1" s="53"/>
      <c r="J1" s="48"/>
      <c r="K1" s="53"/>
      <c r="L1" s="48" t="str">
        <f>$C$1</f>
        <v>Title V-B Charter School Grant Program C1</v>
      </c>
      <c r="M1" s="53"/>
      <c r="N1" s="53"/>
      <c r="O1" s="53"/>
      <c r="P1" s="53"/>
      <c r="Q1" s="48"/>
      <c r="R1" s="48" t="str">
        <f>$C$1</f>
        <v>Title V-B Charter School Grant Program C1</v>
      </c>
      <c r="S1" s="53"/>
      <c r="T1" s="53"/>
      <c r="U1" s="53"/>
      <c r="V1" s="53"/>
      <c r="W1" s="53"/>
      <c r="X1" s="53"/>
      <c r="Y1" s="48" t="str">
        <f>$C$1</f>
        <v>Title V-B Charter School Grant Program C1</v>
      </c>
      <c r="Z1" s="53"/>
      <c r="AA1" s="53"/>
      <c r="AB1" s="53"/>
      <c r="AC1" s="53"/>
      <c r="AD1" s="53"/>
      <c r="AE1" s="53"/>
      <c r="AF1" s="47"/>
      <c r="AG1" s="47"/>
    </row>
    <row r="2" spans="1:34" ht="21" x14ac:dyDescent="0.5">
      <c r="A2" s="47" t="s">
        <v>155</v>
      </c>
      <c r="B2" s="49"/>
      <c r="C2" s="48" t="s">
        <v>165</v>
      </c>
      <c r="D2" s="48"/>
      <c r="E2" s="54"/>
      <c r="F2" s="54"/>
      <c r="G2" s="53"/>
      <c r="H2" s="53"/>
      <c r="I2" s="53"/>
      <c r="J2" s="50"/>
      <c r="K2" s="53"/>
      <c r="L2" s="50" t="str">
        <f>"FY"&amp;$C$4</f>
        <v>FY2019-20</v>
      </c>
      <c r="M2" s="53"/>
      <c r="N2" s="53"/>
      <c r="O2" s="53"/>
      <c r="P2" s="53"/>
      <c r="Q2" s="56"/>
      <c r="R2" s="50" t="str">
        <f>"FY"&amp;$C$4</f>
        <v>FY2019-20</v>
      </c>
      <c r="S2" s="53"/>
      <c r="T2" s="53"/>
      <c r="U2" s="53"/>
      <c r="V2" s="53"/>
      <c r="W2" s="53"/>
      <c r="X2" s="53"/>
      <c r="Y2" s="50" t="str">
        <f>"FY"&amp;$C$4</f>
        <v>FY2019-20</v>
      </c>
      <c r="Z2" s="53"/>
      <c r="AA2" s="53"/>
      <c r="AB2" s="53"/>
      <c r="AC2" s="53"/>
      <c r="AD2" s="53"/>
      <c r="AE2" s="53"/>
      <c r="AF2" s="47"/>
      <c r="AG2" s="47"/>
    </row>
    <row r="3" spans="1:34" ht="15.5" x14ac:dyDescent="0.35">
      <c r="A3" s="50" t="s">
        <v>1</v>
      </c>
      <c r="B3" s="53"/>
      <c r="C3" s="51">
        <v>5282</v>
      </c>
      <c r="D3" s="51"/>
      <c r="E3" s="54"/>
      <c r="F3" s="54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4"/>
    </row>
    <row r="4" spans="1:34" ht="15.5" x14ac:dyDescent="0.35">
      <c r="A4" s="50" t="s">
        <v>2</v>
      </c>
      <c r="B4" s="53"/>
      <c r="C4" s="51" t="s">
        <v>440</v>
      </c>
      <c r="D4" s="51"/>
      <c r="E4" s="50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4"/>
      <c r="AG4" s="54"/>
    </row>
    <row r="5" spans="1:34" ht="15.5" x14ac:dyDescent="0.35">
      <c r="A5" s="50" t="s">
        <v>524</v>
      </c>
      <c r="B5" s="53"/>
      <c r="C5" s="67" t="s">
        <v>445</v>
      </c>
      <c r="D5" s="50"/>
      <c r="E5" s="54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2"/>
      <c r="AG5" s="52"/>
    </row>
    <row r="6" spans="1:34" ht="15.5" x14ac:dyDescent="0.35">
      <c r="A6" s="50"/>
      <c r="B6" s="53"/>
      <c r="C6" s="67"/>
      <c r="D6" s="50"/>
      <c r="E6" s="54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2"/>
      <c r="AG6" s="52"/>
    </row>
    <row r="7" spans="1:34" ht="15" thickBot="1" x14ac:dyDescent="0.4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2"/>
      <c r="AG7" s="52"/>
    </row>
    <row r="8" spans="1:34" ht="29.5" thickBot="1" x14ac:dyDescent="0.4">
      <c r="A8" s="57" t="s">
        <v>145</v>
      </c>
      <c r="B8" s="57" t="s">
        <v>146</v>
      </c>
      <c r="C8" s="57" t="s">
        <v>152</v>
      </c>
      <c r="D8" s="57" t="s">
        <v>43</v>
      </c>
      <c r="E8" s="55" t="s">
        <v>446</v>
      </c>
      <c r="F8" s="55" t="s">
        <v>16</v>
      </c>
      <c r="G8" s="25" t="s">
        <v>17</v>
      </c>
      <c r="H8" s="26" t="s">
        <v>133</v>
      </c>
      <c r="I8" s="27" t="s">
        <v>134</v>
      </c>
      <c r="J8" s="26" t="s">
        <v>135</v>
      </c>
      <c r="K8" s="27" t="s">
        <v>172</v>
      </c>
      <c r="L8" s="26" t="s">
        <v>173</v>
      </c>
      <c r="M8" s="27" t="s">
        <v>137</v>
      </c>
      <c r="N8" s="27" t="s">
        <v>252</v>
      </c>
      <c r="O8" s="27" t="s">
        <v>253</v>
      </c>
      <c r="P8" s="27" t="s">
        <v>254</v>
      </c>
      <c r="Q8" s="27" t="s">
        <v>255</v>
      </c>
      <c r="R8" s="27" t="s">
        <v>256</v>
      </c>
      <c r="S8" s="27" t="s">
        <v>441</v>
      </c>
      <c r="T8" s="26" t="s">
        <v>258</v>
      </c>
      <c r="U8" s="27" t="s">
        <v>259</v>
      </c>
      <c r="V8" s="27" t="s">
        <v>260</v>
      </c>
      <c r="W8" s="27" t="s">
        <v>442</v>
      </c>
      <c r="X8" s="26" t="s">
        <v>443</v>
      </c>
      <c r="Y8" s="27" t="s">
        <v>137</v>
      </c>
      <c r="Z8" s="12" t="s">
        <v>166</v>
      </c>
      <c r="AA8" s="208" t="s">
        <v>256</v>
      </c>
      <c r="AB8" s="208" t="s">
        <v>257</v>
      </c>
      <c r="AC8" s="208" t="s">
        <v>258</v>
      </c>
      <c r="AD8" s="208" t="s">
        <v>259</v>
      </c>
      <c r="AE8" s="208" t="s">
        <v>260</v>
      </c>
      <c r="AF8" s="176" t="s">
        <v>166</v>
      </c>
      <c r="AG8" s="176" t="s">
        <v>167</v>
      </c>
    </row>
    <row r="9" spans="1:34" ht="15" thickBot="1" x14ac:dyDescent="0.4">
      <c r="A9" s="159" t="s">
        <v>428</v>
      </c>
      <c r="B9" s="190" t="s">
        <v>429</v>
      </c>
      <c r="C9" s="159" t="s">
        <v>514</v>
      </c>
      <c r="D9" s="192" t="s">
        <v>430</v>
      </c>
      <c r="E9" s="358">
        <v>229250</v>
      </c>
      <c r="F9" s="229">
        <f>SUM(H9:AE9)</f>
        <v>0</v>
      </c>
      <c r="G9" s="230">
        <f t="shared" ref="G9:G24" si="0">E9-F9</f>
        <v>229250</v>
      </c>
      <c r="H9" s="225"/>
      <c r="I9" s="225"/>
      <c r="J9" s="225"/>
      <c r="K9" s="225"/>
      <c r="L9" s="225"/>
      <c r="M9" s="231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32"/>
      <c r="AG9" s="232"/>
      <c r="AH9" s="6"/>
    </row>
    <row r="10" spans="1:34" ht="15" thickBot="1" x14ac:dyDescent="0.4">
      <c r="A10" s="191" t="s">
        <v>4</v>
      </c>
      <c r="B10" s="190" t="s">
        <v>92</v>
      </c>
      <c r="C10" s="159" t="s">
        <v>516</v>
      </c>
      <c r="D10" s="190" t="s">
        <v>530</v>
      </c>
      <c r="E10" s="233">
        <v>169750</v>
      </c>
      <c r="F10" s="229">
        <f>SUM(H10:AE10)</f>
        <v>157190.83000000002</v>
      </c>
      <c r="G10" s="230">
        <f t="shared" si="0"/>
        <v>12559.169999999984</v>
      </c>
      <c r="H10" s="225"/>
      <c r="I10" s="225"/>
      <c r="J10" s="225"/>
      <c r="K10" s="225"/>
      <c r="L10" s="225"/>
      <c r="M10" s="231"/>
      <c r="N10" s="225"/>
      <c r="O10" s="225"/>
      <c r="P10" s="225">
        <v>118524.98</v>
      </c>
      <c r="Q10" s="225">
        <v>4368.49</v>
      </c>
      <c r="R10" s="225">
        <v>34297.360000000001</v>
      </c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32"/>
      <c r="AG10" s="232"/>
      <c r="AH10" s="6"/>
    </row>
    <row r="11" spans="1:34" ht="15" thickBot="1" x14ac:dyDescent="0.4">
      <c r="A11" s="191" t="s">
        <v>4</v>
      </c>
      <c r="B11" s="190" t="s">
        <v>92</v>
      </c>
      <c r="C11" s="193" t="s">
        <v>426</v>
      </c>
      <c r="D11" s="192" t="s">
        <v>427</v>
      </c>
      <c r="E11" s="229">
        <v>229250</v>
      </c>
      <c r="F11" s="229">
        <f t="shared" ref="F11:F24" si="1">SUM(H11:AE11)</f>
        <v>0</v>
      </c>
      <c r="G11" s="230">
        <f t="shared" si="0"/>
        <v>229250</v>
      </c>
      <c r="H11" s="225"/>
      <c r="I11" s="225"/>
      <c r="J11" s="225"/>
      <c r="K11" s="225"/>
      <c r="L11" s="225"/>
      <c r="M11" s="231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32"/>
      <c r="AG11" s="232"/>
      <c r="AH11" s="6"/>
    </row>
    <row r="12" spans="1:34" ht="15" thickBot="1" x14ac:dyDescent="0.4">
      <c r="A12" s="191" t="s">
        <v>51</v>
      </c>
      <c r="B12" s="190" t="s">
        <v>27</v>
      </c>
      <c r="C12" s="191" t="s">
        <v>56</v>
      </c>
      <c r="D12" s="192" t="s">
        <v>398</v>
      </c>
      <c r="E12" s="229">
        <v>229250</v>
      </c>
      <c r="F12" s="229">
        <f t="shared" si="1"/>
        <v>0</v>
      </c>
      <c r="G12" s="230">
        <f t="shared" si="0"/>
        <v>229250</v>
      </c>
      <c r="H12" s="225"/>
      <c r="I12" s="225"/>
      <c r="J12" s="225"/>
      <c r="K12" s="225"/>
      <c r="L12" s="225"/>
      <c r="M12" s="225"/>
      <c r="N12" s="225"/>
      <c r="O12" s="231"/>
      <c r="P12" s="231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32"/>
      <c r="AG12" s="232"/>
      <c r="AH12" s="6"/>
    </row>
    <row r="13" spans="1:34" ht="15" thickBot="1" x14ac:dyDescent="0.4">
      <c r="A13" s="191" t="s">
        <v>51</v>
      </c>
      <c r="B13" s="190" t="s">
        <v>27</v>
      </c>
      <c r="C13" s="191" t="s">
        <v>392</v>
      </c>
      <c r="D13" s="192" t="s">
        <v>399</v>
      </c>
      <c r="E13" s="229">
        <v>184750</v>
      </c>
      <c r="F13" s="229">
        <f t="shared" si="1"/>
        <v>0</v>
      </c>
      <c r="G13" s="230">
        <f t="shared" si="0"/>
        <v>184750</v>
      </c>
      <c r="H13" s="225"/>
      <c r="I13" s="225"/>
      <c r="J13" s="225"/>
      <c r="K13" s="231"/>
      <c r="L13" s="231"/>
      <c r="M13" s="231"/>
      <c r="N13" s="225"/>
      <c r="O13" s="231"/>
      <c r="P13" s="231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34"/>
      <c r="AG13" s="234"/>
      <c r="AH13" s="6"/>
    </row>
    <row r="14" spans="1:34" ht="15" thickBot="1" x14ac:dyDescent="0.4">
      <c r="A14" s="191" t="s">
        <v>51</v>
      </c>
      <c r="B14" s="190" t="s">
        <v>27</v>
      </c>
      <c r="C14" s="193" t="s">
        <v>512</v>
      </c>
      <c r="D14" s="194" t="s">
        <v>400</v>
      </c>
      <c r="E14" s="229">
        <v>229250</v>
      </c>
      <c r="F14" s="229">
        <f t="shared" si="1"/>
        <v>0</v>
      </c>
      <c r="G14" s="230">
        <f t="shared" si="0"/>
        <v>229250</v>
      </c>
      <c r="H14" s="225"/>
      <c r="I14" s="225"/>
      <c r="J14" s="225"/>
      <c r="K14" s="225"/>
      <c r="L14" s="225"/>
      <c r="M14" s="231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6"/>
    </row>
    <row r="15" spans="1:34" ht="15" thickBot="1" x14ac:dyDescent="0.4">
      <c r="A15" s="191" t="s">
        <v>89</v>
      </c>
      <c r="B15" s="190" t="s">
        <v>90</v>
      </c>
      <c r="C15" s="193" t="s">
        <v>437</v>
      </c>
      <c r="D15" s="192" t="s">
        <v>401</v>
      </c>
      <c r="E15" s="229">
        <v>229250</v>
      </c>
      <c r="F15" s="229">
        <f t="shared" si="1"/>
        <v>90669.02</v>
      </c>
      <c r="G15" s="230">
        <f t="shared" si="0"/>
        <v>138580.97999999998</v>
      </c>
      <c r="H15" s="225"/>
      <c r="I15" s="225"/>
      <c r="J15" s="225"/>
      <c r="K15" s="225"/>
      <c r="L15" s="231"/>
      <c r="M15" s="231"/>
      <c r="N15" s="225">
        <v>90669.02</v>
      </c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32"/>
      <c r="AG15" s="232"/>
      <c r="AH15" s="6"/>
    </row>
    <row r="16" spans="1:34" ht="15" thickBot="1" x14ac:dyDescent="0.4">
      <c r="A16" s="193" t="s">
        <v>390</v>
      </c>
      <c r="B16" s="190" t="s">
        <v>391</v>
      </c>
      <c r="C16" s="193" t="s">
        <v>393</v>
      </c>
      <c r="D16" s="194" t="s">
        <v>402</v>
      </c>
      <c r="E16" s="229">
        <v>229250</v>
      </c>
      <c r="F16" s="229">
        <f t="shared" si="1"/>
        <v>100578.45000000001</v>
      </c>
      <c r="G16" s="230">
        <f t="shared" si="0"/>
        <v>128671.54999999999</v>
      </c>
      <c r="H16" s="225"/>
      <c r="I16" s="225"/>
      <c r="J16" s="225"/>
      <c r="K16" s="231"/>
      <c r="L16" s="231"/>
      <c r="M16" s="235"/>
      <c r="N16" s="225"/>
      <c r="O16" s="231">
        <v>30892</v>
      </c>
      <c r="P16" s="231"/>
      <c r="Q16" s="225">
        <v>22485.72</v>
      </c>
      <c r="R16" s="225">
        <v>47200.73</v>
      </c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32"/>
      <c r="AG16" s="232"/>
      <c r="AH16" s="6"/>
    </row>
    <row r="17" spans="1:34" ht="15" thickBot="1" x14ac:dyDescent="0.4">
      <c r="A17" s="191" t="s">
        <v>108</v>
      </c>
      <c r="B17" s="190" t="s">
        <v>110</v>
      </c>
      <c r="C17" s="193" t="s">
        <v>394</v>
      </c>
      <c r="D17" s="192" t="s">
        <v>403</v>
      </c>
      <c r="E17" s="229">
        <v>229250</v>
      </c>
      <c r="F17" s="229">
        <f t="shared" si="1"/>
        <v>134692</v>
      </c>
      <c r="G17" s="230">
        <f t="shared" si="0"/>
        <v>94558</v>
      </c>
      <c r="H17" s="225"/>
      <c r="I17" s="225"/>
      <c r="J17" s="225"/>
      <c r="K17" s="231"/>
      <c r="L17" s="231"/>
      <c r="M17" s="231"/>
      <c r="N17" s="225"/>
      <c r="O17" s="231"/>
      <c r="P17" s="231">
        <v>134692</v>
      </c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6"/>
    </row>
    <row r="18" spans="1:34" ht="15" thickBot="1" x14ac:dyDescent="0.4">
      <c r="A18" s="191" t="s">
        <v>53</v>
      </c>
      <c r="B18" s="190" t="s">
        <v>55</v>
      </c>
      <c r="C18" s="193" t="s">
        <v>395</v>
      </c>
      <c r="D18" s="192" t="s">
        <v>404</v>
      </c>
      <c r="E18" s="229">
        <v>229250</v>
      </c>
      <c r="F18" s="229">
        <f t="shared" si="1"/>
        <v>69632</v>
      </c>
      <c r="G18" s="230">
        <f t="shared" si="0"/>
        <v>159618</v>
      </c>
      <c r="H18" s="225"/>
      <c r="I18" s="225"/>
      <c r="J18" s="225"/>
      <c r="K18" s="231"/>
      <c r="L18" s="231"/>
      <c r="M18" s="231"/>
      <c r="N18" s="225"/>
      <c r="O18" s="231">
        <v>69632</v>
      </c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32"/>
      <c r="AG18" s="232"/>
      <c r="AH18" s="6"/>
    </row>
    <row r="19" spans="1:34" ht="15" thickBot="1" x14ac:dyDescent="0.4">
      <c r="A19" s="159" t="s">
        <v>424</v>
      </c>
      <c r="B19" s="195" t="s">
        <v>425</v>
      </c>
      <c r="C19" s="159" t="s">
        <v>438</v>
      </c>
      <c r="D19" s="194" t="s">
        <v>526</v>
      </c>
      <c r="E19" s="229">
        <v>229250</v>
      </c>
      <c r="F19" s="229">
        <f t="shared" si="1"/>
        <v>209191.09</v>
      </c>
      <c r="G19" s="230">
        <f t="shared" si="0"/>
        <v>20058.910000000003</v>
      </c>
      <c r="H19" s="225"/>
      <c r="I19" s="225"/>
      <c r="J19" s="225">
        <v>49719.91</v>
      </c>
      <c r="K19" s="225"/>
      <c r="L19" s="225"/>
      <c r="M19" s="231"/>
      <c r="N19" s="225"/>
      <c r="O19" s="225">
        <v>131041.97</v>
      </c>
      <c r="P19" s="225">
        <v>20366.5</v>
      </c>
      <c r="Q19" s="225"/>
      <c r="R19" s="225">
        <v>8062.71</v>
      </c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32"/>
      <c r="AG19" s="232"/>
      <c r="AH19" s="6"/>
    </row>
    <row r="20" spans="1:34" ht="15" thickBot="1" x14ac:dyDescent="0.4">
      <c r="A20" s="191" t="s">
        <v>54</v>
      </c>
      <c r="B20" s="190" t="s">
        <v>212</v>
      </c>
      <c r="C20" s="191" t="s">
        <v>396</v>
      </c>
      <c r="D20" s="192" t="s">
        <v>405</v>
      </c>
      <c r="E20" s="229">
        <v>72000</v>
      </c>
      <c r="F20" s="229">
        <f t="shared" si="1"/>
        <v>71808</v>
      </c>
      <c r="G20" s="230">
        <f t="shared" si="0"/>
        <v>192</v>
      </c>
      <c r="H20" s="225"/>
      <c r="I20" s="225"/>
      <c r="J20" s="225"/>
      <c r="K20" s="225"/>
      <c r="L20" s="225"/>
      <c r="M20" s="225"/>
      <c r="N20" s="225"/>
      <c r="O20" s="231">
        <f>26252+45556</f>
        <v>71808</v>
      </c>
      <c r="P20" s="231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32"/>
      <c r="AG20" s="232"/>
      <c r="AH20" s="6"/>
    </row>
    <row r="21" spans="1:34" ht="15" thickBot="1" x14ac:dyDescent="0.4">
      <c r="A21" s="191" t="s">
        <v>54</v>
      </c>
      <c r="B21" s="195" t="s">
        <v>212</v>
      </c>
      <c r="C21" s="191" t="s">
        <v>397</v>
      </c>
      <c r="D21" s="192" t="s">
        <v>406</v>
      </c>
      <c r="E21" s="229">
        <v>265942.5</v>
      </c>
      <c r="F21" s="229">
        <f t="shared" si="1"/>
        <v>90761</v>
      </c>
      <c r="G21" s="230">
        <f t="shared" si="0"/>
        <v>175181.5</v>
      </c>
      <c r="H21" s="225"/>
      <c r="I21" s="225"/>
      <c r="J21" s="225"/>
      <c r="K21" s="231"/>
      <c r="L21" s="231"/>
      <c r="M21" s="231"/>
      <c r="N21" s="225"/>
      <c r="O21" s="231"/>
      <c r="P21" s="231"/>
      <c r="Q21" s="225"/>
      <c r="R21" s="225">
        <v>90761</v>
      </c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6"/>
    </row>
    <row r="22" spans="1:34" ht="15" thickBot="1" x14ac:dyDescent="0.4">
      <c r="A22" s="159" t="s">
        <v>54</v>
      </c>
      <c r="B22" s="190" t="s">
        <v>429</v>
      </c>
      <c r="C22" s="355" t="s">
        <v>517</v>
      </c>
      <c r="D22" s="357" t="s">
        <v>518</v>
      </c>
      <c r="E22" s="236">
        <v>247750</v>
      </c>
      <c r="F22" s="229">
        <f t="shared" si="1"/>
        <v>214254</v>
      </c>
      <c r="G22" s="230">
        <f t="shared" si="0"/>
        <v>33496</v>
      </c>
      <c r="H22" s="225"/>
      <c r="I22" s="225"/>
      <c r="J22" s="225"/>
      <c r="K22" s="225"/>
      <c r="L22" s="225"/>
      <c r="M22" s="231"/>
      <c r="N22" s="225"/>
      <c r="O22" s="225">
        <v>127873</v>
      </c>
      <c r="P22" s="225"/>
      <c r="Q22" s="225"/>
      <c r="R22" s="225">
        <v>86381</v>
      </c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6"/>
    </row>
    <row r="23" spans="1:34" ht="15" thickBot="1" x14ac:dyDescent="0.4">
      <c r="A23" s="193" t="s">
        <v>54</v>
      </c>
      <c r="B23" s="190" t="s">
        <v>212</v>
      </c>
      <c r="C23" s="351" t="s">
        <v>513</v>
      </c>
      <c r="D23" s="352" t="s">
        <v>407</v>
      </c>
      <c r="E23" s="353">
        <v>229250</v>
      </c>
      <c r="F23" s="229">
        <f t="shared" si="1"/>
        <v>0</v>
      </c>
      <c r="G23" s="230">
        <f t="shared" si="0"/>
        <v>229250</v>
      </c>
      <c r="H23" s="225"/>
      <c r="I23" s="225"/>
      <c r="J23" s="225"/>
      <c r="K23" s="225"/>
      <c r="L23" s="225"/>
      <c r="M23" s="231"/>
      <c r="N23" s="225"/>
      <c r="O23" s="231"/>
      <c r="P23" s="23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32"/>
      <c r="AG23" s="232"/>
      <c r="AH23" s="6"/>
    </row>
    <row r="24" spans="1:34" ht="15" thickBot="1" x14ac:dyDescent="0.4">
      <c r="A24" s="193" t="s">
        <v>54</v>
      </c>
      <c r="B24" s="190" t="s">
        <v>212</v>
      </c>
      <c r="C24" s="354" t="s">
        <v>515</v>
      </c>
      <c r="D24" s="356" t="s">
        <v>423</v>
      </c>
      <c r="E24" s="237">
        <v>229250</v>
      </c>
      <c r="F24" s="229">
        <f t="shared" si="1"/>
        <v>173492</v>
      </c>
      <c r="G24" s="230">
        <f t="shared" si="0"/>
        <v>55758</v>
      </c>
      <c r="H24" s="225"/>
      <c r="I24" s="225"/>
      <c r="J24" s="225"/>
      <c r="K24" s="225"/>
      <c r="L24" s="225"/>
      <c r="M24" s="231"/>
      <c r="N24" s="225"/>
      <c r="O24" s="225"/>
      <c r="P24" s="225"/>
      <c r="Q24" s="225"/>
      <c r="R24" s="225">
        <v>173492</v>
      </c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32"/>
      <c r="AG24" s="232"/>
      <c r="AH24" s="6"/>
    </row>
    <row r="25" spans="1:34" ht="15" thickBot="1" x14ac:dyDescent="0.4">
      <c r="A25" s="201"/>
      <c r="B25" s="201"/>
      <c r="C25" s="201"/>
      <c r="D25" s="201"/>
      <c r="E25" s="201"/>
      <c r="F25" s="201"/>
      <c r="G25" s="201"/>
      <c r="H25" s="209"/>
      <c r="I25" s="209"/>
      <c r="J25" s="209"/>
      <c r="K25" s="209"/>
      <c r="L25" s="209"/>
      <c r="M25" s="210"/>
      <c r="N25" s="209"/>
      <c r="O25" s="209"/>
      <c r="P25" s="209"/>
      <c r="Q25" s="209"/>
      <c r="R25" s="225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11"/>
      <c r="AG25" s="211"/>
    </row>
    <row r="26" spans="1:34" ht="15" thickBot="1" x14ac:dyDescent="0.4">
      <c r="A26" s="139" t="s">
        <v>46</v>
      </c>
      <c r="B26" s="110"/>
      <c r="C26" s="110"/>
      <c r="D26" s="110"/>
      <c r="E26" s="224">
        <f>SUM(E9:E24)</f>
        <v>3461942.5</v>
      </c>
      <c r="F26" s="224">
        <f>SUM(F9:F24)</f>
        <v>1312268.3900000001</v>
      </c>
      <c r="G26" s="238">
        <f>SUM(G9:G24)</f>
        <v>2149674.11</v>
      </c>
      <c r="H26" s="226">
        <f>SUM(H10:H22)</f>
        <v>0</v>
      </c>
      <c r="I26" s="226">
        <f>SUM(I10:I22)</f>
        <v>0</v>
      </c>
      <c r="J26" s="226">
        <f>SUM(J10:J22)</f>
        <v>49719.91</v>
      </c>
      <c r="K26" s="226">
        <f>SUM(K10:K22)</f>
        <v>0</v>
      </c>
      <c r="L26" s="226">
        <f>SUM(L10:L24)</f>
        <v>0</v>
      </c>
      <c r="M26" s="226">
        <f>SUM(M9:M25)</f>
        <v>0</v>
      </c>
      <c r="N26" s="226">
        <f>SUM(N10:N22)</f>
        <v>90669.02</v>
      </c>
      <c r="O26" s="226">
        <f>SUM(O9:O24)</f>
        <v>431246.97</v>
      </c>
      <c r="P26" s="226">
        <f>SUM(P9:P25)</f>
        <v>273583.48</v>
      </c>
      <c r="Q26" s="226">
        <f t="shared" ref="Q26:AG26" si="2">SUM(Q10:Q22)</f>
        <v>26854.21</v>
      </c>
      <c r="R26" s="226">
        <f t="shared" si="2"/>
        <v>266702.8</v>
      </c>
      <c r="S26" s="226">
        <f t="shared" si="2"/>
        <v>0</v>
      </c>
      <c r="T26" s="226">
        <f t="shared" si="2"/>
        <v>0</v>
      </c>
      <c r="U26" s="226">
        <f t="shared" si="2"/>
        <v>0</v>
      </c>
      <c r="V26" s="226">
        <f t="shared" si="2"/>
        <v>0</v>
      </c>
      <c r="W26" s="226">
        <f t="shared" si="2"/>
        <v>0</v>
      </c>
      <c r="X26" s="226">
        <f t="shared" si="2"/>
        <v>0</v>
      </c>
      <c r="Y26" s="226">
        <f t="shared" si="2"/>
        <v>0</v>
      </c>
      <c r="Z26" s="226">
        <f t="shared" si="2"/>
        <v>0</v>
      </c>
      <c r="AA26" s="226">
        <f t="shared" si="2"/>
        <v>0</v>
      </c>
      <c r="AB26" s="226">
        <f t="shared" si="2"/>
        <v>0</v>
      </c>
      <c r="AC26" s="226">
        <f t="shared" si="2"/>
        <v>0</v>
      </c>
      <c r="AD26" s="226">
        <f t="shared" si="2"/>
        <v>0</v>
      </c>
      <c r="AE26" s="226">
        <f t="shared" si="2"/>
        <v>0</v>
      </c>
      <c r="AF26" s="226">
        <f t="shared" si="2"/>
        <v>0</v>
      </c>
      <c r="AG26" s="226">
        <f t="shared" si="2"/>
        <v>0</v>
      </c>
      <c r="AH26" s="6"/>
    </row>
    <row r="27" spans="1:34" x14ac:dyDescent="0.35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26854.21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27"/>
      <c r="AG27" s="227"/>
      <c r="AH27" s="6"/>
    </row>
    <row r="28" spans="1:34" x14ac:dyDescent="0.35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28"/>
      <c r="AG28" s="228"/>
      <c r="AH28" s="6"/>
    </row>
    <row r="29" spans="1:34" x14ac:dyDescent="0.35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227"/>
      <c r="AG29" s="227"/>
      <c r="AH29" s="6"/>
    </row>
    <row r="30" spans="1:34" x14ac:dyDescent="0.35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28"/>
      <c r="AG30" s="228"/>
      <c r="AH30" s="6"/>
    </row>
    <row r="31" spans="1:34" x14ac:dyDescent="0.35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28"/>
      <c r="AG31" s="228"/>
      <c r="AH31" s="6"/>
    </row>
    <row r="32" spans="1:34" x14ac:dyDescent="0.35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28"/>
      <c r="AG32" s="228"/>
      <c r="AH32" s="6"/>
    </row>
    <row r="33" spans="5:34" x14ac:dyDescent="0.35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28"/>
      <c r="AG33" s="228"/>
      <c r="AH33" s="6"/>
    </row>
    <row r="34" spans="5:34" x14ac:dyDescent="0.35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28"/>
      <c r="AG34" s="228"/>
      <c r="AH34" s="6"/>
    </row>
    <row r="35" spans="5:34" x14ac:dyDescent="0.35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28"/>
      <c r="AG35" s="228"/>
      <c r="AH35" s="6"/>
    </row>
    <row r="36" spans="5:34" x14ac:dyDescent="0.35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228"/>
      <c r="AG36" s="228"/>
      <c r="AH36" s="6"/>
    </row>
    <row r="37" spans="5:34" x14ac:dyDescent="0.35"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28"/>
      <c r="AG37" s="228"/>
      <c r="AH37" s="6"/>
    </row>
    <row r="38" spans="5:34" x14ac:dyDescent="0.35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28"/>
      <c r="AG38" s="228"/>
      <c r="AH38" s="6"/>
    </row>
    <row r="39" spans="5:34" x14ac:dyDescent="0.35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28"/>
      <c r="AG39" s="228"/>
      <c r="AH39" s="6"/>
    </row>
    <row r="40" spans="5:34" x14ac:dyDescent="0.35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28"/>
      <c r="AG40" s="228"/>
      <c r="AH40" s="6"/>
    </row>
    <row r="41" spans="5:34" x14ac:dyDescent="0.35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28"/>
      <c r="AG41" s="228"/>
      <c r="AH41" s="6"/>
    </row>
    <row r="42" spans="5:34" x14ac:dyDescent="0.35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228"/>
      <c r="AG42" s="228"/>
      <c r="AH42" s="6"/>
    </row>
    <row r="43" spans="5:34" x14ac:dyDescent="0.35"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F43" s="30"/>
      <c r="AG43" s="30"/>
    </row>
    <row r="44" spans="5:34" x14ac:dyDescent="0.35"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F44" s="30"/>
      <c r="AG44" s="30"/>
    </row>
  </sheetData>
  <sheetProtection algorithmName="SHA-512" hashValue="3JFDptPeYgdZL6ejXxfBFiUnWkSBnAsfeHbbC4I07BX8rfZpLvJmhKeR43umwezA2wtvel1Xaex9StyHhOMehQ==" saltValue="vR3SbEGElLZUSRZ3Eq6Bvw==" spinCount="100000" sheet="1" objects="1" scenarios="1"/>
  <autoFilter ref="A8:AG24" xr:uid="{00000000-0009-0000-0000-000014000000}">
    <sortState xmlns:xlrd2="http://schemas.microsoft.com/office/spreadsheetml/2017/richdata2" ref="A9:AG24">
      <sortCondition ref="A8:A24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9"/>
  <dimension ref="A1:U47"/>
  <sheetViews>
    <sheetView workbookViewId="0">
      <pane xSplit="7" ySplit="8" topLeftCell="T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F11" sqref="F11"/>
    </sheetView>
  </sheetViews>
  <sheetFormatPr defaultColWidth="9.26953125" defaultRowHeight="14.5" x14ac:dyDescent="0.35"/>
  <cols>
    <col min="1" max="1" width="9.26953125" style="45"/>
    <col min="2" max="2" width="40.26953125" style="45" bestFit="1" customWidth="1"/>
    <col min="3" max="7" width="14.7265625" style="45" customWidth="1"/>
    <col min="8" max="19" width="12.7265625" style="45" customWidth="1"/>
    <col min="20" max="20" width="11.54296875" style="45" customWidth="1"/>
    <col min="21" max="16384" width="9.26953125" style="45"/>
  </cols>
  <sheetData>
    <row r="1" spans="1:21" ht="21" x14ac:dyDescent="0.5">
      <c r="A1" s="47" t="s">
        <v>0</v>
      </c>
      <c r="B1" s="53"/>
      <c r="C1" s="48" t="s">
        <v>153</v>
      </c>
      <c r="D1" s="48"/>
      <c r="E1" s="48"/>
      <c r="F1" s="54"/>
      <c r="G1" s="53"/>
      <c r="H1" s="47" t="str">
        <f>$C$1</f>
        <v>Title V - Abstinence Education</v>
      </c>
      <c r="I1" s="53"/>
      <c r="J1" s="53"/>
      <c r="K1" s="53"/>
      <c r="L1" s="53"/>
      <c r="M1" s="53"/>
      <c r="N1" s="53"/>
      <c r="O1" s="47" t="str">
        <f>$C$1</f>
        <v>Title V - Abstinence Education</v>
      </c>
      <c r="P1" s="48"/>
      <c r="Q1" s="53"/>
      <c r="R1" s="53"/>
      <c r="S1" s="53"/>
      <c r="T1" s="53"/>
      <c r="U1" s="53"/>
    </row>
    <row r="2" spans="1:21" ht="21" x14ac:dyDescent="0.5">
      <c r="A2" s="47" t="s">
        <v>155</v>
      </c>
      <c r="B2" s="53"/>
      <c r="C2" s="48" t="s">
        <v>150</v>
      </c>
      <c r="D2" s="48"/>
      <c r="E2" s="48"/>
      <c r="F2" s="54"/>
      <c r="G2" s="53"/>
      <c r="H2" s="129" t="str">
        <f>"FY"&amp;$C$4</f>
        <v>FY2019-20</v>
      </c>
      <c r="I2" s="53"/>
      <c r="J2" s="53"/>
      <c r="K2" s="53"/>
      <c r="L2" s="53"/>
      <c r="M2" s="53"/>
      <c r="N2" s="53"/>
      <c r="O2" s="130" t="str">
        <f>"FY"&amp;$C$4</f>
        <v>FY2019-20</v>
      </c>
      <c r="P2" s="48"/>
      <c r="Q2" s="53"/>
      <c r="R2" s="53"/>
      <c r="S2" s="53"/>
      <c r="T2" s="53"/>
      <c r="U2" s="53"/>
    </row>
    <row r="3" spans="1:21" ht="15.5" x14ac:dyDescent="0.35">
      <c r="A3" s="50" t="s">
        <v>1</v>
      </c>
      <c r="B3" s="53"/>
      <c r="C3" s="51">
        <v>7235</v>
      </c>
      <c r="D3" s="51"/>
      <c r="E3" s="51"/>
      <c r="F3" s="54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5.5" x14ac:dyDescent="0.35">
      <c r="A4" s="50" t="s">
        <v>2</v>
      </c>
      <c r="B4" s="53"/>
      <c r="C4" s="51" t="s">
        <v>440</v>
      </c>
      <c r="D4" s="51"/>
      <c r="E4" s="51"/>
      <c r="F4" s="50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15.5" x14ac:dyDescent="0.35">
      <c r="A5" s="50" t="s">
        <v>524</v>
      </c>
      <c r="B5" s="53"/>
      <c r="C5" s="67" t="s">
        <v>445</v>
      </c>
      <c r="D5" s="50"/>
      <c r="E5" s="50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5.5" x14ac:dyDescent="0.35">
      <c r="A6" s="50"/>
      <c r="B6" s="53"/>
      <c r="C6" s="67"/>
      <c r="D6" s="50"/>
      <c r="E6" s="50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6" thickBot="1" x14ac:dyDescent="0.4">
      <c r="A7" s="50"/>
      <c r="B7" s="53"/>
      <c r="C7" s="50"/>
      <c r="D7" s="50"/>
      <c r="E7" s="50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29.5" thickBot="1" x14ac:dyDescent="0.4">
      <c r="A8" s="55" t="s">
        <v>145</v>
      </c>
      <c r="B8" s="57" t="s">
        <v>139</v>
      </c>
      <c r="C8" s="55" t="s">
        <v>15</v>
      </c>
      <c r="D8" s="55" t="s">
        <v>112</v>
      </c>
      <c r="E8" s="55" t="s">
        <v>147</v>
      </c>
      <c r="F8" s="55" t="s">
        <v>16</v>
      </c>
      <c r="G8" s="25" t="s">
        <v>17</v>
      </c>
      <c r="H8" s="27" t="s">
        <v>125</v>
      </c>
      <c r="I8" s="27" t="s">
        <v>126</v>
      </c>
      <c r="J8" s="27" t="s">
        <v>136</v>
      </c>
      <c r="K8" s="27" t="s">
        <v>127</v>
      </c>
      <c r="L8" s="27" t="s">
        <v>128</v>
      </c>
      <c r="M8" s="27" t="s">
        <v>129</v>
      </c>
      <c r="N8" s="27" t="s">
        <v>130</v>
      </c>
      <c r="O8" s="27" t="s">
        <v>131</v>
      </c>
      <c r="P8" s="27" t="s">
        <v>132</v>
      </c>
      <c r="Q8" s="27" t="s">
        <v>133</v>
      </c>
      <c r="R8" s="27" t="s">
        <v>134</v>
      </c>
      <c r="S8" s="27" t="s">
        <v>135</v>
      </c>
      <c r="T8" s="27" t="s">
        <v>421</v>
      </c>
      <c r="U8" s="27" t="s">
        <v>422</v>
      </c>
    </row>
    <row r="9" spans="1:21" ht="15" thickBot="1" x14ac:dyDescent="0.4">
      <c r="A9" s="103" t="s">
        <v>410</v>
      </c>
      <c r="B9" s="363" t="s">
        <v>411</v>
      </c>
      <c r="C9" s="149">
        <v>180668</v>
      </c>
      <c r="D9" s="149"/>
      <c r="E9" s="149">
        <v>180668</v>
      </c>
      <c r="F9" s="149">
        <v>35292.800000000003</v>
      </c>
      <c r="G9" s="149">
        <v>145375.20000000001</v>
      </c>
      <c r="H9" s="168"/>
      <c r="I9" s="168"/>
      <c r="J9" s="168"/>
      <c r="K9" s="165">
        <v>9035.69</v>
      </c>
      <c r="L9" s="165"/>
      <c r="M9" s="165"/>
      <c r="N9" s="165">
        <v>23730.63</v>
      </c>
      <c r="O9" s="165">
        <v>2526.48</v>
      </c>
      <c r="P9" s="165"/>
      <c r="Q9" s="165"/>
      <c r="R9" s="165"/>
      <c r="S9" s="165"/>
      <c r="T9" s="200"/>
      <c r="U9" s="200"/>
    </row>
    <row r="10" spans="1:21" ht="15" thickBot="1" x14ac:dyDescent="0.4">
      <c r="A10" s="103" t="s">
        <v>106</v>
      </c>
      <c r="B10" s="363" t="s">
        <v>420</v>
      </c>
      <c r="C10" s="149">
        <v>138189</v>
      </c>
      <c r="D10" s="149"/>
      <c r="E10" s="149">
        <v>138189</v>
      </c>
      <c r="F10" s="149">
        <v>18447.93</v>
      </c>
      <c r="G10" s="149">
        <v>119741.07</v>
      </c>
      <c r="H10" s="168"/>
      <c r="I10" s="168"/>
      <c r="J10" s="168"/>
      <c r="K10" s="165"/>
      <c r="L10" s="165"/>
      <c r="M10" s="165"/>
      <c r="N10" s="165">
        <v>12823.35</v>
      </c>
      <c r="O10" s="165"/>
      <c r="P10" s="165">
        <v>5624.58</v>
      </c>
      <c r="Q10" s="165"/>
      <c r="R10" s="165"/>
      <c r="S10" s="165"/>
      <c r="T10" s="200"/>
      <c r="U10" s="200"/>
    </row>
    <row r="11" spans="1:21" ht="15" thickBot="1" x14ac:dyDescent="0.4">
      <c r="A11" s="103" t="s">
        <v>528</v>
      </c>
      <c r="B11" s="363" t="s">
        <v>527</v>
      </c>
      <c r="C11" s="149">
        <v>50000</v>
      </c>
      <c r="D11" s="149"/>
      <c r="E11" s="149">
        <v>50000</v>
      </c>
      <c r="F11" s="149">
        <v>1550.29</v>
      </c>
      <c r="G11" s="149">
        <v>48449.71</v>
      </c>
      <c r="H11" s="168"/>
      <c r="I11" s="168"/>
      <c r="J11" s="168"/>
      <c r="K11" s="165"/>
      <c r="L11" s="165"/>
      <c r="M11" s="165"/>
      <c r="N11" s="165"/>
      <c r="O11" s="165">
        <v>1550.29</v>
      </c>
      <c r="P11" s="165"/>
      <c r="Q11" s="165"/>
      <c r="R11" s="165"/>
      <c r="S11" s="165"/>
      <c r="T11" s="200"/>
      <c r="U11" s="200"/>
    </row>
    <row r="12" spans="1:21" ht="15" thickBot="1" x14ac:dyDescent="0.4">
      <c r="A12" s="103" t="s">
        <v>281</v>
      </c>
      <c r="B12" s="363" t="s">
        <v>505</v>
      </c>
      <c r="C12" s="149">
        <v>79700</v>
      </c>
      <c r="D12" s="149"/>
      <c r="E12" s="149">
        <v>79700</v>
      </c>
      <c r="F12" s="149">
        <v>0</v>
      </c>
      <c r="G12" s="149">
        <v>79700</v>
      </c>
      <c r="H12" s="168"/>
      <c r="I12" s="168"/>
      <c r="J12" s="168"/>
      <c r="K12" s="165"/>
      <c r="L12" s="165"/>
      <c r="M12" s="165"/>
      <c r="N12" s="165"/>
      <c r="O12" s="165"/>
      <c r="P12" s="165"/>
      <c r="Q12" s="165"/>
      <c r="R12" s="165"/>
      <c r="S12" s="165"/>
      <c r="T12" s="200"/>
      <c r="U12" s="200"/>
    </row>
    <row r="13" spans="1:21" ht="15" thickBot="1" x14ac:dyDescent="0.4">
      <c r="A13" s="103" t="s">
        <v>506</v>
      </c>
      <c r="B13" s="363" t="s">
        <v>507</v>
      </c>
      <c r="C13" s="149">
        <v>63952</v>
      </c>
      <c r="D13" s="149"/>
      <c r="E13" s="149">
        <v>63952</v>
      </c>
      <c r="F13" s="149">
        <v>18057.61</v>
      </c>
      <c r="G13" s="149">
        <v>45894.39</v>
      </c>
      <c r="H13" s="168"/>
      <c r="I13" s="168"/>
      <c r="J13" s="168"/>
      <c r="K13" s="165"/>
      <c r="L13" s="165"/>
      <c r="M13" s="165"/>
      <c r="N13" s="165">
        <v>13190.380000000001</v>
      </c>
      <c r="O13" s="165">
        <v>4867.2299999999996</v>
      </c>
      <c r="P13" s="165"/>
      <c r="Q13" s="165"/>
      <c r="R13" s="165"/>
      <c r="S13" s="165"/>
      <c r="T13" s="200"/>
      <c r="U13" s="200"/>
    </row>
    <row r="14" spans="1:21" ht="15" thickBot="1" x14ac:dyDescent="0.4">
      <c r="A14" s="103" t="s">
        <v>529</v>
      </c>
      <c r="B14" s="363" t="s">
        <v>508</v>
      </c>
      <c r="C14" s="149">
        <v>15488</v>
      </c>
      <c r="D14" s="149"/>
      <c r="E14" s="149">
        <v>15488</v>
      </c>
      <c r="F14" s="149">
        <v>0</v>
      </c>
      <c r="G14" s="149">
        <v>15488</v>
      </c>
      <c r="H14" s="168"/>
      <c r="I14" s="168"/>
      <c r="J14" s="168"/>
      <c r="K14" s="165"/>
      <c r="L14" s="165"/>
      <c r="M14" s="165"/>
      <c r="N14" s="165"/>
      <c r="O14" s="165"/>
      <c r="P14" s="165"/>
      <c r="Q14" s="165"/>
      <c r="R14" s="165"/>
      <c r="S14" s="165"/>
      <c r="T14" s="200"/>
      <c r="U14" s="200"/>
    </row>
    <row r="15" spans="1:21" s="24" customFormat="1" ht="15" thickBot="1" x14ac:dyDescent="0.4">
      <c r="A15" s="41" t="s">
        <v>46</v>
      </c>
      <c r="B15" s="58"/>
      <c r="C15" s="199">
        <v>527997</v>
      </c>
      <c r="D15" s="199">
        <v>0</v>
      </c>
      <c r="E15" s="199">
        <v>527997</v>
      </c>
      <c r="F15" s="199">
        <v>73348.63</v>
      </c>
      <c r="G15" s="199">
        <v>454648.37000000005</v>
      </c>
      <c r="H15" s="199">
        <v>0</v>
      </c>
      <c r="I15" s="199">
        <v>0</v>
      </c>
      <c r="J15" s="199">
        <v>0</v>
      </c>
      <c r="K15" s="199">
        <v>9035.69</v>
      </c>
      <c r="L15" s="199">
        <v>0</v>
      </c>
      <c r="M15" s="199">
        <v>0</v>
      </c>
      <c r="N15" s="199">
        <v>49744.36</v>
      </c>
      <c r="O15" s="199">
        <v>8944</v>
      </c>
      <c r="P15" s="199">
        <v>5624.58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</row>
    <row r="16" spans="1:21" x14ac:dyDescent="0.35">
      <c r="C16" s="46"/>
      <c r="D16" s="46"/>
      <c r="E16" s="46"/>
      <c r="H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3:19" x14ac:dyDescent="0.35">
      <c r="C17" s="46"/>
      <c r="D17" s="46"/>
      <c r="E17" s="46"/>
      <c r="G17" s="188"/>
      <c r="H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3:19" x14ac:dyDescent="0.35">
      <c r="C18" s="46"/>
      <c r="D18" s="46"/>
      <c r="E18" s="46"/>
      <c r="H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3:19" x14ac:dyDescent="0.35">
      <c r="C19" s="46"/>
      <c r="D19" s="46"/>
      <c r="E19" s="46"/>
      <c r="H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3:19" x14ac:dyDescent="0.35">
      <c r="C20" s="46"/>
      <c r="D20" s="46"/>
      <c r="E20" s="46"/>
      <c r="H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3:19" x14ac:dyDescent="0.35">
      <c r="C21" s="46"/>
      <c r="D21" s="46"/>
      <c r="E21" s="46"/>
      <c r="H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3:19" x14ac:dyDescent="0.35">
      <c r="C22" s="46"/>
      <c r="D22" s="46"/>
      <c r="E22" s="46"/>
      <c r="H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3:19" x14ac:dyDescent="0.35">
      <c r="C23" s="46"/>
      <c r="D23" s="46"/>
      <c r="E23" s="46"/>
      <c r="H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3:19" x14ac:dyDescent="0.35">
      <c r="C24" s="46"/>
      <c r="D24" s="46"/>
      <c r="E24" s="46"/>
      <c r="H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3:19" x14ac:dyDescent="0.35">
      <c r="C25" s="46"/>
      <c r="D25" s="46"/>
      <c r="E25" s="46"/>
      <c r="H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3:19" x14ac:dyDescent="0.35">
      <c r="C26" s="46"/>
      <c r="D26" s="46"/>
      <c r="E26" s="46"/>
      <c r="H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3:19" x14ac:dyDescent="0.35">
      <c r="C27" s="46"/>
      <c r="D27" s="46"/>
      <c r="E27" s="46"/>
      <c r="H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3:19" x14ac:dyDescent="0.35">
      <c r="C28" s="46"/>
      <c r="D28" s="46"/>
      <c r="E28" s="46"/>
      <c r="H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3:19" x14ac:dyDescent="0.35">
      <c r="C29" s="46"/>
      <c r="D29" s="46"/>
      <c r="E29" s="46"/>
      <c r="H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3:19" x14ac:dyDescent="0.35">
      <c r="H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3:19" x14ac:dyDescent="0.35">
      <c r="H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3:19" x14ac:dyDescent="0.35">
      <c r="H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8:19" x14ac:dyDescent="0.35">
      <c r="H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8:19" x14ac:dyDescent="0.35">
      <c r="H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8:19" x14ac:dyDescent="0.35">
      <c r="H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8:19" x14ac:dyDescent="0.35">
      <c r="H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8:19" x14ac:dyDescent="0.35">
      <c r="H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8:19" x14ac:dyDescent="0.35">
      <c r="H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8:19" x14ac:dyDescent="0.35">
      <c r="H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8:19" x14ac:dyDescent="0.35">
      <c r="H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8:19" x14ac:dyDescent="0.35">
      <c r="H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8:19" x14ac:dyDescent="0.35">
      <c r="H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8:19" x14ac:dyDescent="0.35">
      <c r="H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8:19" x14ac:dyDescent="0.35">
      <c r="H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8:19" x14ac:dyDescent="0.35">
      <c r="H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8:19" x14ac:dyDescent="0.35">
      <c r="H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8:19" x14ac:dyDescent="0.35">
      <c r="H47" s="46"/>
      <c r="K47" s="46"/>
      <c r="L47" s="46"/>
      <c r="M47" s="46"/>
      <c r="N47" s="46"/>
      <c r="O47" s="46"/>
      <c r="P47" s="46"/>
      <c r="Q47" s="46"/>
      <c r="R47" s="46"/>
      <c r="S47" s="46"/>
    </row>
  </sheetData>
  <sheetProtection algorithmName="SHA-512" hashValue="asUxHotg2o1/NM8oPlNGt0klSyWp7EdjmYPeAgGoSaa1NtgpP9EJ+A0rV5Ynm/z0LkX9C2NvxHlAO1nSt9qEUg==" saltValue="EU5hta/E/Y1cmW5U0/LffA==" spinCount="100000" sheet="1" objects="1" scenarios="1"/>
  <sortState xmlns:xlrd2="http://schemas.microsoft.com/office/spreadsheetml/2017/richdata2" ref="A9:G14">
    <sortCondition ref="A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Z46"/>
  <sheetViews>
    <sheetView topLeftCell="J1" zoomScale="70" zoomScaleNormal="70" workbookViewId="0">
      <selection activeCell="K19" sqref="K19"/>
    </sheetView>
  </sheetViews>
  <sheetFormatPr defaultColWidth="8.7265625" defaultRowHeight="14.5" x14ac:dyDescent="0.35"/>
  <cols>
    <col min="1" max="1" width="9.54296875" style="44" customWidth="1"/>
    <col min="2" max="2" width="30.26953125" style="44" customWidth="1"/>
    <col min="3" max="5" width="14.7265625" style="44" customWidth="1"/>
    <col min="6" max="24" width="12.7265625" style="44" customWidth="1"/>
    <col min="25" max="26" width="21.26953125" style="44" customWidth="1"/>
    <col min="27" max="16384" width="8.7265625" style="44"/>
  </cols>
  <sheetData>
    <row r="1" spans="1:26" ht="21" x14ac:dyDescent="0.5">
      <c r="A1" s="47" t="s">
        <v>0</v>
      </c>
      <c r="B1" s="53"/>
      <c r="C1" s="48" t="s">
        <v>465</v>
      </c>
      <c r="D1" s="47"/>
      <c r="E1" s="49"/>
      <c r="F1" s="48"/>
      <c r="G1" s="48"/>
      <c r="H1" s="48"/>
      <c r="I1" s="47"/>
      <c r="J1" s="47"/>
      <c r="K1" s="49"/>
      <c r="L1" s="47" t="str">
        <f>$C$1</f>
        <v>Colorado Multi-Tiered Behavioral Framework: School Climate Grant</v>
      </c>
      <c r="M1" s="54"/>
      <c r="N1" s="54"/>
      <c r="O1" s="48"/>
      <c r="P1" s="48"/>
      <c r="Q1" s="47"/>
      <c r="R1" s="47" t="str">
        <f>$C$1</f>
        <v>Colorado Multi-Tiered Behavioral Framework: School Climate Grant</v>
      </c>
      <c r="S1" s="47"/>
      <c r="T1" s="47"/>
      <c r="U1" s="47"/>
      <c r="V1" s="47"/>
      <c r="W1" s="47"/>
      <c r="X1" s="47"/>
      <c r="Y1" s="47"/>
      <c r="Z1" s="47"/>
    </row>
    <row r="2" spans="1:26" ht="21" x14ac:dyDescent="0.5">
      <c r="A2" s="47" t="s">
        <v>155</v>
      </c>
      <c r="B2" s="49"/>
      <c r="C2" s="47" t="s">
        <v>466</v>
      </c>
      <c r="D2" s="50"/>
      <c r="E2" s="9"/>
      <c r="F2" s="9"/>
      <c r="G2" s="9"/>
      <c r="H2" s="9"/>
      <c r="I2" s="52"/>
      <c r="J2" s="52"/>
      <c r="K2" s="52"/>
      <c r="L2" s="131" t="str">
        <f>"FY"&amp;$C$4</f>
        <v>FY2019-20</v>
      </c>
      <c r="M2" s="52"/>
      <c r="N2" s="52"/>
      <c r="O2" s="52"/>
      <c r="P2" s="52"/>
      <c r="Q2" s="52"/>
      <c r="R2" s="131" t="str">
        <f>"FY"&amp;$C$4</f>
        <v>FY2019-20</v>
      </c>
      <c r="S2" s="52"/>
      <c r="T2" s="52"/>
      <c r="U2" s="52"/>
      <c r="V2" s="52"/>
      <c r="W2" s="52"/>
      <c r="X2" s="52"/>
      <c r="Y2" s="47"/>
      <c r="Z2" s="47"/>
    </row>
    <row r="3" spans="1:26" ht="15.5" x14ac:dyDescent="0.35">
      <c r="A3" s="50" t="s">
        <v>1</v>
      </c>
      <c r="B3" s="53"/>
      <c r="C3" s="51">
        <v>8174</v>
      </c>
      <c r="D3" s="50"/>
      <c r="E3" s="19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5.5" x14ac:dyDescent="0.35">
      <c r="A4" s="50" t="s">
        <v>2</v>
      </c>
      <c r="B4" s="53"/>
      <c r="C4" s="51" t="s">
        <v>440</v>
      </c>
      <c r="D4" s="50"/>
      <c r="E4" s="19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5.5" x14ac:dyDescent="0.35">
      <c r="A5" s="50" t="s">
        <v>18</v>
      </c>
      <c r="B5" s="53"/>
      <c r="C5" s="63" t="s">
        <v>444</v>
      </c>
      <c r="D5" s="50"/>
      <c r="E5" s="9"/>
      <c r="F5" s="9"/>
      <c r="G5" s="9"/>
      <c r="H5" s="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5.5" x14ac:dyDescent="0.35">
      <c r="A6" s="50" t="s">
        <v>19</v>
      </c>
      <c r="B6" s="53"/>
      <c r="C6" s="67" t="s">
        <v>467</v>
      </c>
      <c r="D6" s="50"/>
      <c r="E6" s="9"/>
      <c r="F6" s="9"/>
      <c r="G6" s="9"/>
      <c r="H6" s="9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6" thickBot="1" x14ac:dyDescent="0.4">
      <c r="A7" s="50"/>
      <c r="B7" s="53"/>
      <c r="C7" s="50"/>
      <c r="D7" s="50"/>
      <c r="E7" s="9"/>
      <c r="F7" s="9"/>
      <c r="G7" s="9"/>
      <c r="H7" s="9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29.5" thickBot="1" x14ac:dyDescent="0.4">
      <c r="A8" s="127" t="s">
        <v>145</v>
      </c>
      <c r="B8" s="12" t="s">
        <v>139</v>
      </c>
      <c r="C8" s="12" t="s">
        <v>15</v>
      </c>
      <c r="D8" s="13" t="s">
        <v>16</v>
      </c>
      <c r="E8" s="29" t="s">
        <v>17</v>
      </c>
      <c r="F8" s="26" t="s">
        <v>133</v>
      </c>
      <c r="G8" s="27" t="s">
        <v>134</v>
      </c>
      <c r="H8" s="26" t="s">
        <v>135</v>
      </c>
      <c r="I8" s="27" t="s">
        <v>172</v>
      </c>
      <c r="J8" s="26" t="s">
        <v>173</v>
      </c>
      <c r="K8" s="27" t="s">
        <v>137</v>
      </c>
      <c r="L8" s="27" t="s">
        <v>252</v>
      </c>
      <c r="M8" s="27" t="s">
        <v>253</v>
      </c>
      <c r="N8" s="27" t="s">
        <v>254</v>
      </c>
      <c r="O8" s="27" t="s">
        <v>255</v>
      </c>
      <c r="P8" s="27" t="s">
        <v>256</v>
      </c>
      <c r="Q8" s="27" t="s">
        <v>441</v>
      </c>
      <c r="R8" s="26" t="s">
        <v>258</v>
      </c>
      <c r="S8" s="27" t="s">
        <v>259</v>
      </c>
      <c r="T8" s="27" t="s">
        <v>260</v>
      </c>
      <c r="U8" s="27" t="s">
        <v>442</v>
      </c>
      <c r="V8" s="26" t="s">
        <v>443</v>
      </c>
      <c r="W8" s="27" t="s">
        <v>520</v>
      </c>
      <c r="X8" s="12" t="s">
        <v>166</v>
      </c>
      <c r="Y8" s="12" t="s">
        <v>166</v>
      </c>
      <c r="Z8" s="12" t="s">
        <v>167</v>
      </c>
    </row>
    <row r="9" spans="1:26" ht="15" thickBot="1" x14ac:dyDescent="0.4">
      <c r="A9" s="105">
        <v>1450</v>
      </c>
      <c r="B9" s="106" t="s">
        <v>468</v>
      </c>
      <c r="C9" s="107">
        <v>60000</v>
      </c>
      <c r="D9" s="107">
        <f>SUM(F9:Y9)</f>
        <v>0</v>
      </c>
      <c r="E9" s="107">
        <f>C9-D9</f>
        <v>60000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6" ht="29.5" thickBot="1" x14ac:dyDescent="0.4">
      <c r="A10" s="70" t="s">
        <v>83</v>
      </c>
      <c r="B10" s="123" t="s">
        <v>84</v>
      </c>
      <c r="C10" s="107">
        <v>60000</v>
      </c>
      <c r="D10" s="294">
        <f>SUM(F10:X10)</f>
        <v>54130.609999999993</v>
      </c>
      <c r="E10" s="107">
        <f>C10-D10</f>
        <v>5869.3900000000067</v>
      </c>
      <c r="F10" s="108"/>
      <c r="G10" s="108"/>
      <c r="H10" s="108"/>
      <c r="I10" s="108"/>
      <c r="J10" s="359">
        <v>5596.96</v>
      </c>
      <c r="K10" s="359">
        <v>12110.8</v>
      </c>
      <c r="L10" s="359">
        <v>3041.66</v>
      </c>
      <c r="M10" s="359">
        <v>3162.22</v>
      </c>
      <c r="N10" s="359">
        <v>16167.31</v>
      </c>
      <c r="O10" s="359">
        <v>5364.48</v>
      </c>
      <c r="P10" s="359">
        <v>5102.83</v>
      </c>
      <c r="Q10" s="359">
        <v>3584.35</v>
      </c>
      <c r="R10" s="108"/>
      <c r="S10" s="108"/>
      <c r="T10" s="108"/>
      <c r="U10" s="108"/>
      <c r="V10" s="108"/>
      <c r="W10" s="108"/>
      <c r="X10" s="108"/>
    </row>
    <row r="11" spans="1:26" ht="29.5" thickBot="1" x14ac:dyDescent="0.4">
      <c r="A11" s="124" t="s">
        <v>362</v>
      </c>
      <c r="B11" s="123" t="s">
        <v>375</v>
      </c>
      <c r="C11" s="107">
        <v>60000</v>
      </c>
      <c r="D11" s="294">
        <f>SUM(F11:X11)</f>
        <v>34549.300000000003</v>
      </c>
      <c r="E11" s="107">
        <f>C11-D11</f>
        <v>25450.699999999997</v>
      </c>
      <c r="F11" s="108"/>
      <c r="G11" s="108"/>
      <c r="H11" s="108"/>
      <c r="I11" s="108"/>
      <c r="J11" s="108"/>
      <c r="K11" s="108"/>
      <c r="L11" s="108"/>
      <c r="M11" s="108"/>
      <c r="N11" s="108"/>
      <c r="O11" s="359">
        <v>28530.43</v>
      </c>
      <c r="P11" s="359">
        <v>2967.87</v>
      </c>
      <c r="Q11" s="359">
        <v>3051</v>
      </c>
      <c r="R11" s="108"/>
      <c r="S11" s="108"/>
      <c r="T11" s="108"/>
      <c r="U11" s="108"/>
      <c r="V11" s="108"/>
      <c r="W11" s="108"/>
      <c r="X11" s="108"/>
    </row>
    <row r="12" spans="1:26" ht="15" thickBot="1" x14ac:dyDescent="0.4">
      <c r="A12" s="70" t="s">
        <v>469</v>
      </c>
      <c r="B12" s="123" t="s">
        <v>470</v>
      </c>
      <c r="C12" s="293">
        <v>60000</v>
      </c>
      <c r="D12" s="294">
        <f>SUM(F12:X12)</f>
        <v>0</v>
      </c>
      <c r="E12" s="107">
        <f>C12-D12</f>
        <v>60000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 t="s">
        <v>33</v>
      </c>
      <c r="P12" s="108"/>
      <c r="Q12" s="108"/>
      <c r="R12" s="108"/>
      <c r="S12" s="108"/>
      <c r="T12" s="108"/>
      <c r="U12" s="108"/>
      <c r="V12" s="108"/>
      <c r="W12" s="108"/>
      <c r="X12" s="108"/>
      <c r="Y12" s="75"/>
      <c r="Z12" s="75"/>
    </row>
    <row r="13" spans="1:26" s="14" customFormat="1" ht="15" thickBot="1" x14ac:dyDescent="0.4">
      <c r="A13" s="72" t="s">
        <v>46</v>
      </c>
      <c r="B13" s="42"/>
      <c r="C13" s="73">
        <f>SUM(C9:C12)</f>
        <v>240000</v>
      </c>
      <c r="D13" s="295">
        <f>SUM(D9:D12)</f>
        <v>88679.91</v>
      </c>
      <c r="E13" s="295">
        <f>SUM(E9:E12)</f>
        <v>151320.09000000003</v>
      </c>
      <c r="F13" s="73">
        <f t="shared" ref="F13:Z13" si="0">SUM(F9:F11)</f>
        <v>0</v>
      </c>
      <c r="G13" s="73">
        <f t="shared" si="0"/>
        <v>0</v>
      </c>
      <c r="H13" s="73">
        <f t="shared" si="0"/>
        <v>0</v>
      </c>
      <c r="I13" s="73">
        <f t="shared" si="0"/>
        <v>0</v>
      </c>
      <c r="J13" s="295">
        <f t="shared" si="0"/>
        <v>5596.96</v>
      </c>
      <c r="K13" s="295">
        <f t="shared" si="0"/>
        <v>12110.8</v>
      </c>
      <c r="L13" s="295">
        <f t="shared" si="0"/>
        <v>3041.66</v>
      </c>
      <c r="M13" s="295">
        <f t="shared" si="0"/>
        <v>3162.22</v>
      </c>
      <c r="N13" s="73">
        <f t="shared" si="0"/>
        <v>16167.31</v>
      </c>
      <c r="O13" s="73">
        <f t="shared" si="0"/>
        <v>33894.910000000003</v>
      </c>
      <c r="P13" s="73">
        <f t="shared" si="0"/>
        <v>8070.7</v>
      </c>
      <c r="Q13" s="73">
        <f t="shared" si="0"/>
        <v>6635.35</v>
      </c>
      <c r="R13" s="73">
        <f t="shared" si="0"/>
        <v>0</v>
      </c>
      <c r="S13" s="73">
        <f t="shared" si="0"/>
        <v>0</v>
      </c>
      <c r="T13" s="73">
        <f t="shared" si="0"/>
        <v>0</v>
      </c>
      <c r="U13" s="73">
        <f t="shared" si="0"/>
        <v>0</v>
      </c>
      <c r="V13" s="73">
        <f t="shared" si="0"/>
        <v>0</v>
      </c>
      <c r="W13" s="73">
        <f t="shared" si="0"/>
        <v>0</v>
      </c>
      <c r="X13" s="73">
        <f t="shared" si="0"/>
        <v>0</v>
      </c>
      <c r="Y13" s="73">
        <f t="shared" si="0"/>
        <v>0</v>
      </c>
      <c r="Z13" s="73">
        <f t="shared" si="0"/>
        <v>0</v>
      </c>
    </row>
    <row r="16" spans="1:26" x14ac:dyDescent="0.35">
      <c r="Y16" s="75"/>
      <c r="Z16" s="75"/>
    </row>
    <row r="18" spans="25:26" x14ac:dyDescent="0.35">
      <c r="Y18" s="75"/>
      <c r="Z18" s="75"/>
    </row>
    <row r="22" spans="25:26" x14ac:dyDescent="0.35">
      <c r="Y22" s="75"/>
      <c r="Z22" s="75"/>
    </row>
    <row r="23" spans="25:26" x14ac:dyDescent="0.35">
      <c r="Y23" s="75"/>
      <c r="Z23" s="75"/>
    </row>
    <row r="29" spans="25:26" x14ac:dyDescent="0.35">
      <c r="Y29" s="75"/>
      <c r="Z29" s="75"/>
    </row>
    <row r="32" spans="25:26" x14ac:dyDescent="0.35">
      <c r="Y32" s="45"/>
      <c r="Z32" s="45"/>
    </row>
    <row r="33" spans="25:26" x14ac:dyDescent="0.35">
      <c r="Y33" s="30"/>
      <c r="Z33" s="30"/>
    </row>
    <row r="34" spans="25:26" x14ac:dyDescent="0.35">
      <c r="Y34" s="30"/>
      <c r="Z34" s="30"/>
    </row>
    <row r="35" spans="25:26" x14ac:dyDescent="0.35">
      <c r="Y35" s="30"/>
      <c r="Z35" s="30"/>
    </row>
    <row r="36" spans="25:26" x14ac:dyDescent="0.35">
      <c r="Y36" s="30"/>
      <c r="Z36" s="30"/>
    </row>
    <row r="37" spans="25:26" x14ac:dyDescent="0.35">
      <c r="Y37" s="30"/>
      <c r="Z37" s="30"/>
    </row>
    <row r="38" spans="25:26" x14ac:dyDescent="0.35">
      <c r="Y38" s="30"/>
      <c r="Z38" s="30"/>
    </row>
    <row r="39" spans="25:26" x14ac:dyDescent="0.35">
      <c r="Y39" s="30"/>
      <c r="Z39" s="30"/>
    </row>
    <row r="40" spans="25:26" x14ac:dyDescent="0.35">
      <c r="Y40" s="30"/>
      <c r="Z40" s="30"/>
    </row>
    <row r="41" spans="25:26" x14ac:dyDescent="0.35">
      <c r="Y41" s="30"/>
      <c r="Z41" s="30"/>
    </row>
    <row r="42" spans="25:26" x14ac:dyDescent="0.35">
      <c r="Y42" s="30"/>
      <c r="Z42" s="30"/>
    </row>
    <row r="43" spans="25:26" x14ac:dyDescent="0.35">
      <c r="Y43" s="30"/>
      <c r="Z43" s="30"/>
    </row>
    <row r="44" spans="25:26" x14ac:dyDescent="0.35">
      <c r="Y44" s="30"/>
      <c r="Z44" s="30"/>
    </row>
    <row r="45" spans="25:26" x14ac:dyDescent="0.35">
      <c r="Y45" s="30"/>
      <c r="Z45" s="30"/>
    </row>
    <row r="46" spans="25:26" x14ac:dyDescent="0.35">
      <c r="Y46" s="30"/>
      <c r="Z46" s="30"/>
    </row>
  </sheetData>
  <sheetProtection algorithmName="SHA-512" hashValue="Mv9sSArJswJuP2dm7KS2asVrbIMJ4VjiOW1Oj1GVv0LqA9Wg7qr9kk7jVVHOmL7ZNM/klu/lH3gOjTQdwAPQvQ==" saltValue="YvFGD65q/Z20GMn3vmYgmg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2"/>
  </sheetPr>
  <dimension ref="A1:AU140"/>
  <sheetViews>
    <sheetView zoomScale="80" zoomScaleNormal="80" workbookViewId="0">
      <pane xSplit="7" ySplit="8" topLeftCell="R12" activePane="bottomRight" state="frozen"/>
      <selection activeCell="A8" sqref="A8:XFD8"/>
      <selection pane="topRight" activeCell="A8" sqref="A8:XFD8"/>
      <selection pane="bottomLeft" activeCell="A8" sqref="A8:XFD8"/>
      <selection pane="bottomRight" activeCell="S15" sqref="S15"/>
    </sheetView>
  </sheetViews>
  <sheetFormatPr defaultColWidth="9.26953125" defaultRowHeight="14.5" x14ac:dyDescent="0.35"/>
  <cols>
    <col min="1" max="1" width="19.26953125" style="2" customWidth="1"/>
    <col min="2" max="2" width="43.453125" style="174" customWidth="1"/>
    <col min="3" max="3" width="17.54296875" style="45" customWidth="1"/>
    <col min="4" max="4" width="8.26953125" style="45" customWidth="1"/>
    <col min="5" max="5" width="17.54296875" style="45" customWidth="1"/>
    <col min="6" max="6" width="16.7265625" style="45" customWidth="1"/>
    <col min="7" max="7" width="14" style="45" customWidth="1"/>
    <col min="8" max="34" width="15.7265625" style="4" customWidth="1"/>
    <col min="35" max="36" width="21.26953125" style="44" customWidth="1"/>
    <col min="37" max="16384" width="9.26953125" style="45"/>
  </cols>
  <sheetData>
    <row r="1" spans="1:47" ht="21" x14ac:dyDescent="0.5">
      <c r="A1" s="47" t="s">
        <v>0</v>
      </c>
      <c r="B1" s="80"/>
      <c r="C1" s="48" t="s">
        <v>20</v>
      </c>
      <c r="D1" s="48"/>
      <c r="E1" s="48"/>
      <c r="F1" s="47"/>
      <c r="G1" s="49"/>
      <c r="H1" s="54"/>
      <c r="I1" s="54"/>
      <c r="J1" s="48"/>
      <c r="K1" s="48"/>
      <c r="L1" s="48"/>
      <c r="M1" s="47"/>
      <c r="N1" s="47" t="str">
        <f>$C$1</f>
        <v xml:space="preserve">Adult Education </v>
      </c>
      <c r="O1" s="49"/>
      <c r="P1" s="49"/>
      <c r="Q1" s="54"/>
      <c r="R1" s="54"/>
      <c r="S1" s="48"/>
      <c r="T1" s="47" t="str">
        <f>$C$1</f>
        <v xml:space="preserve">Adult Education </v>
      </c>
      <c r="U1" s="47"/>
      <c r="V1" s="47"/>
      <c r="W1" s="48"/>
      <c r="X1" s="48"/>
      <c r="Y1" s="47"/>
      <c r="Z1" s="47"/>
      <c r="AA1" s="47" t="str">
        <f>$C$1</f>
        <v xml:space="preserve">Adult Education </v>
      </c>
      <c r="AB1" s="49"/>
      <c r="AC1" s="54"/>
      <c r="AD1" s="54"/>
      <c r="AE1" s="48"/>
      <c r="AF1" s="48"/>
      <c r="AG1" s="47" t="str">
        <f>$C$1</f>
        <v xml:space="preserve">Adult Education </v>
      </c>
      <c r="AH1" s="47"/>
      <c r="AI1" s="47"/>
      <c r="AJ1" s="47"/>
    </row>
    <row r="2" spans="1:47" s="3" customFormat="1" ht="21" x14ac:dyDescent="0.5">
      <c r="A2" s="47" t="s">
        <v>155</v>
      </c>
      <c r="B2" s="172"/>
      <c r="C2" s="47" t="s">
        <v>158</v>
      </c>
      <c r="D2" s="47"/>
      <c r="E2" s="47"/>
      <c r="F2" s="47"/>
      <c r="G2" s="126"/>
      <c r="H2" s="126"/>
      <c r="I2" s="126"/>
      <c r="J2" s="126"/>
      <c r="K2" s="126"/>
      <c r="L2" s="126"/>
      <c r="M2" s="15"/>
      <c r="N2" s="128" t="str">
        <f>"FY"&amp;$C$4</f>
        <v>FY2019-20</v>
      </c>
      <c r="O2" s="15"/>
      <c r="P2" s="15"/>
      <c r="Q2" s="15"/>
      <c r="R2" s="15"/>
      <c r="S2" s="15"/>
      <c r="T2" s="128" t="str">
        <f>"FY"&amp;$C$4</f>
        <v>FY2019-20</v>
      </c>
      <c r="U2" s="15"/>
      <c r="V2" s="15"/>
      <c r="W2" s="126"/>
      <c r="X2" s="126"/>
      <c r="Y2" s="15"/>
      <c r="Z2" s="15"/>
      <c r="AA2" s="128" t="str">
        <f>"FY"&amp;$C$4</f>
        <v>FY2019-20</v>
      </c>
      <c r="AB2" s="15"/>
      <c r="AC2" s="15"/>
      <c r="AD2" s="15"/>
      <c r="AE2" s="15"/>
      <c r="AF2" s="15"/>
      <c r="AG2" s="128" t="str">
        <f>"FY"&amp;$C$4</f>
        <v>FY2019-20</v>
      </c>
      <c r="AH2" s="15"/>
      <c r="AI2" s="47"/>
      <c r="AJ2" s="47"/>
    </row>
    <row r="3" spans="1:47" ht="15.5" x14ac:dyDescent="0.35">
      <c r="A3" s="50" t="s">
        <v>1</v>
      </c>
      <c r="B3" s="80"/>
      <c r="C3" s="51">
        <v>5002</v>
      </c>
      <c r="D3" s="51"/>
      <c r="E3" s="51"/>
      <c r="F3" s="50"/>
      <c r="G3" s="19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47" ht="15.5" x14ac:dyDescent="0.35">
      <c r="A4" s="50" t="s">
        <v>2</v>
      </c>
      <c r="B4" s="80"/>
      <c r="C4" s="51" t="s">
        <v>440</v>
      </c>
      <c r="D4" s="51"/>
      <c r="E4" s="51"/>
      <c r="F4" s="50"/>
      <c r="G4" s="19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47" ht="15.5" x14ac:dyDescent="0.35">
      <c r="A5" s="50" t="s">
        <v>524</v>
      </c>
      <c r="B5" s="80"/>
      <c r="C5" s="67" t="s">
        <v>445</v>
      </c>
      <c r="D5" s="50"/>
      <c r="E5" s="50"/>
      <c r="F5" s="50"/>
      <c r="G5" s="9"/>
      <c r="H5" s="9"/>
      <c r="I5" s="9"/>
      <c r="J5" s="9"/>
      <c r="K5" s="9"/>
      <c r="L5" s="9"/>
      <c r="M5" s="52"/>
      <c r="N5" s="52"/>
      <c r="O5" s="52"/>
      <c r="P5" s="52"/>
      <c r="Q5" s="52"/>
      <c r="R5" s="52"/>
      <c r="S5" s="52"/>
      <c r="T5" s="52"/>
      <c r="U5" s="52"/>
      <c r="V5" s="52"/>
      <c r="W5" s="9"/>
      <c r="X5" s="9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</row>
    <row r="6" spans="1:47" ht="15.5" x14ac:dyDescent="0.35">
      <c r="A6" s="50"/>
      <c r="B6" s="80"/>
      <c r="C6" s="67"/>
      <c r="D6" s="50"/>
      <c r="E6" s="50"/>
      <c r="F6" s="50"/>
      <c r="G6" s="9"/>
      <c r="H6" s="9"/>
      <c r="I6" s="9"/>
      <c r="J6" s="9"/>
      <c r="K6" s="9"/>
      <c r="L6" s="9"/>
      <c r="M6" s="52"/>
      <c r="N6" s="52"/>
      <c r="O6" s="52"/>
      <c r="P6" s="52"/>
      <c r="Q6" s="52"/>
      <c r="R6" s="52"/>
      <c r="S6" s="52"/>
      <c r="T6" s="52"/>
      <c r="U6" s="52"/>
      <c r="V6" s="52"/>
      <c r="W6" s="9"/>
      <c r="X6" s="9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47" ht="21.5" thickBot="1" x14ac:dyDescent="0.55000000000000004">
      <c r="A7" s="47"/>
      <c r="B7" s="80"/>
      <c r="C7" s="19"/>
      <c r="D7" s="19"/>
      <c r="E7" s="19"/>
      <c r="F7" s="19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47" s="5" customFormat="1" ht="29.5" thickBot="1" x14ac:dyDescent="0.4">
      <c r="A8" s="175" t="s">
        <v>145</v>
      </c>
      <c r="B8" s="40" t="s">
        <v>139</v>
      </c>
      <c r="C8" s="40" t="s">
        <v>15</v>
      </c>
      <c r="D8" s="176"/>
      <c r="E8" s="176" t="s">
        <v>147</v>
      </c>
      <c r="F8" s="177" t="s">
        <v>16</v>
      </c>
      <c r="G8" s="178" t="s">
        <v>17</v>
      </c>
      <c r="H8" s="26" t="s">
        <v>133</v>
      </c>
      <c r="I8" s="27" t="s">
        <v>134</v>
      </c>
      <c r="J8" s="26" t="s">
        <v>135</v>
      </c>
      <c r="K8" s="27" t="s">
        <v>172</v>
      </c>
      <c r="L8" s="26" t="s">
        <v>173</v>
      </c>
      <c r="M8" s="27" t="s">
        <v>137</v>
      </c>
      <c r="N8" s="27" t="s">
        <v>252</v>
      </c>
      <c r="O8" s="27" t="s">
        <v>253</v>
      </c>
      <c r="P8" s="27" t="s">
        <v>254</v>
      </c>
      <c r="Q8" s="27" t="s">
        <v>255</v>
      </c>
      <c r="R8" s="27" t="s">
        <v>256</v>
      </c>
      <c r="S8" s="27" t="s">
        <v>441</v>
      </c>
      <c r="T8" s="26" t="s">
        <v>258</v>
      </c>
      <c r="U8" s="27" t="s">
        <v>259</v>
      </c>
      <c r="V8" s="27" t="s">
        <v>260</v>
      </c>
      <c r="W8" s="27" t="s">
        <v>442</v>
      </c>
      <c r="X8" s="26" t="s">
        <v>443</v>
      </c>
      <c r="Y8" s="27" t="s">
        <v>136</v>
      </c>
      <c r="Z8" s="27" t="s">
        <v>127</v>
      </c>
      <c r="AA8" s="27" t="s">
        <v>128</v>
      </c>
      <c r="AB8" s="27" t="s">
        <v>129</v>
      </c>
      <c r="AC8" s="27" t="s">
        <v>130</v>
      </c>
      <c r="AD8" s="27" t="s">
        <v>131</v>
      </c>
      <c r="AE8" s="27" t="s">
        <v>132</v>
      </c>
      <c r="AF8" s="26" t="s">
        <v>133</v>
      </c>
      <c r="AG8" s="27" t="s">
        <v>134</v>
      </c>
      <c r="AH8" s="27" t="s">
        <v>135</v>
      </c>
      <c r="AI8" s="12" t="s">
        <v>166</v>
      </c>
      <c r="AJ8" s="12" t="s">
        <v>167</v>
      </c>
    </row>
    <row r="9" spans="1:47" s="23" customFormat="1" ht="15" thickTop="1" x14ac:dyDescent="0.35">
      <c r="A9" s="182" t="s">
        <v>3</v>
      </c>
      <c r="B9" s="360" t="s">
        <v>80</v>
      </c>
      <c r="C9" s="183">
        <v>624254</v>
      </c>
      <c r="D9" s="184"/>
      <c r="E9" s="250">
        <f>C9+D9</f>
        <v>624254</v>
      </c>
      <c r="F9" s="251">
        <f>SUM(I9:AH9)</f>
        <v>514410.43</v>
      </c>
      <c r="G9" s="252">
        <f>E9-F9</f>
        <v>109843.57</v>
      </c>
      <c r="H9" s="239"/>
      <c r="I9" s="239"/>
      <c r="J9" s="239">
        <v>10406</v>
      </c>
      <c r="K9" s="239">
        <v>78155.710000000006</v>
      </c>
      <c r="L9" s="239">
        <v>53258</v>
      </c>
      <c r="M9" s="239">
        <v>66741.16</v>
      </c>
      <c r="N9" s="239">
        <v>76084.460000000006</v>
      </c>
      <c r="O9" s="239">
        <v>59329.05</v>
      </c>
      <c r="P9" s="239"/>
      <c r="Q9" s="239">
        <v>59576.75</v>
      </c>
      <c r="R9" s="239">
        <v>110859.3</v>
      </c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28"/>
      <c r="AJ9" s="228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s="23" customFormat="1" x14ac:dyDescent="0.35">
      <c r="A10" s="185" t="s">
        <v>5</v>
      </c>
      <c r="B10" s="361" t="s">
        <v>413</v>
      </c>
      <c r="C10" s="186">
        <v>117278</v>
      </c>
      <c r="D10" s="187"/>
      <c r="E10" s="253">
        <f t="shared" ref="E10:E31" si="0">C10+D10</f>
        <v>117278</v>
      </c>
      <c r="F10" s="254">
        <f t="shared" ref="F10:F31" si="1">SUM(I10:AH10)</f>
        <v>103094.29</v>
      </c>
      <c r="G10" s="255">
        <f t="shared" ref="G10:G31" si="2">E10-F10</f>
        <v>14183.710000000006</v>
      </c>
      <c r="H10" s="239"/>
      <c r="I10" s="239"/>
      <c r="J10" s="239"/>
      <c r="K10" s="239">
        <v>3190.01</v>
      </c>
      <c r="L10" s="239">
        <v>14161.74</v>
      </c>
      <c r="M10" s="239">
        <v>12639.81</v>
      </c>
      <c r="N10" s="239"/>
      <c r="O10" s="239">
        <f>14657.44+15780.78</f>
        <v>30438.22</v>
      </c>
      <c r="P10" s="239">
        <v>13611.67</v>
      </c>
      <c r="Q10" s="239"/>
      <c r="R10" s="239">
        <v>29052.84</v>
      </c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28"/>
      <c r="AJ10" s="228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s="23" customFormat="1" x14ac:dyDescent="0.35">
      <c r="A11" s="185" t="s">
        <v>74</v>
      </c>
      <c r="B11" s="361" t="s">
        <v>265</v>
      </c>
      <c r="C11" s="186">
        <v>354725</v>
      </c>
      <c r="D11" s="187"/>
      <c r="E11" s="253">
        <f t="shared" si="0"/>
        <v>354725</v>
      </c>
      <c r="F11" s="254">
        <f t="shared" si="1"/>
        <v>306264.12000000005</v>
      </c>
      <c r="G11" s="255">
        <f t="shared" si="2"/>
        <v>48460.879999999946</v>
      </c>
      <c r="H11" s="239"/>
      <c r="I11" s="239"/>
      <c r="J11" s="239"/>
      <c r="K11" s="239"/>
      <c r="L11" s="239"/>
      <c r="M11" s="239">
        <f>20765.75+26673.19+60061.3+35194.37+14187.51</f>
        <v>156882.12000000002</v>
      </c>
      <c r="N11" s="239">
        <v>29737.11</v>
      </c>
      <c r="O11" s="239"/>
      <c r="P11" s="239">
        <f>27592.24+33272.59</f>
        <v>60864.83</v>
      </c>
      <c r="Q11" s="239">
        <v>21727.360000000001</v>
      </c>
      <c r="R11" s="239">
        <v>37052.699999999997</v>
      </c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28"/>
      <c r="AJ11" s="228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s="23" customFormat="1" x14ac:dyDescent="0.35">
      <c r="A12" s="185" t="s">
        <v>29</v>
      </c>
      <c r="B12" s="361" t="s">
        <v>81</v>
      </c>
      <c r="C12" s="186">
        <v>186755</v>
      </c>
      <c r="D12" s="187"/>
      <c r="E12" s="253">
        <f t="shared" si="0"/>
        <v>186755</v>
      </c>
      <c r="F12" s="254">
        <f t="shared" si="1"/>
        <v>135759.70000000001</v>
      </c>
      <c r="G12" s="255">
        <f t="shared" si="2"/>
        <v>50995.299999999988</v>
      </c>
      <c r="H12" s="239"/>
      <c r="I12" s="239"/>
      <c r="J12" s="239"/>
      <c r="K12" s="239"/>
      <c r="L12" s="239">
        <v>40907.74</v>
      </c>
      <c r="M12" s="239"/>
      <c r="N12" s="239">
        <v>14615.18</v>
      </c>
      <c r="O12" s="239">
        <v>11151.61</v>
      </c>
      <c r="P12" s="239">
        <v>23077.95</v>
      </c>
      <c r="Q12" s="239">
        <v>23902.93</v>
      </c>
      <c r="R12" s="239">
        <v>22104.29</v>
      </c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28"/>
      <c r="AJ12" s="228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s="23" customFormat="1" x14ac:dyDescent="0.35">
      <c r="A13" s="185" t="s">
        <v>75</v>
      </c>
      <c r="B13" s="361" t="s">
        <v>414</v>
      </c>
      <c r="C13" s="186">
        <v>165126</v>
      </c>
      <c r="D13" s="187"/>
      <c r="E13" s="253">
        <f t="shared" si="0"/>
        <v>165126</v>
      </c>
      <c r="F13" s="254">
        <f t="shared" si="1"/>
        <v>86014.75</v>
      </c>
      <c r="G13" s="255">
        <f t="shared" si="2"/>
        <v>79111.25</v>
      </c>
      <c r="H13" s="239"/>
      <c r="I13" s="239"/>
      <c r="J13" s="239"/>
      <c r="K13" s="239">
        <v>9466</v>
      </c>
      <c r="L13" s="239"/>
      <c r="M13" s="239"/>
      <c r="N13" s="239"/>
      <c r="O13" s="239"/>
      <c r="P13" s="239"/>
      <c r="Q13" s="239">
        <f>34263.84+42284.91</f>
        <v>76548.75</v>
      </c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27"/>
      <c r="AJ13" s="227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s="23" customFormat="1" x14ac:dyDescent="0.35">
      <c r="A14" s="185" t="s">
        <v>6</v>
      </c>
      <c r="B14" s="361" t="s">
        <v>503</v>
      </c>
      <c r="C14" s="186">
        <v>137931</v>
      </c>
      <c r="D14" s="187"/>
      <c r="E14" s="253">
        <f t="shared" si="0"/>
        <v>137931</v>
      </c>
      <c r="F14" s="254">
        <f t="shared" si="1"/>
        <v>174112.5</v>
      </c>
      <c r="G14" s="255">
        <f t="shared" si="2"/>
        <v>-36181.5</v>
      </c>
      <c r="H14" s="239"/>
      <c r="I14" s="239"/>
      <c r="J14" s="239"/>
      <c r="K14" s="239">
        <v>24795.95</v>
      </c>
      <c r="L14" s="239"/>
      <c r="M14" s="239"/>
      <c r="N14" s="239">
        <v>48043.25</v>
      </c>
      <c r="O14" s="239"/>
      <c r="P14" s="239"/>
      <c r="Q14" s="239">
        <v>61273.3</v>
      </c>
      <c r="R14" s="239"/>
      <c r="S14" s="239">
        <v>40000</v>
      </c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s="23" customFormat="1" x14ac:dyDescent="0.35">
      <c r="A15" s="185" t="s">
        <v>30</v>
      </c>
      <c r="B15" s="361" t="s">
        <v>415</v>
      </c>
      <c r="C15" s="186">
        <v>106974</v>
      </c>
      <c r="D15" s="187"/>
      <c r="E15" s="253">
        <f t="shared" si="0"/>
        <v>106974</v>
      </c>
      <c r="F15" s="254">
        <f t="shared" si="1"/>
        <v>57974</v>
      </c>
      <c r="G15" s="255">
        <f t="shared" si="2"/>
        <v>49000</v>
      </c>
      <c r="H15" s="239"/>
      <c r="I15" s="239"/>
      <c r="J15" s="239"/>
      <c r="K15" s="239">
        <v>9279</v>
      </c>
      <c r="L15" s="239"/>
      <c r="M15" s="239"/>
      <c r="N15" s="239"/>
      <c r="O15" s="239">
        <v>25039</v>
      </c>
      <c r="P15" s="239"/>
      <c r="Q15" s="239"/>
      <c r="R15" s="239">
        <v>23656</v>
      </c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28"/>
      <c r="AJ15" s="228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s="23" customFormat="1" x14ac:dyDescent="0.35">
      <c r="A16" s="185" t="s">
        <v>31</v>
      </c>
      <c r="B16" s="361" t="s">
        <v>416</v>
      </c>
      <c r="C16" s="186">
        <v>361319</v>
      </c>
      <c r="D16" s="187"/>
      <c r="E16" s="253">
        <f t="shared" si="0"/>
        <v>361319</v>
      </c>
      <c r="F16" s="254">
        <f t="shared" si="1"/>
        <v>299191.08</v>
      </c>
      <c r="G16" s="255">
        <f t="shared" si="2"/>
        <v>62127.919999999984</v>
      </c>
      <c r="H16" s="239"/>
      <c r="I16" s="239"/>
      <c r="J16" s="239"/>
      <c r="K16" s="239">
        <v>32537</v>
      </c>
      <c r="L16" s="239">
        <f>35916.08+31854</f>
        <v>67770.080000000002</v>
      </c>
      <c r="M16" s="239">
        <v>34247</v>
      </c>
      <c r="N16" s="239">
        <v>32220</v>
      </c>
      <c r="O16" s="239"/>
      <c r="P16" s="239">
        <v>32451</v>
      </c>
      <c r="Q16" s="239">
        <f>27652+34632</f>
        <v>62284</v>
      </c>
      <c r="R16" s="239">
        <v>37682</v>
      </c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28"/>
      <c r="AJ16" s="228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s="23" customFormat="1" x14ac:dyDescent="0.35">
      <c r="A17" s="185" t="s">
        <v>68</v>
      </c>
      <c r="B17" s="361" t="s">
        <v>417</v>
      </c>
      <c r="C17" s="186">
        <v>106974</v>
      </c>
      <c r="D17" s="187"/>
      <c r="E17" s="253">
        <f t="shared" si="0"/>
        <v>106974</v>
      </c>
      <c r="F17" s="254">
        <f t="shared" si="1"/>
        <v>87304.12</v>
      </c>
      <c r="G17" s="255">
        <f t="shared" si="2"/>
        <v>19669.880000000005</v>
      </c>
      <c r="H17" s="239"/>
      <c r="I17" s="239"/>
      <c r="J17" s="239"/>
      <c r="K17" s="239"/>
      <c r="L17" s="239">
        <v>33339.68</v>
      </c>
      <c r="M17" s="239">
        <v>8560.5400000000009</v>
      </c>
      <c r="N17" s="239"/>
      <c r="O17" s="239">
        <f>8848.78+8048.78</f>
        <v>16897.560000000001</v>
      </c>
      <c r="P17" s="239">
        <v>8848.7800000000007</v>
      </c>
      <c r="Q17" s="239">
        <v>9478.7800000000007</v>
      </c>
      <c r="R17" s="239">
        <v>10178.780000000001</v>
      </c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28"/>
      <c r="AJ17" s="228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s="23" customFormat="1" x14ac:dyDescent="0.35">
      <c r="A18" s="185" t="s">
        <v>357</v>
      </c>
      <c r="B18" s="361" t="s">
        <v>358</v>
      </c>
      <c r="C18" s="186">
        <v>106974</v>
      </c>
      <c r="D18" s="187"/>
      <c r="E18" s="253">
        <f t="shared" si="0"/>
        <v>106974</v>
      </c>
      <c r="F18" s="254">
        <f t="shared" si="1"/>
        <v>49352.98</v>
      </c>
      <c r="G18" s="255">
        <f t="shared" si="2"/>
        <v>57621.02</v>
      </c>
      <c r="H18" s="239"/>
      <c r="I18" s="239"/>
      <c r="J18" s="239"/>
      <c r="K18" s="239">
        <v>5040.6000000000004</v>
      </c>
      <c r="L18" s="239"/>
      <c r="M18" s="239"/>
      <c r="N18" s="239">
        <v>28980.06</v>
      </c>
      <c r="O18" s="239"/>
      <c r="P18" s="239"/>
      <c r="Q18" s="239">
        <v>15332.32</v>
      </c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27"/>
      <c r="AJ18" s="227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s="23" customFormat="1" x14ac:dyDescent="0.35">
      <c r="A19" s="185" t="s">
        <v>140</v>
      </c>
      <c r="B19" s="361" t="s">
        <v>502</v>
      </c>
      <c r="C19" s="186">
        <v>338056</v>
      </c>
      <c r="D19" s="187"/>
      <c r="E19" s="253">
        <f t="shared" si="0"/>
        <v>338056</v>
      </c>
      <c r="F19" s="254">
        <f t="shared" si="1"/>
        <v>225787.46000000002</v>
      </c>
      <c r="G19" s="255">
        <f t="shared" si="2"/>
        <v>112268.53999999998</v>
      </c>
      <c r="H19" s="239"/>
      <c r="I19" s="239"/>
      <c r="J19" s="239"/>
      <c r="K19" s="239">
        <v>79234.070000000007</v>
      </c>
      <c r="L19" s="239"/>
      <c r="M19" s="239"/>
      <c r="N19" s="239">
        <v>70820.27</v>
      </c>
      <c r="O19" s="239"/>
      <c r="P19" s="239"/>
      <c r="Q19" s="239">
        <v>75733.119999999995</v>
      </c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28"/>
      <c r="AJ19" s="228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s="23" customFormat="1" ht="43.5" x14ac:dyDescent="0.35">
      <c r="A20" s="185" t="s">
        <v>141</v>
      </c>
      <c r="B20" s="361" t="s">
        <v>263</v>
      </c>
      <c r="C20" s="186">
        <v>353188</v>
      </c>
      <c r="D20" s="187"/>
      <c r="E20" s="253">
        <f t="shared" si="0"/>
        <v>353188</v>
      </c>
      <c r="F20" s="254">
        <f t="shared" si="1"/>
        <v>72117.14</v>
      </c>
      <c r="G20" s="255">
        <f t="shared" si="2"/>
        <v>281070.86</v>
      </c>
      <c r="H20" s="239"/>
      <c r="I20" s="239"/>
      <c r="J20" s="239"/>
      <c r="K20" s="239"/>
      <c r="L20" s="239"/>
      <c r="M20" s="239"/>
      <c r="N20" s="239"/>
      <c r="O20" s="239">
        <v>72117.14</v>
      </c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28"/>
      <c r="AJ20" s="228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s="23" customFormat="1" x14ac:dyDescent="0.35">
      <c r="A21" s="185" t="s">
        <v>356</v>
      </c>
      <c r="B21" s="361" t="s">
        <v>504</v>
      </c>
      <c r="C21" s="186">
        <v>100000</v>
      </c>
      <c r="D21" s="187"/>
      <c r="E21" s="253">
        <f t="shared" si="0"/>
        <v>100000</v>
      </c>
      <c r="F21" s="254">
        <f t="shared" si="1"/>
        <v>81951.63</v>
      </c>
      <c r="G21" s="255">
        <f t="shared" si="2"/>
        <v>18048.369999999995</v>
      </c>
      <c r="H21" s="239"/>
      <c r="I21" s="239"/>
      <c r="J21" s="239">
        <v>14107.13</v>
      </c>
      <c r="K21" s="239"/>
      <c r="L21" s="239">
        <v>29214.65</v>
      </c>
      <c r="M21" s="239"/>
      <c r="N21" s="239">
        <v>15986.07</v>
      </c>
      <c r="O21" s="239">
        <v>7636.95</v>
      </c>
      <c r="P21" s="239"/>
      <c r="Q21" s="239">
        <v>15006.83</v>
      </c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28"/>
      <c r="AJ21" s="228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s="23" customFormat="1" x14ac:dyDescent="0.35">
      <c r="A22" s="185" t="s">
        <v>7</v>
      </c>
      <c r="B22" s="361" t="s">
        <v>8</v>
      </c>
      <c r="C22" s="186">
        <v>150191</v>
      </c>
      <c r="D22" s="187"/>
      <c r="E22" s="253">
        <f t="shared" si="0"/>
        <v>150191</v>
      </c>
      <c r="F22" s="254">
        <f t="shared" si="1"/>
        <v>98968.13</v>
      </c>
      <c r="G22" s="255">
        <f t="shared" si="2"/>
        <v>51222.869999999995</v>
      </c>
      <c r="H22" s="239"/>
      <c r="I22" s="239"/>
      <c r="J22" s="239"/>
      <c r="K22" s="239">
        <v>16108.8</v>
      </c>
      <c r="L22" s="239"/>
      <c r="M22" s="239"/>
      <c r="N22" s="239">
        <v>40571.370000000003</v>
      </c>
      <c r="O22" s="239"/>
      <c r="P22" s="239"/>
      <c r="Q22" s="239">
        <v>42287.96</v>
      </c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28"/>
      <c r="AJ22" s="228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s="23" customFormat="1" x14ac:dyDescent="0.35">
      <c r="A23" s="185" t="s">
        <v>69</v>
      </c>
      <c r="B23" s="361" t="s">
        <v>76</v>
      </c>
      <c r="C23" s="186">
        <v>236480</v>
      </c>
      <c r="D23" s="187"/>
      <c r="E23" s="253">
        <f t="shared" si="0"/>
        <v>236480</v>
      </c>
      <c r="F23" s="254">
        <f t="shared" si="1"/>
        <v>212783.16</v>
      </c>
      <c r="G23" s="255">
        <f t="shared" si="2"/>
        <v>23696.839999999997</v>
      </c>
      <c r="H23" s="239"/>
      <c r="I23" s="239"/>
      <c r="J23" s="239">
        <v>13365.98</v>
      </c>
      <c r="K23" s="239"/>
      <c r="L23" s="239">
        <f>3800.24+52162.56</f>
        <v>55962.799999999996</v>
      </c>
      <c r="M23" s="239">
        <v>27601.43</v>
      </c>
      <c r="N23" s="239">
        <v>29245.56</v>
      </c>
      <c r="O23" s="239">
        <v>6562.23</v>
      </c>
      <c r="P23" s="239"/>
      <c r="Q23" s="239">
        <f>25007.11+30107.99</f>
        <v>55115.100000000006</v>
      </c>
      <c r="R23" s="239">
        <v>24930.06</v>
      </c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27"/>
      <c r="AJ23" s="227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s="23" customFormat="1" x14ac:dyDescent="0.35">
      <c r="A24" s="185" t="s">
        <v>9</v>
      </c>
      <c r="B24" s="361" t="s">
        <v>77</v>
      </c>
      <c r="C24" s="186">
        <v>287370</v>
      </c>
      <c r="D24" s="187"/>
      <c r="E24" s="253">
        <f t="shared" si="0"/>
        <v>287370</v>
      </c>
      <c r="F24" s="254">
        <f t="shared" si="1"/>
        <v>168042.64</v>
      </c>
      <c r="G24" s="255">
        <f t="shared" si="2"/>
        <v>119327.35999999999</v>
      </c>
      <c r="H24" s="239"/>
      <c r="I24" s="239"/>
      <c r="J24" s="239">
        <v>5233.4799999999996</v>
      </c>
      <c r="K24" s="239">
        <v>9684.01</v>
      </c>
      <c r="L24" s="239">
        <v>16887.34</v>
      </c>
      <c r="M24" s="239">
        <v>23061.24</v>
      </c>
      <c r="N24" s="239">
        <f>17955.59+18736.89</f>
        <v>36692.479999999996</v>
      </c>
      <c r="O24" s="239"/>
      <c r="P24" s="239">
        <v>11950.96</v>
      </c>
      <c r="Q24" s="239">
        <v>19845.18</v>
      </c>
      <c r="R24" s="239">
        <v>44687.95</v>
      </c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27"/>
      <c r="AJ24" s="227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23" customFormat="1" x14ac:dyDescent="0.35">
      <c r="A25" s="185" t="s">
        <v>10</v>
      </c>
      <c r="B25" s="361" t="s">
        <v>418</v>
      </c>
      <c r="C25" s="186">
        <v>614420</v>
      </c>
      <c r="D25" s="187"/>
      <c r="E25" s="253">
        <f t="shared" si="0"/>
        <v>614420</v>
      </c>
      <c r="F25" s="254">
        <f t="shared" si="1"/>
        <v>507210</v>
      </c>
      <c r="G25" s="255">
        <f t="shared" si="2"/>
        <v>107210</v>
      </c>
      <c r="H25" s="239"/>
      <c r="I25" s="239"/>
      <c r="J25" s="239">
        <v>105000</v>
      </c>
      <c r="K25" s="239"/>
      <c r="L25" s="239">
        <v>100000</v>
      </c>
      <c r="M25" s="239">
        <v>50000</v>
      </c>
      <c r="N25" s="239">
        <v>45000</v>
      </c>
      <c r="O25" s="239">
        <v>45000</v>
      </c>
      <c r="P25" s="239">
        <v>50000</v>
      </c>
      <c r="Q25" s="239">
        <v>58605</v>
      </c>
      <c r="R25" s="239">
        <v>53605</v>
      </c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28"/>
      <c r="AJ25" s="228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s="23" customFormat="1" x14ac:dyDescent="0.35">
      <c r="A26" s="185" t="s">
        <v>11</v>
      </c>
      <c r="B26" s="361" t="s">
        <v>12</v>
      </c>
      <c r="C26" s="186">
        <v>135175</v>
      </c>
      <c r="D26" s="187"/>
      <c r="E26" s="253">
        <f t="shared" si="0"/>
        <v>135175</v>
      </c>
      <c r="F26" s="254">
        <f t="shared" si="1"/>
        <v>0</v>
      </c>
      <c r="G26" s="255">
        <f t="shared" si="2"/>
        <v>135175</v>
      </c>
      <c r="H26" s="239"/>
      <c r="I26" s="239"/>
      <c r="J26" s="239"/>
      <c r="K26" s="239"/>
      <c r="L26" s="239"/>
      <c r="M26" s="6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28"/>
      <c r="AJ26" s="228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s="23" customFormat="1" x14ac:dyDescent="0.35">
      <c r="A27" s="185" t="s">
        <v>70</v>
      </c>
      <c r="B27" s="361" t="s">
        <v>419</v>
      </c>
      <c r="C27" s="186">
        <v>106974</v>
      </c>
      <c r="D27" s="187"/>
      <c r="E27" s="253">
        <f t="shared" si="0"/>
        <v>106974</v>
      </c>
      <c r="F27" s="254">
        <f t="shared" si="1"/>
        <v>88679.39</v>
      </c>
      <c r="G27" s="255">
        <f t="shared" si="2"/>
        <v>18294.61</v>
      </c>
      <c r="H27" s="239"/>
      <c r="I27" s="239"/>
      <c r="J27" s="239">
        <v>5576.85</v>
      </c>
      <c r="K27" s="239">
        <v>11230.58</v>
      </c>
      <c r="L27" s="239"/>
      <c r="M27" s="239">
        <v>24603.11</v>
      </c>
      <c r="N27" s="239"/>
      <c r="O27" s="239">
        <f>11594.26+15240.41</f>
        <v>26834.67</v>
      </c>
      <c r="P27" s="239"/>
      <c r="Q27" s="239">
        <v>16230.3</v>
      </c>
      <c r="R27" s="239">
        <v>4203.88</v>
      </c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28"/>
      <c r="AJ27" s="228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s="23" customFormat="1" x14ac:dyDescent="0.35">
      <c r="A28" s="185" t="s">
        <v>71</v>
      </c>
      <c r="B28" s="361" t="s">
        <v>262</v>
      </c>
      <c r="C28" s="186">
        <v>106974</v>
      </c>
      <c r="D28" s="187"/>
      <c r="E28" s="253">
        <f t="shared" si="0"/>
        <v>106974</v>
      </c>
      <c r="F28" s="254">
        <f>SUM(I28:AH28)</f>
        <v>106875.66</v>
      </c>
      <c r="G28" s="255">
        <f t="shared" si="2"/>
        <v>98.339999999996508</v>
      </c>
      <c r="H28" s="239"/>
      <c r="I28" s="239"/>
      <c r="J28" s="239">
        <v>15067.73</v>
      </c>
      <c r="K28" s="239">
        <v>12005.97</v>
      </c>
      <c r="L28" s="239">
        <v>6168.58</v>
      </c>
      <c r="M28" s="239">
        <v>11452.16</v>
      </c>
      <c r="N28" s="239">
        <v>11452.16</v>
      </c>
      <c r="O28" s="239">
        <v>5125.6899999999996</v>
      </c>
      <c r="P28" s="239">
        <v>18996.7</v>
      </c>
      <c r="Q28" s="239">
        <v>8461.98</v>
      </c>
      <c r="R28" s="239">
        <v>18144.689999999999</v>
      </c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28"/>
      <c r="AJ28" s="228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s="23" customFormat="1" x14ac:dyDescent="0.35">
      <c r="A29" s="185" t="s">
        <v>72</v>
      </c>
      <c r="B29" s="361" t="s">
        <v>78</v>
      </c>
      <c r="C29" s="186">
        <v>258620</v>
      </c>
      <c r="D29" s="187"/>
      <c r="E29" s="253">
        <f t="shared" si="0"/>
        <v>258620</v>
      </c>
      <c r="F29" s="254">
        <f t="shared" si="1"/>
        <v>120880.54000000001</v>
      </c>
      <c r="G29" s="255">
        <f t="shared" si="2"/>
        <v>137739.46</v>
      </c>
      <c r="H29" s="239"/>
      <c r="I29" s="6"/>
      <c r="J29" s="239"/>
      <c r="K29" s="239"/>
      <c r="L29" s="239">
        <v>58686.41</v>
      </c>
      <c r="M29" s="239"/>
      <c r="N29" s="239"/>
      <c r="O29" s="239">
        <v>62194.13</v>
      </c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28"/>
      <c r="AJ29" s="228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s="23" customFormat="1" x14ac:dyDescent="0.35">
      <c r="A30" s="185" t="s">
        <v>13</v>
      </c>
      <c r="B30" s="361" t="s">
        <v>264</v>
      </c>
      <c r="C30" s="186">
        <v>248183</v>
      </c>
      <c r="D30" s="187"/>
      <c r="E30" s="253">
        <f t="shared" si="0"/>
        <v>248183</v>
      </c>
      <c r="F30" s="254">
        <f t="shared" si="1"/>
        <v>149311.22</v>
      </c>
      <c r="G30" s="255">
        <f t="shared" si="2"/>
        <v>98871.78</v>
      </c>
      <c r="H30" s="239"/>
      <c r="I30" s="239"/>
      <c r="J30" s="239">
        <v>17425</v>
      </c>
      <c r="K30" s="239"/>
      <c r="L30" s="239"/>
      <c r="M30" s="239">
        <v>21010</v>
      </c>
      <c r="N30" s="239">
        <v>18628</v>
      </c>
      <c r="O30" s="239">
        <v>21603</v>
      </c>
      <c r="P30" s="239">
        <v>27912</v>
      </c>
      <c r="Q30" s="239">
        <v>20531.05</v>
      </c>
      <c r="R30" s="239">
        <v>22202.17</v>
      </c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27"/>
      <c r="AJ30" s="227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s="23" customFormat="1" x14ac:dyDescent="0.35">
      <c r="A31" s="185" t="s">
        <v>73</v>
      </c>
      <c r="B31" s="361" t="s">
        <v>180</v>
      </c>
      <c r="C31" s="186">
        <v>200412</v>
      </c>
      <c r="D31" s="187"/>
      <c r="E31" s="253">
        <f t="shared" si="0"/>
        <v>200412</v>
      </c>
      <c r="F31" s="254">
        <f t="shared" si="1"/>
        <v>130472.38</v>
      </c>
      <c r="G31" s="255">
        <f t="shared" si="2"/>
        <v>69939.62</v>
      </c>
      <c r="H31" s="239"/>
      <c r="I31" s="239"/>
      <c r="J31" s="239"/>
      <c r="K31" s="239"/>
      <c r="L31" s="239">
        <f>38935.56+13968.66</f>
        <v>52904.22</v>
      </c>
      <c r="M31" s="239">
        <v>24161.82</v>
      </c>
      <c r="N31" s="239">
        <v>15821.81</v>
      </c>
      <c r="O31" s="239">
        <v>14205.14</v>
      </c>
      <c r="P31" s="239">
        <v>23379.39</v>
      </c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28"/>
      <c r="AJ31" s="228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s="160" customFormat="1" ht="15" thickBot="1" x14ac:dyDescent="0.4">
      <c r="A32" s="179"/>
      <c r="B32" s="180"/>
      <c r="C32" s="181"/>
      <c r="D32" s="181"/>
      <c r="E32" s="256"/>
      <c r="F32" s="256"/>
      <c r="G32" s="256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</row>
    <row r="33" spans="1:47" s="24" customFormat="1" ht="15" thickBot="1" x14ac:dyDescent="0.4">
      <c r="A33" s="72" t="s">
        <v>46</v>
      </c>
      <c r="B33" s="173"/>
      <c r="C33" s="73">
        <f>SUM(C9:C31)</f>
        <v>5404353</v>
      </c>
      <c r="D33" s="73">
        <v>0</v>
      </c>
      <c r="E33" s="242">
        <f>SUM(E9:E31)</f>
        <v>5404353</v>
      </c>
      <c r="F33" s="242">
        <f>SUM(F9:F31)</f>
        <v>3776557.3200000008</v>
      </c>
      <c r="G33" s="242">
        <f t="shared" ref="G33:AJ33" si="3">SUM(G9:G31)</f>
        <v>1627795.6800000002</v>
      </c>
      <c r="H33" s="242">
        <f t="shared" si="3"/>
        <v>0</v>
      </c>
      <c r="I33" s="242">
        <f t="shared" si="3"/>
        <v>0</v>
      </c>
      <c r="J33" s="242">
        <f t="shared" si="3"/>
        <v>186182.17</v>
      </c>
      <c r="K33" s="242">
        <f t="shared" si="3"/>
        <v>290727.69999999995</v>
      </c>
      <c r="L33" s="242">
        <f t="shared" si="3"/>
        <v>529261.24</v>
      </c>
      <c r="M33" s="242">
        <f t="shared" si="3"/>
        <v>460960.38999999996</v>
      </c>
      <c r="N33" s="242">
        <f t="shared" si="3"/>
        <v>513897.77999999997</v>
      </c>
      <c r="O33" s="242">
        <f t="shared" si="3"/>
        <v>404134.39</v>
      </c>
      <c r="P33" s="242">
        <f t="shared" si="3"/>
        <v>271093.28000000003</v>
      </c>
      <c r="Q33" s="242">
        <f t="shared" si="3"/>
        <v>641940.7100000002</v>
      </c>
      <c r="R33" s="242">
        <f t="shared" si="3"/>
        <v>438359.66000000003</v>
      </c>
      <c r="S33" s="242">
        <f t="shared" si="3"/>
        <v>40000</v>
      </c>
      <c r="T33" s="242">
        <f t="shared" si="3"/>
        <v>0</v>
      </c>
      <c r="U33" s="242">
        <f t="shared" si="3"/>
        <v>0</v>
      </c>
      <c r="V33" s="242">
        <f t="shared" si="3"/>
        <v>0</v>
      </c>
      <c r="W33" s="242">
        <f t="shared" si="3"/>
        <v>0</v>
      </c>
      <c r="X33" s="242">
        <f t="shared" si="3"/>
        <v>0</v>
      </c>
      <c r="Y33" s="242">
        <f t="shared" si="3"/>
        <v>0</v>
      </c>
      <c r="Z33" s="242">
        <f t="shared" si="3"/>
        <v>0</v>
      </c>
      <c r="AA33" s="242">
        <f t="shared" si="3"/>
        <v>0</v>
      </c>
      <c r="AB33" s="242">
        <f t="shared" si="3"/>
        <v>0</v>
      </c>
      <c r="AC33" s="242">
        <f t="shared" si="3"/>
        <v>0</v>
      </c>
      <c r="AD33" s="242">
        <f t="shared" si="3"/>
        <v>0</v>
      </c>
      <c r="AE33" s="242">
        <f t="shared" si="3"/>
        <v>0</v>
      </c>
      <c r="AF33" s="242">
        <f t="shared" si="3"/>
        <v>0</v>
      </c>
      <c r="AG33" s="242">
        <f t="shared" si="3"/>
        <v>0</v>
      </c>
      <c r="AH33" s="242">
        <f t="shared" si="3"/>
        <v>0</v>
      </c>
      <c r="AI33" s="242">
        <f t="shared" si="3"/>
        <v>0</v>
      </c>
      <c r="AJ33" s="242">
        <f t="shared" si="3"/>
        <v>0</v>
      </c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</row>
    <row r="34" spans="1:47" x14ac:dyDescent="0.35">
      <c r="C34" s="31"/>
      <c r="D34" s="31"/>
      <c r="E34" s="257"/>
      <c r="F34" s="6"/>
      <c r="G34" s="6"/>
      <c r="H34" s="7"/>
      <c r="I34" s="7"/>
      <c r="J34" s="7"/>
      <c r="K34" s="7"/>
      <c r="L34" s="7"/>
      <c r="M34" s="7"/>
      <c r="N34" s="7"/>
      <c r="O34" s="7"/>
      <c r="P34" s="7"/>
      <c r="Q34" s="7">
        <v>641940.71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228"/>
      <c r="AJ34" s="228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x14ac:dyDescent="0.35">
      <c r="C35" s="31"/>
      <c r="D35" s="31"/>
      <c r="E35" s="31"/>
      <c r="F35" s="6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228"/>
      <c r="AJ35" s="228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x14ac:dyDescent="0.35">
      <c r="C36" s="31"/>
      <c r="D36" s="31"/>
      <c r="E36" s="31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228"/>
      <c r="AJ36" s="228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x14ac:dyDescent="0.35">
      <c r="C37" s="31"/>
      <c r="D37" s="31"/>
      <c r="E37" s="31"/>
      <c r="F37" s="6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228"/>
      <c r="AJ37" s="228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x14ac:dyDescent="0.35">
      <c r="C38" s="31"/>
      <c r="D38" s="31"/>
      <c r="E38" s="189"/>
      <c r="F38" s="6"/>
      <c r="G38" s="6"/>
      <c r="H38" s="7"/>
      <c r="I38" s="7"/>
      <c r="J38" s="7"/>
      <c r="K38" s="7"/>
      <c r="L38" s="7"/>
      <c r="M38" s="7">
        <f>48626.92-G23</f>
        <v>24930.080000000002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228"/>
      <c r="AJ38" s="228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x14ac:dyDescent="0.35">
      <c r="F39" s="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228"/>
      <c r="AJ39" s="228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x14ac:dyDescent="0.35">
      <c r="F40" s="6"/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228"/>
      <c r="AJ40" s="228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x14ac:dyDescent="0.35">
      <c r="F41" s="6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228"/>
      <c r="AJ41" s="228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7" x14ac:dyDescent="0.35">
      <c r="F42" s="6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30"/>
      <c r="AJ42" s="30"/>
    </row>
    <row r="43" spans="1:47" x14ac:dyDescent="0.35">
      <c r="F43" s="6"/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30"/>
      <c r="AJ43" s="30"/>
    </row>
    <row r="44" spans="1:47" x14ac:dyDescent="0.35">
      <c r="F44" s="6"/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30"/>
      <c r="AJ44" s="30"/>
    </row>
    <row r="45" spans="1:47" x14ac:dyDescent="0.35"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30"/>
      <c r="AJ45" s="30"/>
    </row>
    <row r="46" spans="1:47" x14ac:dyDescent="0.35">
      <c r="F46" s="6"/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30"/>
      <c r="AJ46" s="30"/>
    </row>
    <row r="47" spans="1:47" x14ac:dyDescent="0.35">
      <c r="F47" s="6"/>
      <c r="G47" s="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47" x14ac:dyDescent="0.35">
      <c r="F48" s="6"/>
      <c r="G48" s="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6:34" x14ac:dyDescent="0.35">
      <c r="F49" s="6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6:34" x14ac:dyDescent="0.35">
      <c r="F50" s="6"/>
      <c r="G50" s="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6:34" x14ac:dyDescent="0.35">
      <c r="F51" s="6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6:34" x14ac:dyDescent="0.35">
      <c r="F52" s="6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6:34" x14ac:dyDescent="0.35">
      <c r="F53" s="6"/>
      <c r="G53" s="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6:34" x14ac:dyDescent="0.35">
      <c r="F54" s="6"/>
      <c r="G54" s="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6:34" x14ac:dyDescent="0.35">
      <c r="F55" s="6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6:34" x14ac:dyDescent="0.35">
      <c r="F56" s="6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6:34" x14ac:dyDescent="0.35">
      <c r="F57" s="6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6:34" x14ac:dyDescent="0.35">
      <c r="F58" s="6"/>
      <c r="G58" s="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6:34" x14ac:dyDescent="0.35">
      <c r="F59" s="6"/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6:34" x14ac:dyDescent="0.35"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6:34" x14ac:dyDescent="0.35">
      <c r="F61" s="6"/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6:34" x14ac:dyDescent="0.35">
      <c r="F62" s="6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6:34" x14ac:dyDescent="0.35">
      <c r="F63" s="6"/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6:34" x14ac:dyDescent="0.35">
      <c r="F64" s="6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6:34" x14ac:dyDescent="0.35">
      <c r="F65" s="6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6:34" x14ac:dyDescent="0.35">
      <c r="F66" s="6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6:34" x14ac:dyDescent="0.35">
      <c r="F67" s="6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6:34" x14ac:dyDescent="0.35">
      <c r="F68" s="6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6:34" x14ac:dyDescent="0.35"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6:34" x14ac:dyDescent="0.35">
      <c r="F70" s="6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6:34" x14ac:dyDescent="0.35">
      <c r="F71" s="6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6:34" x14ac:dyDescent="0.35">
      <c r="F72" s="6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6:34" x14ac:dyDescent="0.35">
      <c r="F73" s="6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6:34" x14ac:dyDescent="0.35">
      <c r="F74" s="6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6:34" x14ac:dyDescent="0.35">
      <c r="F75" s="6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6:34" x14ac:dyDescent="0.35">
      <c r="F76" s="6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6:34" x14ac:dyDescent="0.35">
      <c r="F77" s="6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6:34" x14ac:dyDescent="0.35">
      <c r="F78" s="6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6:34" x14ac:dyDescent="0.35">
      <c r="F79" s="6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6:34" x14ac:dyDescent="0.35">
      <c r="F80" s="6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6:34" x14ac:dyDescent="0.35">
      <c r="F81" s="6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6:34" x14ac:dyDescent="0.35">
      <c r="F82" s="6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6:34" x14ac:dyDescent="0.35">
      <c r="F83" s="6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6:34" x14ac:dyDescent="0.35">
      <c r="F84" s="6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6:34" x14ac:dyDescent="0.35">
      <c r="F85" s="6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6:34" x14ac:dyDescent="0.35">
      <c r="F86" s="6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6:34" x14ac:dyDescent="0.35">
      <c r="F87" s="6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6:34" x14ac:dyDescent="0.35">
      <c r="F88" s="6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6:34" x14ac:dyDescent="0.35">
      <c r="F89" s="6"/>
      <c r="G89" s="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6:34" x14ac:dyDescent="0.35">
      <c r="F90" s="6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6:34" x14ac:dyDescent="0.35">
      <c r="F91" s="6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6:34" x14ac:dyDescent="0.35">
      <c r="F92" s="6"/>
      <c r="G92" s="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6:34" x14ac:dyDescent="0.35">
      <c r="F93" s="6"/>
      <c r="G93" s="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6:34" x14ac:dyDescent="0.35"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6:34" x14ac:dyDescent="0.35"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6:34" x14ac:dyDescent="0.35">
      <c r="F96" s="6"/>
      <c r="G96" s="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6:34" x14ac:dyDescent="0.35">
      <c r="F97" s="6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6:34" x14ac:dyDescent="0.35">
      <c r="F98" s="6"/>
      <c r="G98" s="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6:34" x14ac:dyDescent="0.35">
      <c r="F99" s="6"/>
      <c r="G99" s="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6:34" x14ac:dyDescent="0.35">
      <c r="F100" s="6"/>
      <c r="G100" s="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6:34" x14ac:dyDescent="0.35">
      <c r="F101" s="6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6:34" x14ac:dyDescent="0.35">
      <c r="F102" s="6"/>
      <c r="G102" s="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6:34" x14ac:dyDescent="0.35">
      <c r="F103" s="6"/>
      <c r="G103" s="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6:34" x14ac:dyDescent="0.35">
      <c r="F104" s="6"/>
      <c r="G104" s="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6:34" x14ac:dyDescent="0.35">
      <c r="F105" s="6"/>
      <c r="G105" s="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6:34" x14ac:dyDescent="0.35">
      <c r="F106" s="6"/>
      <c r="G106" s="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6:34" x14ac:dyDescent="0.35">
      <c r="F107" s="6"/>
      <c r="G107" s="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6:34" x14ac:dyDescent="0.35">
      <c r="F108" s="6"/>
      <c r="G108" s="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6:34" x14ac:dyDescent="0.35">
      <c r="F109" s="6"/>
      <c r="G109" s="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6:34" x14ac:dyDescent="0.35">
      <c r="F110" s="6"/>
      <c r="G110" s="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6:34" x14ac:dyDescent="0.35"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6:34" x14ac:dyDescent="0.35">
      <c r="F112" s="6"/>
      <c r="G112" s="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6:34" x14ac:dyDescent="0.35">
      <c r="F113" s="6"/>
      <c r="G113" s="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6:34" x14ac:dyDescent="0.35">
      <c r="F114" s="6"/>
      <c r="G114" s="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6:34" x14ac:dyDescent="0.35">
      <c r="F115" s="6"/>
      <c r="G115" s="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6:34" x14ac:dyDescent="0.35">
      <c r="F116" s="6"/>
      <c r="G116" s="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6:34" x14ac:dyDescent="0.35">
      <c r="F117" s="6"/>
      <c r="G117" s="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6:34" x14ac:dyDescent="0.35">
      <c r="F118" s="6"/>
      <c r="G118" s="6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6:34" x14ac:dyDescent="0.35">
      <c r="F119" s="6"/>
      <c r="G119" s="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6:34" x14ac:dyDescent="0.35">
      <c r="F120" s="6"/>
      <c r="G120" s="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6:34" x14ac:dyDescent="0.35">
      <c r="F121" s="6"/>
      <c r="G121" s="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6:34" x14ac:dyDescent="0.35">
      <c r="F122" s="6"/>
      <c r="G122" s="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6:34" x14ac:dyDescent="0.35">
      <c r="F123" s="6"/>
      <c r="G123" s="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6:34" x14ac:dyDescent="0.35">
      <c r="F124" s="6"/>
      <c r="G124" s="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6:34" x14ac:dyDescent="0.35">
      <c r="F125" s="6"/>
      <c r="G125" s="6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6:34" x14ac:dyDescent="0.35">
      <c r="F126" s="6"/>
      <c r="G126" s="6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6:34" x14ac:dyDescent="0.35">
      <c r="F127" s="6"/>
      <c r="G127" s="6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6:34" x14ac:dyDescent="0.35">
      <c r="F128" s="6"/>
      <c r="G128" s="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6:34" x14ac:dyDescent="0.35">
      <c r="F129" s="6"/>
      <c r="G129" s="6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6:34" x14ac:dyDescent="0.35">
      <c r="F130" s="6"/>
      <c r="G130" s="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6:34" x14ac:dyDescent="0.35">
      <c r="F131" s="6"/>
      <c r="G131" s="6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6:34" x14ac:dyDescent="0.35">
      <c r="F132" s="6"/>
      <c r="G132" s="6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6:34" x14ac:dyDescent="0.35">
      <c r="F133" s="6"/>
      <c r="G133" s="6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6:34" x14ac:dyDescent="0.35">
      <c r="F134" s="6"/>
      <c r="G134" s="6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6:34" x14ac:dyDescent="0.35">
      <c r="F135" s="6"/>
      <c r="G135" s="6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6:34" x14ac:dyDescent="0.35">
      <c r="F136" s="6"/>
      <c r="G136" s="6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6:34" x14ac:dyDescent="0.35">
      <c r="F137" s="6"/>
      <c r="G137" s="6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6:34" x14ac:dyDescent="0.35">
      <c r="F138" s="6"/>
      <c r="G138" s="6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6:34" x14ac:dyDescent="0.35">
      <c r="F139" s="6"/>
      <c r="G139" s="6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6:34" x14ac:dyDescent="0.35">
      <c r="F140" s="6"/>
      <c r="G140" s="6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</sheetData>
  <pageMargins left="0.1" right="0.1" top="0.1" bottom="0.1" header="0.3" footer="0.3"/>
  <pageSetup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6">
    <tabColor theme="2"/>
  </sheetPr>
  <dimension ref="A1:AB43"/>
  <sheetViews>
    <sheetView zoomScale="115" zoomScaleNormal="115" workbookViewId="0">
      <pane xSplit="7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H9" sqref="H9:M15"/>
    </sheetView>
  </sheetViews>
  <sheetFormatPr defaultColWidth="8.7265625" defaultRowHeight="14.5" x14ac:dyDescent="0.35"/>
  <cols>
    <col min="1" max="1" width="8.7265625" style="65"/>
    <col min="2" max="2" width="31.54296875" style="44" customWidth="1"/>
    <col min="3" max="3" width="11.26953125" style="65" customWidth="1"/>
    <col min="4" max="4" width="30.54296875" style="44" customWidth="1"/>
    <col min="5" max="7" width="14.7265625" style="45" customWidth="1"/>
    <col min="8" max="26" width="15.7265625" style="44" customWidth="1"/>
    <col min="27" max="28" width="21.26953125" style="44" customWidth="1"/>
    <col min="29" max="16384" width="8.7265625" style="44"/>
  </cols>
  <sheetData>
    <row r="1" spans="1:28" s="45" customFormat="1" ht="21" x14ac:dyDescent="0.5">
      <c r="A1" s="62" t="s">
        <v>0</v>
      </c>
      <c r="B1" s="53"/>
      <c r="C1" s="66" t="s">
        <v>214</v>
      </c>
      <c r="D1" s="50"/>
      <c r="E1" s="50"/>
      <c r="F1" s="50"/>
      <c r="G1" s="54"/>
      <c r="H1" s="53"/>
      <c r="I1" s="48"/>
      <c r="J1" s="66" t="str">
        <f>$C$1</f>
        <v>BEST Instruction</v>
      </c>
      <c r="K1" s="53"/>
      <c r="L1" s="53"/>
      <c r="M1" s="48"/>
      <c r="N1" s="53"/>
      <c r="O1" s="53"/>
      <c r="P1" s="66" t="str">
        <f>$C$1</f>
        <v>BEST Instruction</v>
      </c>
      <c r="Q1" s="48"/>
      <c r="R1" s="48"/>
      <c r="S1" s="53"/>
      <c r="T1" s="48"/>
      <c r="U1" s="53"/>
      <c r="V1" s="53"/>
      <c r="W1" s="66" t="str">
        <f>$C$1</f>
        <v>BEST Instruction</v>
      </c>
      <c r="X1" s="53"/>
      <c r="Y1" s="48"/>
      <c r="Z1" s="53"/>
      <c r="AA1" s="47"/>
      <c r="AB1" s="47"/>
    </row>
    <row r="2" spans="1:28" s="3" customFormat="1" ht="21" x14ac:dyDescent="0.5">
      <c r="A2" s="47" t="s">
        <v>155</v>
      </c>
      <c r="B2" s="49"/>
      <c r="C2" s="62" t="s">
        <v>215</v>
      </c>
      <c r="D2" s="48"/>
      <c r="E2" s="48"/>
      <c r="F2" s="48"/>
      <c r="G2" s="15"/>
      <c r="H2" s="49"/>
      <c r="I2" s="49"/>
      <c r="J2" s="50" t="str">
        <f>"FY"&amp;$C$4</f>
        <v>FY2019-20</v>
      </c>
      <c r="K2" s="49"/>
      <c r="L2" s="49"/>
      <c r="M2" s="49"/>
      <c r="N2" s="49"/>
      <c r="O2" s="49"/>
      <c r="P2" s="50" t="str">
        <f>"FY"&amp;$C$4</f>
        <v>FY2019-20</v>
      </c>
      <c r="Q2" s="49"/>
      <c r="R2" s="49"/>
      <c r="S2" s="49"/>
      <c r="T2" s="49"/>
      <c r="U2" s="49"/>
      <c r="V2" s="49"/>
      <c r="W2" s="50" t="str">
        <f>"FY"&amp;$C$4</f>
        <v>FY2019-20</v>
      </c>
      <c r="X2" s="49"/>
      <c r="Y2" s="49"/>
      <c r="Z2" s="49"/>
      <c r="AA2" s="47"/>
      <c r="AB2" s="47"/>
    </row>
    <row r="3" spans="1:28" s="45" customFormat="1" ht="15.5" x14ac:dyDescent="0.35">
      <c r="A3" s="63" t="s">
        <v>1</v>
      </c>
      <c r="B3" s="53"/>
      <c r="C3" s="67" t="s">
        <v>216</v>
      </c>
      <c r="D3" s="50"/>
      <c r="E3" s="50"/>
      <c r="F3" s="50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4"/>
    </row>
    <row r="4" spans="1:28" s="45" customFormat="1" ht="15.5" x14ac:dyDescent="0.35">
      <c r="A4" s="63" t="s">
        <v>2</v>
      </c>
      <c r="B4" s="53"/>
      <c r="C4" s="67" t="s">
        <v>440</v>
      </c>
      <c r="D4" s="50"/>
      <c r="E4" s="50"/>
      <c r="F4" s="50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</row>
    <row r="5" spans="1:28" s="45" customFormat="1" ht="15.5" x14ac:dyDescent="0.35">
      <c r="A5" s="63" t="s">
        <v>18</v>
      </c>
      <c r="B5" s="53"/>
      <c r="C5" s="63" t="s">
        <v>444</v>
      </c>
      <c r="D5" s="50"/>
      <c r="E5" s="50"/>
      <c r="F5" s="50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2"/>
      <c r="AB5" s="52"/>
    </row>
    <row r="6" spans="1:28" s="45" customFormat="1" ht="15.5" x14ac:dyDescent="0.35">
      <c r="A6" s="63" t="s">
        <v>19</v>
      </c>
      <c r="B6" s="53"/>
      <c r="C6" s="67" t="s">
        <v>445</v>
      </c>
      <c r="D6" s="50"/>
      <c r="E6" s="50"/>
      <c r="F6" s="50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2"/>
      <c r="AB6" s="52"/>
    </row>
    <row r="7" spans="1:28" s="45" customFormat="1" ht="24" thickBot="1" x14ac:dyDescent="0.6">
      <c r="A7" s="365"/>
      <c r="B7" s="366"/>
      <c r="C7" s="366"/>
      <c r="D7" s="366"/>
      <c r="E7" s="366"/>
      <c r="F7" s="367"/>
      <c r="G7" s="367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2"/>
      <c r="AB7" s="52"/>
    </row>
    <row r="8" spans="1:28" ht="29.5" thickBot="1" x14ac:dyDescent="0.4">
      <c r="A8" s="11" t="s">
        <v>145</v>
      </c>
      <c r="B8" s="12" t="s">
        <v>139</v>
      </c>
      <c r="C8" s="11" t="s">
        <v>152</v>
      </c>
      <c r="D8" s="12" t="s">
        <v>43</v>
      </c>
      <c r="E8" s="13" t="s">
        <v>15</v>
      </c>
      <c r="F8" s="12" t="s">
        <v>16</v>
      </c>
      <c r="G8" s="29" t="s">
        <v>17</v>
      </c>
      <c r="H8" s="26" t="s">
        <v>133</v>
      </c>
      <c r="I8" s="27" t="s">
        <v>134</v>
      </c>
      <c r="J8" s="26" t="s">
        <v>135</v>
      </c>
      <c r="K8" s="27" t="s">
        <v>172</v>
      </c>
      <c r="L8" s="26" t="s">
        <v>173</v>
      </c>
      <c r="M8" s="27" t="s">
        <v>137</v>
      </c>
      <c r="N8" s="27" t="s">
        <v>252</v>
      </c>
      <c r="O8" s="27" t="s">
        <v>253</v>
      </c>
      <c r="P8" s="27" t="s">
        <v>254</v>
      </c>
      <c r="Q8" s="27" t="s">
        <v>255</v>
      </c>
      <c r="R8" s="27" t="s">
        <v>256</v>
      </c>
      <c r="S8" s="27" t="s">
        <v>441</v>
      </c>
      <c r="T8" s="26" t="s">
        <v>258</v>
      </c>
      <c r="U8" s="27" t="s">
        <v>259</v>
      </c>
      <c r="V8" s="27" t="s">
        <v>260</v>
      </c>
      <c r="W8" s="27" t="s">
        <v>442</v>
      </c>
      <c r="X8" s="26" t="s">
        <v>443</v>
      </c>
      <c r="Y8" s="27" t="s">
        <v>137</v>
      </c>
      <c r="Z8" s="12" t="s">
        <v>166</v>
      </c>
      <c r="AA8" s="12" t="s">
        <v>166</v>
      </c>
      <c r="AB8" s="12" t="s">
        <v>167</v>
      </c>
    </row>
    <row r="9" spans="1:28" s="37" customFormat="1" ht="15" thickBot="1" x14ac:dyDescent="0.4">
      <c r="A9" s="96" t="s">
        <v>4</v>
      </c>
      <c r="B9" s="93" t="s">
        <v>92</v>
      </c>
      <c r="C9" s="92"/>
      <c r="D9" s="93" t="s">
        <v>226</v>
      </c>
      <c r="E9" s="94"/>
      <c r="F9" s="94">
        <f>SUM(H9:AB9)</f>
        <v>0</v>
      </c>
      <c r="G9" s="94">
        <f>E9-F9</f>
        <v>0</v>
      </c>
      <c r="H9" s="125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44"/>
      <c r="AB9" s="44"/>
    </row>
    <row r="10" spans="1:28" s="37" customFormat="1" ht="15" thickBot="1" x14ac:dyDescent="0.4">
      <c r="A10" s="96" t="s">
        <v>49</v>
      </c>
      <c r="B10" s="93" t="s">
        <v>220</v>
      </c>
      <c r="C10" s="97"/>
      <c r="D10" s="93" t="s">
        <v>227</v>
      </c>
      <c r="E10" s="94"/>
      <c r="F10" s="94">
        <f t="shared" ref="F10:F16" si="0">SUM(H10:AB10)</f>
        <v>0</v>
      </c>
      <c r="G10" s="94">
        <f t="shared" ref="G10:G16" si="1">E10-F10</f>
        <v>0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44"/>
      <c r="AB10" s="44"/>
    </row>
    <row r="11" spans="1:28" s="37" customFormat="1" ht="15" thickBot="1" x14ac:dyDescent="0.4">
      <c r="A11" s="96" t="s">
        <v>50</v>
      </c>
      <c r="B11" s="93" t="s">
        <v>221</v>
      </c>
      <c r="C11" s="97"/>
      <c r="D11" s="93" t="s">
        <v>228</v>
      </c>
      <c r="E11" s="94"/>
      <c r="F11" s="94">
        <f t="shared" si="0"/>
        <v>0</v>
      </c>
      <c r="G11" s="94">
        <f t="shared" si="1"/>
        <v>0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44"/>
      <c r="AB11" s="44"/>
    </row>
    <row r="12" spans="1:28" s="37" customFormat="1" ht="15" thickBot="1" x14ac:dyDescent="0.4">
      <c r="A12" s="96" t="s">
        <v>217</v>
      </c>
      <c r="B12" s="93" t="s">
        <v>222</v>
      </c>
      <c r="C12" s="97"/>
      <c r="D12" s="93" t="s">
        <v>229</v>
      </c>
      <c r="E12" s="94"/>
      <c r="F12" s="94">
        <f t="shared" si="0"/>
        <v>0</v>
      </c>
      <c r="G12" s="94">
        <f t="shared" si="1"/>
        <v>0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44"/>
      <c r="AB12" s="44"/>
    </row>
    <row r="13" spans="1:28" s="37" customFormat="1" ht="15" thickBot="1" x14ac:dyDescent="0.4">
      <c r="A13" s="96" t="s">
        <v>218</v>
      </c>
      <c r="B13" s="93" t="s">
        <v>223</v>
      </c>
      <c r="C13" s="97"/>
      <c r="D13" s="93" t="s">
        <v>230</v>
      </c>
      <c r="E13" s="94"/>
      <c r="F13" s="94">
        <f t="shared" si="0"/>
        <v>0</v>
      </c>
      <c r="G13" s="94">
        <f t="shared" si="1"/>
        <v>0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44"/>
      <c r="AB13" s="44"/>
    </row>
    <row r="14" spans="1:28" s="37" customFormat="1" ht="15" thickBot="1" x14ac:dyDescent="0.4">
      <c r="A14" s="96" t="s">
        <v>39</v>
      </c>
      <c r="B14" s="93" t="s">
        <v>224</v>
      </c>
      <c r="C14" s="97"/>
      <c r="D14" s="93" t="s">
        <v>231</v>
      </c>
      <c r="E14" s="94"/>
      <c r="F14" s="94">
        <f t="shared" si="0"/>
        <v>0</v>
      </c>
      <c r="G14" s="94">
        <f t="shared" si="1"/>
        <v>0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44"/>
      <c r="AB14" s="44"/>
    </row>
    <row r="15" spans="1:28" s="37" customFormat="1" ht="15" thickBot="1" x14ac:dyDescent="0.4">
      <c r="A15" s="96" t="s">
        <v>219</v>
      </c>
      <c r="B15" s="93" t="s">
        <v>225</v>
      </c>
      <c r="C15" s="97"/>
      <c r="D15" s="93" t="s">
        <v>232</v>
      </c>
      <c r="E15" s="94"/>
      <c r="F15" s="94">
        <f t="shared" si="0"/>
        <v>0</v>
      </c>
      <c r="G15" s="94">
        <f t="shared" si="1"/>
        <v>0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44"/>
      <c r="AB15" s="44"/>
    </row>
    <row r="16" spans="1:28" s="37" customFormat="1" ht="15" thickBot="1" x14ac:dyDescent="0.4">
      <c r="A16" s="96" t="s">
        <v>54</v>
      </c>
      <c r="B16" s="93" t="s">
        <v>212</v>
      </c>
      <c r="C16" s="97"/>
      <c r="D16" s="93" t="s">
        <v>233</v>
      </c>
      <c r="E16" s="94"/>
      <c r="F16" s="94">
        <f t="shared" si="0"/>
        <v>0</v>
      </c>
      <c r="G16" s="94">
        <f t="shared" si="1"/>
        <v>0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44"/>
      <c r="AB16" s="44"/>
    </row>
    <row r="17" spans="1:28" ht="15" thickBot="1" x14ac:dyDescent="0.4">
      <c r="A17" s="154"/>
      <c r="B17" s="155"/>
      <c r="C17" s="156"/>
      <c r="D17" s="155"/>
      <c r="E17" s="157"/>
      <c r="F17" s="157"/>
      <c r="G17" s="157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45"/>
      <c r="AB17" s="45"/>
    </row>
    <row r="18" spans="1:28" s="14" customFormat="1" ht="15" thickBot="1" x14ac:dyDescent="0.4">
      <c r="A18" s="98" t="s">
        <v>46</v>
      </c>
      <c r="B18" s="43"/>
      <c r="C18" s="64"/>
      <c r="D18" s="43"/>
      <c r="E18" s="87">
        <f>SUM(E9:E17)</f>
        <v>0</v>
      </c>
      <c r="F18" s="87">
        <f>SUM(F9:F17)</f>
        <v>0</v>
      </c>
      <c r="G18" s="87">
        <f>SUM(G9:G17)</f>
        <v>0</v>
      </c>
      <c r="H18" s="87">
        <f>SUM(H9:H16)</f>
        <v>0</v>
      </c>
      <c r="I18" s="87">
        <f>SUM(I9:I16)</f>
        <v>0</v>
      </c>
      <c r="J18" s="87">
        <f>SUM(J9:J16)</f>
        <v>0</v>
      </c>
      <c r="K18" s="87">
        <f t="shared" ref="K18:AB18" si="2">SUM(K9:K17)</f>
        <v>0</v>
      </c>
      <c r="L18" s="87">
        <f t="shared" si="2"/>
        <v>0</v>
      </c>
      <c r="M18" s="87">
        <f t="shared" si="2"/>
        <v>0</v>
      </c>
      <c r="N18" s="87">
        <f t="shared" si="2"/>
        <v>0</v>
      </c>
      <c r="O18" s="87">
        <f t="shared" si="2"/>
        <v>0</v>
      </c>
      <c r="P18" s="87">
        <f t="shared" si="2"/>
        <v>0</v>
      </c>
      <c r="Q18" s="87">
        <f t="shared" si="2"/>
        <v>0</v>
      </c>
      <c r="R18" s="87">
        <f t="shared" si="2"/>
        <v>0</v>
      </c>
      <c r="S18" s="87">
        <f t="shared" si="2"/>
        <v>0</v>
      </c>
      <c r="T18" s="87">
        <f t="shared" si="2"/>
        <v>0</v>
      </c>
      <c r="U18" s="87">
        <f t="shared" si="2"/>
        <v>0</v>
      </c>
      <c r="V18" s="87">
        <f t="shared" si="2"/>
        <v>0</v>
      </c>
      <c r="W18" s="87">
        <f t="shared" si="2"/>
        <v>0</v>
      </c>
      <c r="X18" s="87">
        <f t="shared" si="2"/>
        <v>0</v>
      </c>
      <c r="Y18" s="87">
        <f t="shared" si="2"/>
        <v>0</v>
      </c>
      <c r="Z18" s="87">
        <f t="shared" si="2"/>
        <v>0</v>
      </c>
      <c r="AA18" s="87">
        <f t="shared" si="2"/>
        <v>0</v>
      </c>
      <c r="AB18" s="87">
        <f t="shared" si="2"/>
        <v>0</v>
      </c>
    </row>
    <row r="19" spans="1:28" x14ac:dyDescent="0.35">
      <c r="E19" s="46"/>
      <c r="F19" s="46"/>
      <c r="G19" s="46"/>
      <c r="AA19" s="30"/>
      <c r="AB19" s="30"/>
    </row>
    <row r="20" spans="1:28" x14ac:dyDescent="0.35">
      <c r="C20" s="46"/>
      <c r="D20" s="46"/>
      <c r="E20" s="46"/>
      <c r="F20" s="44"/>
      <c r="G20" s="44"/>
      <c r="L20" s="30"/>
      <c r="Q20" s="30"/>
      <c r="R20" s="30"/>
      <c r="X20" s="30"/>
      <c r="AA20" s="30"/>
      <c r="AB20" s="30"/>
    </row>
    <row r="21" spans="1:28" x14ac:dyDescent="0.35">
      <c r="C21" s="46"/>
      <c r="D21" s="46"/>
      <c r="E21" s="46"/>
      <c r="F21" s="44"/>
      <c r="G21" s="44"/>
      <c r="Q21" s="30"/>
      <c r="AA21" s="30"/>
      <c r="AB21" s="30"/>
    </row>
    <row r="22" spans="1:28" x14ac:dyDescent="0.35">
      <c r="C22" s="46"/>
      <c r="D22" s="46"/>
      <c r="E22" s="46"/>
      <c r="F22" s="44"/>
      <c r="G22" s="44"/>
      <c r="AA22" s="30"/>
      <c r="AB22" s="30"/>
    </row>
    <row r="23" spans="1:28" x14ac:dyDescent="0.35">
      <c r="C23" s="46"/>
      <c r="D23" s="46"/>
      <c r="E23" s="46"/>
      <c r="F23" s="44"/>
      <c r="G23" s="44"/>
      <c r="AA23" s="30"/>
      <c r="AB23" s="30"/>
    </row>
    <row r="24" spans="1:28" x14ac:dyDescent="0.35">
      <c r="C24" s="46"/>
      <c r="D24" s="46"/>
      <c r="E24" s="46"/>
      <c r="F24" s="44"/>
      <c r="G24" s="44"/>
      <c r="AA24" s="30"/>
      <c r="AB24" s="30"/>
    </row>
    <row r="25" spans="1:28" x14ac:dyDescent="0.35">
      <c r="C25" s="46"/>
      <c r="D25" s="46"/>
      <c r="E25" s="46"/>
      <c r="F25" s="44"/>
      <c r="G25" s="44"/>
      <c r="AA25" s="30"/>
      <c r="AB25" s="30"/>
    </row>
    <row r="26" spans="1:28" x14ac:dyDescent="0.35">
      <c r="C26" s="46"/>
      <c r="D26" s="46"/>
      <c r="E26" s="46"/>
      <c r="F26" s="44"/>
      <c r="G26" s="44"/>
      <c r="AA26" s="30"/>
      <c r="AB26" s="30"/>
    </row>
    <row r="27" spans="1:28" x14ac:dyDescent="0.35">
      <c r="C27" s="46"/>
      <c r="D27" s="46"/>
      <c r="E27" s="46"/>
      <c r="F27" s="44"/>
      <c r="G27" s="44"/>
      <c r="AA27" s="30"/>
      <c r="AB27" s="30"/>
    </row>
    <row r="28" spans="1:28" x14ac:dyDescent="0.35">
      <c r="C28" s="46"/>
      <c r="D28" s="46"/>
      <c r="E28" s="46"/>
      <c r="F28" s="44"/>
      <c r="G28" s="44"/>
      <c r="AA28" s="30"/>
      <c r="AB28" s="30"/>
    </row>
    <row r="29" spans="1:28" x14ac:dyDescent="0.35">
      <c r="C29" s="46"/>
      <c r="D29" s="46"/>
      <c r="E29" s="46"/>
      <c r="F29" s="44"/>
      <c r="G29" s="44"/>
      <c r="AA29" s="30"/>
      <c r="AB29" s="30"/>
    </row>
    <row r="30" spans="1:28" x14ac:dyDescent="0.35">
      <c r="C30" s="46"/>
      <c r="D30" s="46"/>
      <c r="E30" s="46"/>
      <c r="F30" s="44"/>
      <c r="G30" s="44"/>
      <c r="AA30" s="30"/>
      <c r="AB30" s="30"/>
    </row>
    <row r="31" spans="1:28" x14ac:dyDescent="0.35">
      <c r="C31" s="46"/>
      <c r="D31" s="46"/>
      <c r="E31" s="46"/>
      <c r="F31" s="44"/>
      <c r="G31" s="44"/>
      <c r="AA31" s="30"/>
      <c r="AB31" s="30"/>
    </row>
    <row r="32" spans="1:28" x14ac:dyDescent="0.35">
      <c r="C32" s="46"/>
      <c r="D32" s="46"/>
      <c r="E32" s="46"/>
      <c r="F32" s="44"/>
      <c r="G32" s="44"/>
    </row>
    <row r="33" spans="3:7" x14ac:dyDescent="0.35">
      <c r="C33" s="46"/>
      <c r="D33" s="46"/>
      <c r="E33" s="46"/>
      <c r="F33" s="44"/>
      <c r="G33" s="44"/>
    </row>
    <row r="34" spans="3:7" x14ac:dyDescent="0.35">
      <c r="C34" s="46"/>
      <c r="D34" s="46"/>
      <c r="E34" s="46"/>
      <c r="F34" s="44"/>
      <c r="G34" s="44"/>
    </row>
    <row r="35" spans="3:7" x14ac:dyDescent="0.35">
      <c r="C35" s="46"/>
      <c r="D35" s="46"/>
      <c r="E35" s="46"/>
      <c r="F35" s="44"/>
      <c r="G35" s="44"/>
    </row>
    <row r="36" spans="3:7" x14ac:dyDescent="0.35">
      <c r="E36" s="46"/>
      <c r="F36" s="46"/>
      <c r="G36" s="46"/>
    </row>
    <row r="37" spans="3:7" x14ac:dyDescent="0.35">
      <c r="E37" s="46"/>
      <c r="F37" s="46"/>
      <c r="G37" s="46"/>
    </row>
    <row r="38" spans="3:7" x14ac:dyDescent="0.35">
      <c r="E38" s="46"/>
      <c r="F38" s="46"/>
      <c r="G38" s="46"/>
    </row>
    <row r="39" spans="3:7" x14ac:dyDescent="0.35">
      <c r="E39" s="46"/>
      <c r="F39" s="46"/>
      <c r="G39" s="46"/>
    </row>
    <row r="40" spans="3:7" x14ac:dyDescent="0.35">
      <c r="E40" s="46"/>
      <c r="F40" s="46"/>
      <c r="G40" s="46"/>
    </row>
    <row r="41" spans="3:7" x14ac:dyDescent="0.35">
      <c r="F41" s="46"/>
      <c r="G41" s="46"/>
    </row>
    <row r="42" spans="3:7" x14ac:dyDescent="0.35">
      <c r="F42" s="46"/>
      <c r="G42" s="46"/>
    </row>
    <row r="43" spans="3:7" x14ac:dyDescent="0.35">
      <c r="F43" s="46"/>
      <c r="G43" s="46"/>
    </row>
  </sheetData>
  <mergeCells count="1">
    <mergeCell ref="A7:G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2"/>
  </sheetPr>
  <dimension ref="A1:AB41"/>
  <sheetViews>
    <sheetView zoomScale="70" zoomScaleNormal="70" workbookViewId="0">
      <pane xSplit="7" ySplit="8" topLeftCell="H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A8" sqref="A8:XFD8"/>
    </sheetView>
  </sheetViews>
  <sheetFormatPr defaultColWidth="8.7265625" defaultRowHeight="14.5" x14ac:dyDescent="0.35"/>
  <cols>
    <col min="1" max="1" width="8.7265625" style="65"/>
    <col min="2" max="2" width="31.54296875" style="44" customWidth="1"/>
    <col min="3" max="3" width="16.26953125" style="65" customWidth="1"/>
    <col min="4" max="4" width="21.26953125" style="44" customWidth="1"/>
    <col min="5" max="5" width="19.26953125" style="45" customWidth="1"/>
    <col min="6" max="7" width="14.7265625" style="45" customWidth="1"/>
    <col min="8" max="26" width="15.7265625" style="44" customWidth="1"/>
    <col min="27" max="28" width="21.26953125" style="44" customWidth="1"/>
    <col min="29" max="16384" width="8.7265625" style="44"/>
  </cols>
  <sheetData>
    <row r="1" spans="1:28" s="45" customFormat="1" ht="21" x14ac:dyDescent="0.5">
      <c r="A1" s="62" t="s">
        <v>0</v>
      </c>
      <c r="B1" s="53"/>
      <c r="C1" s="66" t="s">
        <v>381</v>
      </c>
      <c r="D1" s="50"/>
      <c r="E1" s="50"/>
      <c r="F1" s="50"/>
      <c r="G1" s="54"/>
      <c r="H1" s="53"/>
      <c r="I1" s="48"/>
      <c r="J1" s="66" t="str">
        <f>$C$1</f>
        <v>CDC Improving Student Health</v>
      </c>
      <c r="K1" s="53"/>
      <c r="L1" s="53"/>
      <c r="M1" s="48"/>
      <c r="N1" s="53"/>
      <c r="O1" s="53"/>
      <c r="P1" s="66" t="str">
        <f>$C$1</f>
        <v>CDC Improving Student Health</v>
      </c>
      <c r="Q1" s="48"/>
      <c r="R1" s="48"/>
      <c r="S1" s="53"/>
      <c r="T1" s="48"/>
      <c r="U1" s="53"/>
      <c r="V1" s="53"/>
      <c r="W1" s="66" t="str">
        <f>$C$1</f>
        <v>CDC Improving Student Health</v>
      </c>
      <c r="X1" s="53"/>
      <c r="Y1" s="48"/>
      <c r="Z1" s="53"/>
      <c r="AA1" s="47"/>
      <c r="AB1" s="47"/>
    </row>
    <row r="2" spans="1:28" s="3" customFormat="1" ht="21" x14ac:dyDescent="0.5">
      <c r="A2" s="47" t="s">
        <v>155</v>
      </c>
      <c r="B2" s="49"/>
      <c r="C2" s="62" t="s">
        <v>382</v>
      </c>
      <c r="D2" s="48"/>
      <c r="E2" s="48"/>
      <c r="F2" s="48"/>
      <c r="G2" s="15"/>
      <c r="H2" s="49"/>
      <c r="I2" s="49"/>
      <c r="J2" s="50" t="str">
        <f>"FY"&amp;$C$4</f>
        <v>FY2018-19</v>
      </c>
      <c r="K2" s="49"/>
      <c r="L2" s="49"/>
      <c r="M2" s="49"/>
      <c r="N2" s="49"/>
      <c r="O2" s="49"/>
      <c r="P2" s="50" t="str">
        <f>"FY"&amp;$C$4</f>
        <v>FY2018-19</v>
      </c>
      <c r="Q2" s="49"/>
      <c r="R2" s="49"/>
      <c r="S2" s="49"/>
      <c r="T2" s="49"/>
      <c r="U2" s="49"/>
      <c r="V2" s="49"/>
      <c r="W2" s="50" t="str">
        <f>"FY"&amp;$C$4</f>
        <v>FY2018-19</v>
      </c>
      <c r="X2" s="49"/>
      <c r="Y2" s="49"/>
      <c r="Z2" s="49"/>
      <c r="AA2" s="47"/>
      <c r="AB2" s="47"/>
    </row>
    <row r="3" spans="1:28" s="45" customFormat="1" ht="15.5" x14ac:dyDescent="0.35">
      <c r="A3" s="63" t="s">
        <v>1</v>
      </c>
      <c r="B3" s="53"/>
      <c r="C3" s="67" t="s">
        <v>383</v>
      </c>
      <c r="D3" s="50"/>
      <c r="E3" s="50"/>
      <c r="F3" s="50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4"/>
    </row>
    <row r="4" spans="1:28" s="45" customFormat="1" ht="15.5" x14ac:dyDescent="0.35">
      <c r="A4" s="63" t="s">
        <v>2</v>
      </c>
      <c r="B4" s="53"/>
      <c r="C4" s="67" t="s">
        <v>171</v>
      </c>
      <c r="D4" s="50"/>
      <c r="E4" s="50"/>
      <c r="F4" s="50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4"/>
    </row>
    <row r="5" spans="1:28" s="45" customFormat="1" ht="15.5" x14ac:dyDescent="0.35">
      <c r="A5" s="63" t="s">
        <v>18</v>
      </c>
      <c r="B5" s="53"/>
      <c r="C5" s="63" t="s">
        <v>261</v>
      </c>
      <c r="D5" s="50"/>
      <c r="E5" s="50"/>
      <c r="F5" s="50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2"/>
      <c r="AB5" s="52"/>
    </row>
    <row r="6" spans="1:28" s="45" customFormat="1" ht="15.5" x14ac:dyDescent="0.35">
      <c r="A6" s="63" t="s">
        <v>19</v>
      </c>
      <c r="B6" s="53"/>
      <c r="C6" s="67" t="s">
        <v>32</v>
      </c>
      <c r="D6" s="50"/>
      <c r="E6" s="50"/>
      <c r="F6" s="50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2"/>
      <c r="AB6" s="52"/>
    </row>
    <row r="7" spans="1:28" s="45" customFormat="1" ht="24" thickBot="1" x14ac:dyDescent="0.6">
      <c r="A7" s="365"/>
      <c r="B7" s="366"/>
      <c r="C7" s="366"/>
      <c r="D7" s="366"/>
      <c r="E7" s="366"/>
      <c r="F7" s="367"/>
      <c r="G7" s="367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2"/>
      <c r="AB7" s="52"/>
    </row>
    <row r="8" spans="1:28" ht="29.5" thickBot="1" x14ac:dyDescent="0.4">
      <c r="A8" s="11" t="s">
        <v>145</v>
      </c>
      <c r="B8" s="12" t="s">
        <v>139</v>
      </c>
      <c r="C8" s="13" t="s">
        <v>15</v>
      </c>
      <c r="D8" s="12" t="s">
        <v>16</v>
      </c>
      <c r="E8" s="29" t="s">
        <v>17</v>
      </c>
      <c r="F8" s="26" t="s">
        <v>63</v>
      </c>
      <c r="G8" s="27" t="s">
        <v>64</v>
      </c>
      <c r="H8" s="26" t="s">
        <v>65</v>
      </c>
      <c r="I8" s="27" t="s">
        <v>125</v>
      </c>
      <c r="J8" s="26" t="s">
        <v>126</v>
      </c>
      <c r="K8" s="27" t="s">
        <v>136</v>
      </c>
      <c r="L8" s="27" t="s">
        <v>127</v>
      </c>
      <c r="M8" s="27" t="s">
        <v>128</v>
      </c>
      <c r="N8" s="27" t="s">
        <v>129</v>
      </c>
      <c r="O8" s="27" t="s">
        <v>130</v>
      </c>
      <c r="P8" s="27" t="s">
        <v>131</v>
      </c>
      <c r="Q8" s="27" t="s">
        <v>132</v>
      </c>
      <c r="R8" s="26" t="s">
        <v>133</v>
      </c>
      <c r="S8" s="27" t="s">
        <v>134</v>
      </c>
      <c r="T8" s="27" t="s">
        <v>135</v>
      </c>
      <c r="U8" s="27" t="s">
        <v>172</v>
      </c>
      <c r="V8" s="26" t="s">
        <v>173</v>
      </c>
      <c r="W8" s="27" t="s">
        <v>137</v>
      </c>
      <c r="X8" s="27" t="s">
        <v>135</v>
      </c>
      <c r="Y8" s="12" t="s">
        <v>166</v>
      </c>
      <c r="Z8" s="12" t="s">
        <v>167</v>
      </c>
    </row>
    <row r="9" spans="1:28" s="37" customFormat="1" ht="15" thickBot="1" x14ac:dyDescent="0.4">
      <c r="A9" s="96" t="s">
        <v>23</v>
      </c>
      <c r="B9" s="93" t="s">
        <v>384</v>
      </c>
      <c r="C9" s="94">
        <v>17000</v>
      </c>
      <c r="D9" s="94">
        <f>SUM(F9:Z9)</f>
        <v>17000</v>
      </c>
      <c r="E9" s="94">
        <f>C9-D9</f>
        <v>0</v>
      </c>
      <c r="F9" s="125"/>
      <c r="G9" s="116"/>
      <c r="H9" s="116"/>
      <c r="I9" s="116"/>
      <c r="J9" s="116"/>
      <c r="K9" s="116">
        <v>17000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44"/>
      <c r="Z9" s="44"/>
    </row>
    <row r="10" spans="1:28" s="37" customFormat="1" ht="15" thickBot="1" x14ac:dyDescent="0.4">
      <c r="A10" s="96" t="s">
        <v>48</v>
      </c>
      <c r="B10" s="93" t="s">
        <v>107</v>
      </c>
      <c r="C10" s="94">
        <v>17000</v>
      </c>
      <c r="D10" s="94">
        <f t="shared" ref="D10:D14" si="0">SUM(F10:Z10)</f>
        <v>17000</v>
      </c>
      <c r="E10" s="94">
        <f t="shared" ref="E10:E14" si="1">C10-D10</f>
        <v>0</v>
      </c>
      <c r="F10" s="74"/>
      <c r="G10" s="74"/>
      <c r="H10" s="74"/>
      <c r="I10" s="74"/>
      <c r="J10" s="74"/>
      <c r="K10" s="74">
        <v>17000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44"/>
      <c r="Z10" s="44"/>
    </row>
    <row r="11" spans="1:28" s="37" customFormat="1" ht="15" thickBot="1" x14ac:dyDescent="0.4">
      <c r="A11" s="96" t="s">
        <v>34</v>
      </c>
      <c r="B11" s="93" t="s">
        <v>385</v>
      </c>
      <c r="C11" s="94">
        <v>17000</v>
      </c>
      <c r="D11" s="94">
        <f t="shared" si="0"/>
        <v>17000</v>
      </c>
      <c r="E11" s="94">
        <f t="shared" si="1"/>
        <v>0</v>
      </c>
      <c r="F11" s="74"/>
      <c r="G11" s="74"/>
      <c r="H11" s="74"/>
      <c r="I11" s="74"/>
      <c r="J11" s="74"/>
      <c r="K11" s="74">
        <v>17000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44"/>
      <c r="Z11" s="44"/>
    </row>
    <row r="12" spans="1:28" s="37" customFormat="1" ht="15" thickBot="1" x14ac:dyDescent="0.4">
      <c r="A12" s="96" t="s">
        <v>42</v>
      </c>
      <c r="B12" s="93" t="s">
        <v>386</v>
      </c>
      <c r="C12" s="94">
        <v>17000</v>
      </c>
      <c r="D12" s="94">
        <f t="shared" si="0"/>
        <v>17000</v>
      </c>
      <c r="E12" s="94">
        <f t="shared" si="1"/>
        <v>0</v>
      </c>
      <c r="F12" s="74"/>
      <c r="G12" s="74"/>
      <c r="H12" s="74"/>
      <c r="I12" s="74"/>
      <c r="J12" s="74"/>
      <c r="K12" s="74">
        <v>17000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44"/>
      <c r="Z12" s="44"/>
    </row>
    <row r="13" spans="1:28" s="37" customFormat="1" ht="15" thickBot="1" x14ac:dyDescent="0.4">
      <c r="A13" s="96" t="s">
        <v>37</v>
      </c>
      <c r="B13" s="93" t="s">
        <v>387</v>
      </c>
      <c r="C13" s="94">
        <v>17000</v>
      </c>
      <c r="D13" s="94">
        <f t="shared" si="0"/>
        <v>17000</v>
      </c>
      <c r="E13" s="94">
        <f t="shared" si="1"/>
        <v>0</v>
      </c>
      <c r="F13" s="74"/>
      <c r="G13" s="74"/>
      <c r="H13" s="74"/>
      <c r="I13" s="74"/>
      <c r="J13" s="74"/>
      <c r="K13" s="74">
        <v>17000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44"/>
      <c r="Z13" s="44"/>
    </row>
    <row r="14" spans="1:28" s="37" customFormat="1" ht="15" thickBot="1" x14ac:dyDescent="0.4">
      <c r="A14" s="96" t="s">
        <v>41</v>
      </c>
      <c r="B14" s="93" t="s">
        <v>388</v>
      </c>
      <c r="C14" s="94">
        <v>17000</v>
      </c>
      <c r="D14" s="94">
        <f t="shared" si="0"/>
        <v>17000</v>
      </c>
      <c r="E14" s="94">
        <f t="shared" si="1"/>
        <v>0</v>
      </c>
      <c r="F14" s="74"/>
      <c r="G14" s="74"/>
      <c r="H14" s="74"/>
      <c r="I14" s="74"/>
      <c r="J14" s="74"/>
      <c r="K14" s="74">
        <v>17000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44"/>
      <c r="Z14" s="44"/>
    </row>
    <row r="15" spans="1:28" ht="15" thickBot="1" x14ac:dyDescent="0.4">
      <c r="A15" s="154"/>
      <c r="B15" s="155"/>
      <c r="C15" s="157"/>
      <c r="D15" s="157"/>
      <c r="E15" s="157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45"/>
      <c r="Z15" s="45"/>
    </row>
    <row r="16" spans="1:28" s="14" customFormat="1" ht="15" thickBot="1" x14ac:dyDescent="0.4">
      <c r="A16" s="98" t="s">
        <v>46</v>
      </c>
      <c r="B16" s="43"/>
      <c r="C16" s="87">
        <f>SUM(C9:C15)</f>
        <v>102000</v>
      </c>
      <c r="D16" s="87">
        <f>SUM(D9:D15)</f>
        <v>102000</v>
      </c>
      <c r="E16" s="87">
        <f>SUM(E9:E15)</f>
        <v>0</v>
      </c>
      <c r="F16" s="87">
        <f>SUM(F9:F14)</f>
        <v>0</v>
      </c>
      <c r="G16" s="87">
        <f>SUM(G9:G14)</f>
        <v>0</v>
      </c>
      <c r="H16" s="87">
        <f>SUM(H9:H14)</f>
        <v>0</v>
      </c>
      <c r="I16" s="87">
        <f t="shared" ref="I16:Z16" si="2">SUM(I9:I15)</f>
        <v>0</v>
      </c>
      <c r="J16" s="87">
        <f t="shared" si="2"/>
        <v>0</v>
      </c>
      <c r="K16" s="87">
        <f t="shared" si="2"/>
        <v>102000</v>
      </c>
      <c r="L16" s="87">
        <f t="shared" si="2"/>
        <v>0</v>
      </c>
      <c r="M16" s="87">
        <f t="shared" si="2"/>
        <v>0</v>
      </c>
      <c r="N16" s="87">
        <f t="shared" si="2"/>
        <v>0</v>
      </c>
      <c r="O16" s="87">
        <f t="shared" si="2"/>
        <v>0</v>
      </c>
      <c r="P16" s="87">
        <f t="shared" si="2"/>
        <v>0</v>
      </c>
      <c r="Q16" s="87">
        <f t="shared" si="2"/>
        <v>0</v>
      </c>
      <c r="R16" s="87">
        <f t="shared" si="2"/>
        <v>0</v>
      </c>
      <c r="S16" s="87">
        <f t="shared" si="2"/>
        <v>0</v>
      </c>
      <c r="T16" s="87">
        <f t="shared" si="2"/>
        <v>0</v>
      </c>
      <c r="U16" s="87">
        <f t="shared" si="2"/>
        <v>0</v>
      </c>
      <c r="V16" s="87">
        <f t="shared" si="2"/>
        <v>0</v>
      </c>
      <c r="W16" s="87">
        <f t="shared" si="2"/>
        <v>0</v>
      </c>
      <c r="X16" s="87">
        <f t="shared" si="2"/>
        <v>0</v>
      </c>
      <c r="Y16" s="87">
        <f t="shared" si="2"/>
        <v>0</v>
      </c>
      <c r="Z16" s="87">
        <f t="shared" si="2"/>
        <v>0</v>
      </c>
    </row>
    <row r="17" spans="3:28" x14ac:dyDescent="0.35">
      <c r="E17" s="46"/>
      <c r="F17" s="46"/>
      <c r="G17" s="46"/>
      <c r="AA17" s="30"/>
      <c r="AB17" s="30"/>
    </row>
    <row r="18" spans="3:28" x14ac:dyDescent="0.35">
      <c r="C18" s="46"/>
      <c r="D18" s="46"/>
      <c r="E18" s="46"/>
      <c r="F18" s="44"/>
      <c r="G18" s="44"/>
      <c r="L18" s="30"/>
      <c r="Q18" s="30"/>
      <c r="R18" s="30"/>
      <c r="X18" s="30"/>
      <c r="AA18" s="30"/>
      <c r="AB18" s="30"/>
    </row>
    <row r="19" spans="3:28" x14ac:dyDescent="0.35">
      <c r="C19" s="46"/>
      <c r="D19" s="46"/>
      <c r="E19" s="46"/>
      <c r="F19" s="44"/>
      <c r="G19" s="44"/>
      <c r="Q19" s="30"/>
      <c r="AA19" s="30"/>
      <c r="AB19" s="30"/>
    </row>
    <row r="20" spans="3:28" x14ac:dyDescent="0.35">
      <c r="C20" s="46"/>
      <c r="D20" s="46"/>
      <c r="E20" s="46"/>
      <c r="F20" s="44"/>
      <c r="G20" s="44"/>
      <c r="AA20" s="30"/>
      <c r="AB20" s="30"/>
    </row>
    <row r="21" spans="3:28" x14ac:dyDescent="0.35">
      <c r="C21" s="46"/>
      <c r="D21" s="46"/>
      <c r="E21" s="46"/>
      <c r="F21" s="44"/>
      <c r="G21" s="44"/>
      <c r="AA21" s="30"/>
      <c r="AB21" s="30"/>
    </row>
    <row r="22" spans="3:28" x14ac:dyDescent="0.35">
      <c r="C22" s="46"/>
      <c r="D22" s="46"/>
      <c r="E22" s="46"/>
      <c r="F22" s="44"/>
      <c r="G22" s="44"/>
      <c r="AA22" s="30"/>
      <c r="AB22" s="30"/>
    </row>
    <row r="23" spans="3:28" x14ac:dyDescent="0.35">
      <c r="C23" s="46"/>
      <c r="D23" s="46"/>
      <c r="E23" s="46"/>
      <c r="F23" s="44"/>
      <c r="G23" s="44"/>
      <c r="AA23" s="30"/>
      <c r="AB23" s="30"/>
    </row>
    <row r="24" spans="3:28" x14ac:dyDescent="0.35">
      <c r="C24" s="46"/>
      <c r="D24" s="46"/>
      <c r="E24" s="46"/>
      <c r="F24" s="44"/>
      <c r="G24" s="44"/>
      <c r="AA24" s="30"/>
      <c r="AB24" s="30"/>
    </row>
    <row r="25" spans="3:28" x14ac:dyDescent="0.35">
      <c r="C25" s="46"/>
      <c r="D25" s="46"/>
      <c r="E25" s="46"/>
      <c r="F25" s="44"/>
      <c r="G25" s="44"/>
      <c r="AA25" s="30"/>
      <c r="AB25" s="30"/>
    </row>
    <row r="26" spans="3:28" x14ac:dyDescent="0.35">
      <c r="C26" s="46"/>
      <c r="D26" s="46"/>
      <c r="E26" s="46"/>
      <c r="F26" s="44"/>
      <c r="G26" s="44"/>
      <c r="AA26" s="30"/>
      <c r="AB26" s="30"/>
    </row>
    <row r="27" spans="3:28" x14ac:dyDescent="0.35">
      <c r="C27" s="46"/>
      <c r="D27" s="46"/>
      <c r="E27" s="46"/>
      <c r="F27" s="44"/>
      <c r="G27" s="44"/>
      <c r="AA27" s="30"/>
      <c r="AB27" s="30"/>
    </row>
    <row r="28" spans="3:28" x14ac:dyDescent="0.35">
      <c r="C28" s="46"/>
      <c r="D28" s="46"/>
      <c r="E28" s="46"/>
      <c r="F28" s="44"/>
      <c r="G28" s="44"/>
      <c r="AA28" s="30"/>
      <c r="AB28" s="30"/>
    </row>
    <row r="29" spans="3:28" x14ac:dyDescent="0.35">
      <c r="C29" s="46"/>
      <c r="D29" s="46"/>
      <c r="E29" s="46"/>
      <c r="F29" s="44"/>
      <c r="G29" s="44"/>
      <c r="AA29" s="30"/>
      <c r="AB29" s="30"/>
    </row>
    <row r="30" spans="3:28" x14ac:dyDescent="0.35">
      <c r="C30" s="46"/>
      <c r="D30" s="46"/>
      <c r="E30" s="46"/>
      <c r="F30" s="44"/>
      <c r="G30" s="44"/>
    </row>
    <row r="31" spans="3:28" x14ac:dyDescent="0.35">
      <c r="C31" s="46"/>
      <c r="D31" s="46"/>
      <c r="E31" s="46"/>
      <c r="F31" s="44"/>
      <c r="G31" s="44"/>
    </row>
    <row r="32" spans="3:28" x14ac:dyDescent="0.35">
      <c r="C32" s="46"/>
      <c r="D32" s="46"/>
      <c r="E32" s="46"/>
      <c r="F32" s="44"/>
      <c r="G32" s="44"/>
    </row>
    <row r="33" spans="3:7" x14ac:dyDescent="0.35">
      <c r="C33" s="46"/>
      <c r="D33" s="46"/>
      <c r="E33" s="46"/>
      <c r="F33" s="44"/>
      <c r="G33" s="44"/>
    </row>
    <row r="34" spans="3:7" x14ac:dyDescent="0.35">
      <c r="E34" s="46"/>
      <c r="F34" s="46"/>
      <c r="G34" s="46"/>
    </row>
    <row r="35" spans="3:7" x14ac:dyDescent="0.35">
      <c r="E35" s="46"/>
      <c r="F35" s="46"/>
      <c r="G35" s="46"/>
    </row>
    <row r="36" spans="3:7" x14ac:dyDescent="0.35">
      <c r="E36" s="46"/>
      <c r="F36" s="46"/>
      <c r="G36" s="46"/>
    </row>
    <row r="37" spans="3:7" x14ac:dyDescent="0.35">
      <c r="E37" s="46"/>
      <c r="F37" s="46"/>
      <c r="G37" s="46"/>
    </row>
    <row r="38" spans="3:7" x14ac:dyDescent="0.35">
      <c r="E38" s="46"/>
      <c r="F38" s="46"/>
      <c r="G38" s="46"/>
    </row>
    <row r="39" spans="3:7" x14ac:dyDescent="0.35">
      <c r="F39" s="46"/>
      <c r="G39" s="46"/>
    </row>
    <row r="40" spans="3:7" x14ac:dyDescent="0.35">
      <c r="F40" s="46"/>
      <c r="G40" s="46"/>
    </row>
    <row r="41" spans="3:7" x14ac:dyDescent="0.35">
      <c r="F41" s="46"/>
      <c r="G41" s="46"/>
    </row>
  </sheetData>
  <sheetProtection algorithmName="SHA-512" hashValue="J9WhaPuXMRhsSeOOkhVq3boFxceCddoGwa5W0mJBhNxqGXn5nTmOdAB04ZkWyfmcXr6bHfIdLk3f8NCyeguNJg==" saltValue="lW9Unce1MmIV9o4nFtPM7Q==" spinCount="100000" sheet="1" objects="1" scenarios="1"/>
  <mergeCells count="1">
    <mergeCell ref="A7:G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/>
  </sheetPr>
  <dimension ref="A1:AL140"/>
  <sheetViews>
    <sheetView workbookViewId="0">
      <selection activeCell="M8" sqref="M8"/>
    </sheetView>
  </sheetViews>
  <sheetFormatPr defaultColWidth="9.26953125" defaultRowHeight="14.5" x14ac:dyDescent="0.35"/>
  <cols>
    <col min="1" max="1" width="19.26953125" style="2" customWidth="1"/>
    <col min="2" max="2" width="43.453125" style="174" customWidth="1"/>
    <col min="3" max="3" width="17.54296875" style="45" customWidth="1"/>
    <col min="4" max="4" width="16.7265625" style="45" customWidth="1"/>
    <col min="5" max="5" width="15.7265625" style="4" customWidth="1"/>
    <col min="6" max="6" width="15.7265625" style="4" hidden="1" customWidth="1"/>
    <col min="7" max="7" width="15.7265625" style="4" customWidth="1"/>
    <col min="8" max="8" width="15.7265625" style="4" hidden="1" customWidth="1"/>
    <col min="9" max="27" width="15.7265625" style="4" customWidth="1"/>
    <col min="28" max="16384" width="9.26953125" style="45"/>
  </cols>
  <sheetData>
    <row r="1" spans="1:38" ht="21" x14ac:dyDescent="0.5">
      <c r="A1" s="47" t="s">
        <v>0</v>
      </c>
      <c r="B1" s="80"/>
      <c r="C1" s="48" t="s">
        <v>20</v>
      </c>
      <c r="D1" s="47"/>
      <c r="E1" s="47"/>
      <c r="F1" s="47"/>
      <c r="G1" s="47"/>
      <c r="H1" s="47"/>
      <c r="I1" s="47" t="str">
        <f>$C$1</f>
        <v xml:space="preserve">Adult Education </v>
      </c>
      <c r="J1" s="47"/>
      <c r="K1" s="47"/>
      <c r="L1" s="47"/>
      <c r="M1" s="49"/>
      <c r="N1" s="49"/>
      <c r="O1" s="49"/>
      <c r="P1" s="49"/>
      <c r="Q1" s="54"/>
      <c r="R1" s="54"/>
      <c r="S1" s="54"/>
      <c r="T1" s="54"/>
      <c r="U1" s="48"/>
      <c r="V1" s="48"/>
      <c r="W1" s="47" t="str">
        <f>$C$1</f>
        <v xml:space="preserve">Adult Education </v>
      </c>
      <c r="X1" s="47"/>
      <c r="Y1" s="47"/>
      <c r="Z1" s="47"/>
      <c r="AA1" s="47"/>
    </row>
    <row r="2" spans="1:38" s="3" customFormat="1" ht="21" x14ac:dyDescent="0.5">
      <c r="A2" s="47" t="s">
        <v>155</v>
      </c>
      <c r="B2" s="172"/>
      <c r="C2" s="47" t="s">
        <v>478</v>
      </c>
      <c r="D2" s="47"/>
      <c r="E2" s="15"/>
      <c r="F2" s="15"/>
      <c r="G2" s="15"/>
      <c r="H2" s="15"/>
      <c r="I2" s="128" t="str">
        <f>"FY"&amp;$C$4</f>
        <v>FY2019-20</v>
      </c>
      <c r="J2" s="128"/>
      <c r="K2" s="128"/>
      <c r="L2" s="128"/>
      <c r="M2" s="15"/>
      <c r="N2" s="15"/>
      <c r="O2" s="15"/>
      <c r="P2" s="15"/>
      <c r="Q2" s="15"/>
      <c r="R2" s="15"/>
      <c r="S2" s="15"/>
      <c r="T2" s="15"/>
      <c r="U2" s="15"/>
      <c r="V2" s="15"/>
      <c r="W2" s="128" t="str">
        <f>"FY"&amp;$C$4</f>
        <v>FY2019-20</v>
      </c>
      <c r="X2" s="128"/>
      <c r="Y2" s="15"/>
      <c r="Z2" s="15"/>
      <c r="AA2" s="15"/>
    </row>
    <row r="3" spans="1:38" ht="15.5" x14ac:dyDescent="0.35">
      <c r="A3" s="50" t="s">
        <v>1</v>
      </c>
      <c r="B3" s="80"/>
      <c r="C3" s="51">
        <v>5002</v>
      </c>
      <c r="D3" s="50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38" ht="15.5" x14ac:dyDescent="0.35">
      <c r="A4" s="50" t="s">
        <v>2</v>
      </c>
      <c r="B4" s="80"/>
      <c r="C4" s="51" t="s">
        <v>440</v>
      </c>
      <c r="D4" s="50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38" ht="15.5" x14ac:dyDescent="0.35">
      <c r="A5" s="50"/>
      <c r="B5" s="80"/>
      <c r="C5" s="63"/>
      <c r="D5" s="50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38" ht="15.5" x14ac:dyDescent="0.35">
      <c r="A6" s="50" t="s">
        <v>19</v>
      </c>
      <c r="B6" s="80"/>
      <c r="C6" s="67" t="s">
        <v>445</v>
      </c>
      <c r="D6" s="50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38" ht="21.5" thickBot="1" x14ac:dyDescent="0.55000000000000004">
      <c r="A7" s="47"/>
      <c r="B7" s="80"/>
      <c r="C7" s="19"/>
      <c r="D7" s="19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38" s="5" customFormat="1" ht="44" thickBot="1" x14ac:dyDescent="0.4">
      <c r="A8" s="299" t="s">
        <v>145</v>
      </c>
      <c r="B8" s="300" t="s">
        <v>139</v>
      </c>
      <c r="C8" s="300" t="s">
        <v>479</v>
      </c>
      <c r="D8" s="298" t="s">
        <v>498</v>
      </c>
      <c r="E8" s="55" t="s">
        <v>480</v>
      </c>
      <c r="F8" s="55" t="s">
        <v>500</v>
      </c>
      <c r="G8" s="55" t="s">
        <v>499</v>
      </c>
      <c r="H8" s="55" t="s">
        <v>501</v>
      </c>
      <c r="I8" s="336" t="s">
        <v>489</v>
      </c>
      <c r="J8" s="304" t="s">
        <v>500</v>
      </c>
      <c r="K8" s="316" t="s">
        <v>510</v>
      </c>
      <c r="L8" s="298" t="s">
        <v>501</v>
      </c>
      <c r="M8" s="336" t="s">
        <v>490</v>
      </c>
      <c r="N8" s="336" t="s">
        <v>482</v>
      </c>
      <c r="O8" s="27" t="s">
        <v>491</v>
      </c>
      <c r="P8" s="27" t="s">
        <v>483</v>
      </c>
      <c r="Q8" s="27" t="s">
        <v>492</v>
      </c>
      <c r="R8" s="27" t="s">
        <v>484</v>
      </c>
      <c r="S8" s="27" t="s">
        <v>493</v>
      </c>
      <c r="T8" s="27" t="s">
        <v>485</v>
      </c>
      <c r="U8" s="27" t="s">
        <v>494</v>
      </c>
      <c r="V8" s="27" t="s">
        <v>486</v>
      </c>
      <c r="W8" s="26" t="s">
        <v>495</v>
      </c>
      <c r="X8" s="27" t="s">
        <v>487</v>
      </c>
      <c r="Y8" s="27" t="s">
        <v>496</v>
      </c>
      <c r="Z8" s="27" t="s">
        <v>481</v>
      </c>
      <c r="AA8" s="27" t="s">
        <v>497</v>
      </c>
    </row>
    <row r="9" spans="1:38" s="23" customFormat="1" x14ac:dyDescent="0.35">
      <c r="A9" s="297" t="s">
        <v>3</v>
      </c>
      <c r="B9" s="305" t="s">
        <v>80</v>
      </c>
      <c r="C9" s="306">
        <v>249701.6</v>
      </c>
      <c r="D9" s="307">
        <v>45642</v>
      </c>
      <c r="E9" s="342">
        <v>103212.64</v>
      </c>
      <c r="F9" s="342">
        <f>C9-E9</f>
        <v>146488.96000000002</v>
      </c>
      <c r="G9" s="342">
        <v>17057</v>
      </c>
      <c r="H9" s="342">
        <f>D9-G9</f>
        <v>28585</v>
      </c>
      <c r="I9" s="346">
        <v>124969.61</v>
      </c>
      <c r="J9" s="346">
        <f>C9-I9</f>
        <v>124731.99</v>
      </c>
      <c r="K9" s="348">
        <v>23619</v>
      </c>
      <c r="L9" s="348">
        <f>D9-K9</f>
        <v>22023</v>
      </c>
      <c r="M9" s="346"/>
      <c r="N9" s="346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23" customFormat="1" x14ac:dyDescent="0.35">
      <c r="A10" s="185" t="s">
        <v>5</v>
      </c>
      <c r="B10" s="308" t="s">
        <v>413</v>
      </c>
      <c r="C10" s="306">
        <v>46911</v>
      </c>
      <c r="D10" s="303">
        <v>0</v>
      </c>
      <c r="E10" s="342">
        <v>12000</v>
      </c>
      <c r="F10" s="342">
        <f t="shared" ref="F10:F31" si="0">C10-E10</f>
        <v>34911</v>
      </c>
      <c r="G10" s="342">
        <v>0</v>
      </c>
      <c r="H10" s="342">
        <f>D10-G10</f>
        <v>0</v>
      </c>
      <c r="I10" s="346"/>
      <c r="J10" s="346">
        <f t="shared" ref="J10:J31" si="1">C10-I10</f>
        <v>46911</v>
      </c>
      <c r="K10" s="348"/>
      <c r="L10" s="348">
        <f t="shared" ref="L10:L31" si="2">D10-K10</f>
        <v>0</v>
      </c>
      <c r="M10" s="346">
        <v>20106</v>
      </c>
      <c r="N10" s="346">
        <v>0</v>
      </c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23" customFormat="1" x14ac:dyDescent="0.35">
      <c r="A11" s="185" t="s">
        <v>74</v>
      </c>
      <c r="B11" s="308" t="s">
        <v>265</v>
      </c>
      <c r="C11" s="306">
        <v>141890</v>
      </c>
      <c r="D11" s="303">
        <v>22600</v>
      </c>
      <c r="E11" s="342">
        <v>50503.92</v>
      </c>
      <c r="F11" s="342">
        <f t="shared" si="0"/>
        <v>91386.08</v>
      </c>
      <c r="G11" s="342">
        <v>6123</v>
      </c>
      <c r="H11" s="342">
        <f>D11-G11</f>
        <v>16477</v>
      </c>
      <c r="I11" s="346">
        <v>63100.81</v>
      </c>
      <c r="J11" s="346">
        <f t="shared" si="1"/>
        <v>78789.19</v>
      </c>
      <c r="K11" s="348">
        <v>6942</v>
      </c>
      <c r="L11" s="348">
        <f t="shared" si="2"/>
        <v>15658</v>
      </c>
      <c r="M11" s="346"/>
      <c r="N11" s="346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23" customFormat="1" x14ac:dyDescent="0.35">
      <c r="A12" s="185" t="s">
        <v>29</v>
      </c>
      <c r="B12" s="308" t="s">
        <v>81</v>
      </c>
      <c r="C12" s="306">
        <v>74702</v>
      </c>
      <c r="D12" s="303">
        <v>28800</v>
      </c>
      <c r="E12" s="342">
        <v>33887.410000000003</v>
      </c>
      <c r="F12" s="342">
        <f t="shared" si="0"/>
        <v>40814.589999999997</v>
      </c>
      <c r="G12" s="342">
        <v>4047</v>
      </c>
      <c r="H12" s="342">
        <f t="shared" ref="H12:H31" si="3">D12-G12</f>
        <v>24753</v>
      </c>
      <c r="I12" s="346">
        <v>40665.019999999997</v>
      </c>
      <c r="J12" s="346">
        <f t="shared" si="1"/>
        <v>34036.980000000003</v>
      </c>
      <c r="K12" s="348">
        <v>4407</v>
      </c>
      <c r="L12" s="348">
        <f t="shared" si="2"/>
        <v>24393</v>
      </c>
      <c r="M12" s="346">
        <v>47442.75</v>
      </c>
      <c r="N12" s="346">
        <v>4709</v>
      </c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23" customFormat="1" x14ac:dyDescent="0.35">
      <c r="A13" s="185" t="s">
        <v>75</v>
      </c>
      <c r="B13" s="308" t="s">
        <v>414</v>
      </c>
      <c r="C13" s="306">
        <v>58608</v>
      </c>
      <c r="D13" s="303">
        <v>4500</v>
      </c>
      <c r="E13" s="342"/>
      <c r="F13" s="342">
        <f t="shared" si="0"/>
        <v>58608</v>
      </c>
      <c r="G13" s="342">
        <v>0</v>
      </c>
      <c r="H13" s="342">
        <f t="shared" si="3"/>
        <v>4500</v>
      </c>
      <c r="I13" s="346"/>
      <c r="J13" s="346">
        <f t="shared" si="1"/>
        <v>58608</v>
      </c>
      <c r="K13" s="348"/>
      <c r="L13" s="348">
        <f t="shared" si="2"/>
        <v>4500</v>
      </c>
      <c r="M13" s="346"/>
      <c r="N13" s="346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23" customFormat="1" x14ac:dyDescent="0.35">
      <c r="A14" s="185" t="s">
        <v>6</v>
      </c>
      <c r="B14" s="308" t="s">
        <v>503</v>
      </c>
      <c r="C14" s="306">
        <v>55172</v>
      </c>
      <c r="D14" s="303">
        <v>0</v>
      </c>
      <c r="E14" s="342">
        <v>13792.99</v>
      </c>
      <c r="F14" s="342">
        <f t="shared" si="0"/>
        <v>41379.01</v>
      </c>
      <c r="G14" s="342">
        <v>0</v>
      </c>
      <c r="H14" s="342">
        <f t="shared" si="3"/>
        <v>0</v>
      </c>
      <c r="I14" s="346">
        <v>35585.99</v>
      </c>
      <c r="J14" s="346">
        <f t="shared" si="1"/>
        <v>19586.010000000002</v>
      </c>
      <c r="K14" s="348">
        <v>0</v>
      </c>
      <c r="L14" s="348">
        <f t="shared" si="2"/>
        <v>0</v>
      </c>
      <c r="M14" s="346"/>
      <c r="N14" s="346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23" customFormat="1" x14ac:dyDescent="0.35">
      <c r="A15" s="185" t="s">
        <v>30</v>
      </c>
      <c r="B15" s="308" t="s">
        <v>415</v>
      </c>
      <c r="C15" s="306">
        <v>42790</v>
      </c>
      <c r="D15" s="303">
        <v>0</v>
      </c>
      <c r="E15" s="342"/>
      <c r="F15" s="342">
        <f t="shared" si="0"/>
        <v>42790</v>
      </c>
      <c r="G15" s="342">
        <v>0</v>
      </c>
      <c r="H15" s="342">
        <f t="shared" si="3"/>
        <v>0</v>
      </c>
      <c r="I15" s="346"/>
      <c r="J15" s="346">
        <f t="shared" si="1"/>
        <v>42790</v>
      </c>
      <c r="K15" s="348"/>
      <c r="L15" s="348">
        <f t="shared" si="2"/>
        <v>0</v>
      </c>
      <c r="M15" s="346">
        <v>13728</v>
      </c>
      <c r="N15" s="346">
        <v>0</v>
      </c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23" customFormat="1" x14ac:dyDescent="0.35">
      <c r="A16" s="185" t="s">
        <v>31</v>
      </c>
      <c r="B16" s="308" t="s">
        <v>416</v>
      </c>
      <c r="C16" s="306">
        <v>156616</v>
      </c>
      <c r="D16" s="303">
        <v>0</v>
      </c>
      <c r="E16" s="342">
        <v>48928</v>
      </c>
      <c r="F16" s="342">
        <f t="shared" si="0"/>
        <v>107688</v>
      </c>
      <c r="G16" s="342">
        <v>0</v>
      </c>
      <c r="H16" s="342">
        <f t="shared" si="3"/>
        <v>0</v>
      </c>
      <c r="I16" s="346">
        <v>61781</v>
      </c>
      <c r="J16" s="346">
        <f t="shared" si="1"/>
        <v>94835</v>
      </c>
      <c r="K16" s="348">
        <v>0</v>
      </c>
      <c r="L16" s="348">
        <f t="shared" si="2"/>
        <v>0</v>
      </c>
      <c r="M16" s="346"/>
      <c r="N16" s="346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s="23" customFormat="1" x14ac:dyDescent="0.35">
      <c r="A17" s="185" t="s">
        <v>68</v>
      </c>
      <c r="B17" s="308" t="s">
        <v>417</v>
      </c>
      <c r="C17" s="306">
        <v>42790</v>
      </c>
      <c r="D17" s="303">
        <v>13415</v>
      </c>
      <c r="E17" s="342">
        <v>16760.09</v>
      </c>
      <c r="F17" s="342">
        <f t="shared" si="0"/>
        <v>26029.91</v>
      </c>
      <c r="G17" s="342">
        <v>4362</v>
      </c>
      <c r="H17" s="342">
        <f t="shared" si="3"/>
        <v>9053</v>
      </c>
      <c r="I17" s="346">
        <v>19979.599999999999</v>
      </c>
      <c r="J17" s="346">
        <f t="shared" si="1"/>
        <v>22810.400000000001</v>
      </c>
      <c r="K17" s="348">
        <v>5717</v>
      </c>
      <c r="L17" s="348">
        <f t="shared" si="2"/>
        <v>7698</v>
      </c>
      <c r="M17" s="346">
        <v>23519.11</v>
      </c>
      <c r="N17" s="346">
        <v>6027</v>
      </c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s="23" customFormat="1" x14ac:dyDescent="0.35">
      <c r="A18" s="185" t="s">
        <v>357</v>
      </c>
      <c r="B18" s="308" t="s">
        <v>358</v>
      </c>
      <c r="C18" s="306">
        <v>42790</v>
      </c>
      <c r="D18" s="303">
        <v>0</v>
      </c>
      <c r="E18" s="342">
        <v>42790</v>
      </c>
      <c r="F18" s="342">
        <f t="shared" si="0"/>
        <v>0</v>
      </c>
      <c r="G18" s="342">
        <v>0</v>
      </c>
      <c r="H18" s="342">
        <f t="shared" si="3"/>
        <v>0</v>
      </c>
      <c r="I18" s="346">
        <v>26177.02</v>
      </c>
      <c r="J18" s="346">
        <f t="shared" si="1"/>
        <v>16612.98</v>
      </c>
      <c r="K18" s="348">
        <v>0</v>
      </c>
      <c r="L18" s="348">
        <f t="shared" si="2"/>
        <v>0</v>
      </c>
      <c r="M18" s="346"/>
      <c r="N18" s="346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s="23" customFormat="1" x14ac:dyDescent="0.35">
      <c r="A19" s="185" t="s">
        <v>140</v>
      </c>
      <c r="B19" s="308" t="s">
        <v>502</v>
      </c>
      <c r="C19" s="306">
        <v>103448</v>
      </c>
      <c r="D19" s="303">
        <v>39854</v>
      </c>
      <c r="E19" s="342">
        <v>60048.639999999999</v>
      </c>
      <c r="F19" s="342">
        <f t="shared" si="0"/>
        <v>43399.360000000001</v>
      </c>
      <c r="G19" s="342">
        <v>16595</v>
      </c>
      <c r="H19" s="342">
        <f t="shared" si="3"/>
        <v>23259</v>
      </c>
      <c r="I19" s="346">
        <v>60048.639999999999</v>
      </c>
      <c r="J19" s="346">
        <f t="shared" si="1"/>
        <v>43399.360000000001</v>
      </c>
      <c r="K19" s="348">
        <v>16595</v>
      </c>
      <c r="L19" s="348">
        <f t="shared" si="2"/>
        <v>23259</v>
      </c>
      <c r="M19" s="346"/>
      <c r="N19" s="346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23" customFormat="1" ht="43.5" x14ac:dyDescent="0.35">
      <c r="A20" s="185" t="s">
        <v>141</v>
      </c>
      <c r="B20" s="308" t="s">
        <v>263</v>
      </c>
      <c r="C20" s="306">
        <v>196267</v>
      </c>
      <c r="D20" s="303">
        <v>0</v>
      </c>
      <c r="E20" s="342"/>
      <c r="F20" s="342">
        <f t="shared" si="0"/>
        <v>196267</v>
      </c>
      <c r="G20" s="342">
        <v>0</v>
      </c>
      <c r="H20" s="342">
        <f t="shared" si="3"/>
        <v>0</v>
      </c>
      <c r="I20" s="346"/>
      <c r="J20" s="346">
        <f t="shared" si="1"/>
        <v>196267</v>
      </c>
      <c r="K20" s="348"/>
      <c r="L20" s="348">
        <f t="shared" si="2"/>
        <v>0</v>
      </c>
      <c r="M20" s="346"/>
      <c r="N20" s="346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s="23" customFormat="1" x14ac:dyDescent="0.35">
      <c r="A21" s="185" t="s">
        <v>356</v>
      </c>
      <c r="B21" s="308" t="s">
        <v>504</v>
      </c>
      <c r="C21" s="306">
        <v>40000</v>
      </c>
      <c r="D21" s="303">
        <v>0</v>
      </c>
      <c r="E21" s="342">
        <v>11194.68</v>
      </c>
      <c r="F21" s="342">
        <f t="shared" si="0"/>
        <v>28805.32</v>
      </c>
      <c r="G21" s="342">
        <v>0</v>
      </c>
      <c r="H21" s="342">
        <f t="shared" si="3"/>
        <v>0</v>
      </c>
      <c r="I21" s="346">
        <v>20853.759999999998</v>
      </c>
      <c r="J21" s="346">
        <f t="shared" si="1"/>
        <v>19146.240000000002</v>
      </c>
      <c r="K21" s="348">
        <v>0</v>
      </c>
      <c r="L21" s="348">
        <f t="shared" si="2"/>
        <v>0</v>
      </c>
      <c r="M21" s="346">
        <v>25909.47</v>
      </c>
      <c r="N21" s="346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s="23" customFormat="1" x14ac:dyDescent="0.35">
      <c r="A22" s="185" t="s">
        <v>7</v>
      </c>
      <c r="B22" s="308" t="s">
        <v>8</v>
      </c>
      <c r="C22" s="306">
        <v>60076</v>
      </c>
      <c r="D22" s="303">
        <v>9835</v>
      </c>
      <c r="E22" s="342"/>
      <c r="F22" s="342">
        <f t="shared" si="0"/>
        <v>60076</v>
      </c>
      <c r="G22" s="342"/>
      <c r="H22" s="342">
        <f t="shared" si="3"/>
        <v>9835</v>
      </c>
      <c r="I22" s="346">
        <v>50281.66</v>
      </c>
      <c r="J22" s="346">
        <f t="shared" si="1"/>
        <v>9794.3399999999965</v>
      </c>
      <c r="K22" s="348">
        <v>1044</v>
      </c>
      <c r="L22" s="348">
        <f t="shared" si="2"/>
        <v>8791</v>
      </c>
      <c r="M22" s="346"/>
      <c r="N22" s="346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s="23" customFormat="1" x14ac:dyDescent="0.35">
      <c r="A23" s="185" t="s">
        <v>69</v>
      </c>
      <c r="B23" s="308" t="s">
        <v>76</v>
      </c>
      <c r="C23" s="306">
        <v>94592</v>
      </c>
      <c r="D23" s="303">
        <v>84000</v>
      </c>
      <c r="E23" s="342">
        <v>29891.74</v>
      </c>
      <c r="F23" s="342">
        <f t="shared" si="0"/>
        <v>64700.259999999995</v>
      </c>
      <c r="G23" s="342">
        <v>29501</v>
      </c>
      <c r="H23" s="342">
        <f>D23-G23</f>
        <v>54499</v>
      </c>
      <c r="I23" s="346">
        <v>36576.69</v>
      </c>
      <c r="J23" s="346">
        <f t="shared" si="1"/>
        <v>58015.31</v>
      </c>
      <c r="K23" s="348">
        <v>29501</v>
      </c>
      <c r="L23" s="348">
        <f t="shared" si="2"/>
        <v>54499</v>
      </c>
      <c r="M23" s="346">
        <v>43261.64</v>
      </c>
      <c r="N23" s="346">
        <v>44981</v>
      </c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s="23" customFormat="1" x14ac:dyDescent="0.35">
      <c r="A24" s="185" t="s">
        <v>9</v>
      </c>
      <c r="B24" s="308" t="s">
        <v>77</v>
      </c>
      <c r="C24" s="306">
        <v>114948</v>
      </c>
      <c r="D24" s="303">
        <v>11000</v>
      </c>
      <c r="E24" s="342">
        <f>9579+9579+9579+1198.28</f>
        <v>29935.279999999999</v>
      </c>
      <c r="F24" s="342">
        <f t="shared" si="0"/>
        <v>85012.72</v>
      </c>
      <c r="G24" s="342"/>
      <c r="H24" s="342">
        <f t="shared" si="3"/>
        <v>11000</v>
      </c>
      <c r="I24" s="346">
        <v>54474</v>
      </c>
      <c r="J24" s="346">
        <f t="shared" si="1"/>
        <v>60474</v>
      </c>
      <c r="K24" s="348">
        <v>4499</v>
      </c>
      <c r="L24" s="348">
        <f t="shared" si="2"/>
        <v>6501</v>
      </c>
      <c r="M24" s="346"/>
      <c r="N24" s="346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s="23" customFormat="1" x14ac:dyDescent="0.35">
      <c r="A25" s="185" t="s">
        <v>10</v>
      </c>
      <c r="B25" s="308" t="s">
        <v>418</v>
      </c>
      <c r="C25" s="306">
        <v>245768</v>
      </c>
      <c r="D25" s="303">
        <v>20040</v>
      </c>
      <c r="E25" s="342">
        <v>209755</v>
      </c>
      <c r="F25" s="342">
        <f t="shared" si="0"/>
        <v>36013</v>
      </c>
      <c r="G25" s="342">
        <v>11645</v>
      </c>
      <c r="H25" s="342">
        <f t="shared" si="3"/>
        <v>8395</v>
      </c>
      <c r="I25" s="346">
        <v>219755</v>
      </c>
      <c r="J25" s="346">
        <f t="shared" si="1"/>
        <v>26013</v>
      </c>
      <c r="K25" s="348">
        <v>17656</v>
      </c>
      <c r="L25" s="348">
        <f t="shared" si="2"/>
        <v>2384</v>
      </c>
      <c r="M25" s="346"/>
      <c r="N25" s="346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s="23" customFormat="1" x14ac:dyDescent="0.35">
      <c r="A26" s="185" t="s">
        <v>11</v>
      </c>
      <c r="B26" s="308" t="s">
        <v>12</v>
      </c>
      <c r="C26" s="306">
        <v>54070</v>
      </c>
      <c r="D26" s="303">
        <v>0</v>
      </c>
      <c r="E26" s="343">
        <v>34203.519999999997</v>
      </c>
      <c r="F26" s="342">
        <f t="shared" si="0"/>
        <v>19866.480000000003</v>
      </c>
      <c r="G26" s="343">
        <v>0</v>
      </c>
      <c r="H26" s="342">
        <f t="shared" si="3"/>
        <v>0</v>
      </c>
      <c r="I26" s="346"/>
      <c r="J26" s="346">
        <f t="shared" si="1"/>
        <v>54070</v>
      </c>
      <c r="K26" s="348"/>
      <c r="L26" s="348">
        <f t="shared" si="2"/>
        <v>0</v>
      </c>
      <c r="M26" s="346">
        <v>217634</v>
      </c>
      <c r="N26" s="346">
        <v>16500</v>
      </c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23" customFormat="1" x14ac:dyDescent="0.35">
      <c r="A27" s="185" t="s">
        <v>70</v>
      </c>
      <c r="B27" s="308" t="s">
        <v>419</v>
      </c>
      <c r="C27" s="306">
        <v>84044</v>
      </c>
      <c r="D27" s="303">
        <v>14700</v>
      </c>
      <c r="E27" s="342">
        <v>17830</v>
      </c>
      <c r="F27" s="342">
        <f t="shared" si="0"/>
        <v>66214</v>
      </c>
      <c r="G27" s="342">
        <v>3800</v>
      </c>
      <c r="H27" s="342">
        <f t="shared" si="3"/>
        <v>10900</v>
      </c>
      <c r="I27" s="346"/>
      <c r="J27" s="346">
        <f t="shared" si="1"/>
        <v>84044</v>
      </c>
      <c r="K27" s="348"/>
      <c r="L27" s="348">
        <f t="shared" si="2"/>
        <v>14700</v>
      </c>
      <c r="M27" s="346">
        <v>21396</v>
      </c>
      <c r="N27" s="346">
        <v>3885</v>
      </c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s="23" customFormat="1" x14ac:dyDescent="0.35">
      <c r="A28" s="185" t="s">
        <v>71</v>
      </c>
      <c r="B28" s="308" t="s">
        <v>262</v>
      </c>
      <c r="C28" s="306">
        <v>42789.600000000006</v>
      </c>
      <c r="D28" s="303">
        <v>1000</v>
      </c>
      <c r="E28" s="342">
        <v>23792.2</v>
      </c>
      <c r="F28" s="342">
        <f t="shared" si="0"/>
        <v>18997.400000000005</v>
      </c>
      <c r="G28" s="342">
        <v>600</v>
      </c>
      <c r="H28" s="342">
        <f t="shared" si="3"/>
        <v>400</v>
      </c>
      <c r="I28" s="346">
        <v>23792.2</v>
      </c>
      <c r="J28" s="346">
        <f t="shared" si="1"/>
        <v>18997.400000000005</v>
      </c>
      <c r="K28" s="348">
        <v>600</v>
      </c>
      <c r="L28" s="348">
        <f t="shared" si="2"/>
        <v>400</v>
      </c>
      <c r="M28" s="346">
        <v>38550.58</v>
      </c>
      <c r="N28" s="346">
        <v>600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s="23" customFormat="1" x14ac:dyDescent="0.35">
      <c r="A29" s="185" t="s">
        <v>72</v>
      </c>
      <c r="B29" s="308" t="s">
        <v>78</v>
      </c>
      <c r="C29" s="306">
        <v>133581</v>
      </c>
      <c r="D29" s="303">
        <v>19950</v>
      </c>
      <c r="E29" s="342">
        <v>22545.33</v>
      </c>
      <c r="F29" s="342">
        <v>19950</v>
      </c>
      <c r="G29" s="342">
        <v>5526.2</v>
      </c>
      <c r="H29" s="342">
        <f>D29-G29</f>
        <v>14423.8</v>
      </c>
      <c r="I29" s="346"/>
      <c r="J29" s="346">
        <f t="shared" si="1"/>
        <v>133581</v>
      </c>
      <c r="K29" s="348"/>
      <c r="L29" s="348">
        <f t="shared" si="2"/>
        <v>19950</v>
      </c>
      <c r="M29" s="346">
        <v>39276.019999999997</v>
      </c>
      <c r="N29" s="346">
        <v>8026.2</v>
      </c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s="23" customFormat="1" x14ac:dyDescent="0.35">
      <c r="A30" s="185" t="s">
        <v>13</v>
      </c>
      <c r="B30" s="308" t="s">
        <v>264</v>
      </c>
      <c r="C30" s="306">
        <v>99273</v>
      </c>
      <c r="D30" s="303">
        <v>7920</v>
      </c>
      <c r="E30" s="342">
        <v>99273</v>
      </c>
      <c r="F30" s="342">
        <f t="shared" si="0"/>
        <v>0</v>
      </c>
      <c r="G30" s="342">
        <v>0</v>
      </c>
      <c r="H30" s="342">
        <f t="shared" si="3"/>
        <v>7920</v>
      </c>
      <c r="I30" s="346">
        <v>99273</v>
      </c>
      <c r="J30" s="346">
        <f t="shared" si="1"/>
        <v>0</v>
      </c>
      <c r="K30" s="348">
        <v>0</v>
      </c>
      <c r="L30" s="348">
        <f t="shared" si="2"/>
        <v>7920</v>
      </c>
      <c r="M30" s="346">
        <v>99273</v>
      </c>
      <c r="N30" s="346">
        <v>0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s="23" customFormat="1" x14ac:dyDescent="0.35">
      <c r="A31" s="185" t="s">
        <v>73</v>
      </c>
      <c r="B31" s="308" t="s">
        <v>180</v>
      </c>
      <c r="C31" s="186">
        <v>80165</v>
      </c>
      <c r="D31" s="303">
        <v>0</v>
      </c>
      <c r="E31" s="342"/>
      <c r="F31" s="342">
        <f t="shared" si="0"/>
        <v>80165</v>
      </c>
      <c r="G31" s="342">
        <v>0</v>
      </c>
      <c r="H31" s="342">
        <f t="shared" si="3"/>
        <v>0</v>
      </c>
      <c r="I31" s="346"/>
      <c r="J31" s="346">
        <f t="shared" si="1"/>
        <v>80165</v>
      </c>
      <c r="K31" s="348"/>
      <c r="L31" s="348">
        <f t="shared" si="2"/>
        <v>0</v>
      </c>
      <c r="M31" s="346"/>
      <c r="N31" s="346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s="160" customFormat="1" ht="15" thickBot="1" x14ac:dyDescent="0.4">
      <c r="A32" s="309"/>
      <c r="B32" s="180"/>
      <c r="C32" s="310"/>
      <c r="D32" s="311"/>
      <c r="E32" s="344"/>
      <c r="F32" s="344"/>
      <c r="G32" s="344"/>
      <c r="H32" s="344"/>
      <c r="I32" s="347"/>
      <c r="J32" s="347"/>
      <c r="K32" s="349"/>
      <c r="L32" s="349"/>
      <c r="M32" s="347"/>
      <c r="N32" s="347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</row>
    <row r="33" spans="1:38" s="24" customFormat="1" ht="15" thickBot="1" x14ac:dyDescent="0.4">
      <c r="A33" s="312" t="s">
        <v>46</v>
      </c>
      <c r="B33" s="173"/>
      <c r="C33" s="313">
        <f>SUM(C9:C31)</f>
        <v>2260992.2000000002</v>
      </c>
      <c r="D33" s="314">
        <f>SUM(D9:D31)</f>
        <v>323256</v>
      </c>
      <c r="E33" s="345">
        <f t="shared" ref="E33:AA33" si="4">SUM(E9:E31)</f>
        <v>860344.44</v>
      </c>
      <c r="F33" s="345">
        <f t="shared" si="4"/>
        <v>1309562.0899999999</v>
      </c>
      <c r="G33" s="345">
        <f t="shared" si="4"/>
        <v>99256.2</v>
      </c>
      <c r="H33" s="345">
        <f t="shared" si="4"/>
        <v>223999.8</v>
      </c>
      <c r="I33" s="242">
        <f t="shared" si="4"/>
        <v>937314</v>
      </c>
      <c r="J33" s="242">
        <f t="shared" si="4"/>
        <v>1323678.2</v>
      </c>
      <c r="K33" s="350">
        <f t="shared" si="4"/>
        <v>110580</v>
      </c>
      <c r="L33" s="350">
        <f t="shared" si="4"/>
        <v>212676</v>
      </c>
      <c r="M33" s="242">
        <f t="shared" si="4"/>
        <v>590096.57000000007</v>
      </c>
      <c r="N33" s="242">
        <f t="shared" si="4"/>
        <v>84728.2</v>
      </c>
      <c r="O33" s="242">
        <f t="shared" si="4"/>
        <v>0</v>
      </c>
      <c r="P33" s="242">
        <f t="shared" si="4"/>
        <v>0</v>
      </c>
      <c r="Q33" s="242">
        <f t="shared" si="4"/>
        <v>0</v>
      </c>
      <c r="R33" s="242">
        <f t="shared" si="4"/>
        <v>0</v>
      </c>
      <c r="S33" s="242">
        <f t="shared" si="4"/>
        <v>0</v>
      </c>
      <c r="T33" s="242">
        <f t="shared" si="4"/>
        <v>0</v>
      </c>
      <c r="U33" s="242">
        <f t="shared" si="4"/>
        <v>0</v>
      </c>
      <c r="V33" s="242">
        <f t="shared" si="4"/>
        <v>0</v>
      </c>
      <c r="W33" s="242">
        <f t="shared" si="4"/>
        <v>0</v>
      </c>
      <c r="X33" s="242">
        <f t="shared" si="4"/>
        <v>0</v>
      </c>
      <c r="Y33" s="242">
        <f t="shared" si="4"/>
        <v>0</v>
      </c>
      <c r="Z33" s="242">
        <f t="shared" si="4"/>
        <v>0</v>
      </c>
      <c r="AA33" s="242">
        <f t="shared" si="4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</row>
    <row r="34" spans="1:38" x14ac:dyDescent="0.35">
      <c r="C34" s="31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x14ac:dyDescent="0.35">
      <c r="C35" s="31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x14ac:dyDescent="0.35">
      <c r="C36" s="31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x14ac:dyDescent="0.35">
      <c r="C37" s="189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x14ac:dyDescent="0.35">
      <c r="C38" s="31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x14ac:dyDescent="0.35"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x14ac:dyDescent="0.35"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x14ac:dyDescent="0.35"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x14ac:dyDescent="0.35"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38" x14ac:dyDescent="0.35"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38" x14ac:dyDescent="0.35"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38" x14ac:dyDescent="0.35"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38" x14ac:dyDescent="0.35"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38" x14ac:dyDescent="0.35">
      <c r="D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38" x14ac:dyDescent="0.35">
      <c r="D48" s="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4:27" x14ac:dyDescent="0.35"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4:27" x14ac:dyDescent="0.35">
      <c r="D50" s="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4:27" x14ac:dyDescent="0.35">
      <c r="D51" s="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4:27" x14ac:dyDescent="0.35">
      <c r="D52" s="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4:27" x14ac:dyDescent="0.35">
      <c r="D53" s="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4:27" x14ac:dyDescent="0.35">
      <c r="D54" s="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4:27" x14ac:dyDescent="0.35">
      <c r="D55" s="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4:27" x14ac:dyDescent="0.35">
      <c r="D56" s="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4:27" x14ac:dyDescent="0.35">
      <c r="D57" s="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4:27" x14ac:dyDescent="0.35"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4:27" x14ac:dyDescent="0.35"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4:27" x14ac:dyDescent="0.35">
      <c r="D60" s="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4:27" x14ac:dyDescent="0.35">
      <c r="D61" s="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4:27" x14ac:dyDescent="0.35">
      <c r="D62" s="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4:27" x14ac:dyDescent="0.35"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4:27" x14ac:dyDescent="0.35">
      <c r="D64" s="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4:27" x14ac:dyDescent="0.35">
      <c r="D65" s="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4:27" x14ac:dyDescent="0.35"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4:27" x14ac:dyDescent="0.35"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4:27" x14ac:dyDescent="0.35">
      <c r="D68" s="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4:27" x14ac:dyDescent="0.35"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4:27" x14ac:dyDescent="0.35"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4:27" x14ac:dyDescent="0.35">
      <c r="D71" s="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4:27" x14ac:dyDescent="0.35">
      <c r="D72" s="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4:27" x14ac:dyDescent="0.35">
      <c r="D73" s="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4:27" x14ac:dyDescent="0.35">
      <c r="D74" s="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4:27" x14ac:dyDescent="0.35">
      <c r="D75" s="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4:27" x14ac:dyDescent="0.35"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4:27" x14ac:dyDescent="0.35">
      <c r="D77" s="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4:27" x14ac:dyDescent="0.35">
      <c r="D78" s="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4:27" x14ac:dyDescent="0.35"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4:27" x14ac:dyDescent="0.35">
      <c r="D80" s="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4:27" x14ac:dyDescent="0.35"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4:27" x14ac:dyDescent="0.35">
      <c r="D82" s="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4:27" x14ac:dyDescent="0.35">
      <c r="D83" s="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4:27" x14ac:dyDescent="0.35"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4:27" x14ac:dyDescent="0.35">
      <c r="D85" s="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4:27" x14ac:dyDescent="0.35"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4:27" x14ac:dyDescent="0.35">
      <c r="D87" s="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4:27" x14ac:dyDescent="0.35"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4:27" x14ac:dyDescent="0.35">
      <c r="D89" s="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4:27" x14ac:dyDescent="0.35">
      <c r="D90" s="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4:27" x14ac:dyDescent="0.35">
      <c r="D91" s="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4:27" x14ac:dyDescent="0.35"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4:27" x14ac:dyDescent="0.35">
      <c r="D93" s="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4:27" x14ac:dyDescent="0.35"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4:27" x14ac:dyDescent="0.35">
      <c r="D95" s="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4:27" x14ac:dyDescent="0.35"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4:27" x14ac:dyDescent="0.35">
      <c r="D97" s="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4:27" x14ac:dyDescent="0.35">
      <c r="D98" s="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4:27" x14ac:dyDescent="0.35"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4:27" x14ac:dyDescent="0.35">
      <c r="D100" s="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4:27" x14ac:dyDescent="0.35"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4:27" x14ac:dyDescent="0.35">
      <c r="D102" s="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4:27" x14ac:dyDescent="0.35"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4:27" x14ac:dyDescent="0.35">
      <c r="D104" s="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4:27" x14ac:dyDescent="0.35">
      <c r="D105" s="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4:27" x14ac:dyDescent="0.35">
      <c r="D106" s="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4:27" x14ac:dyDescent="0.35">
      <c r="D107" s="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4:27" x14ac:dyDescent="0.35">
      <c r="D108" s="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4:27" x14ac:dyDescent="0.35">
      <c r="D109" s="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4:27" x14ac:dyDescent="0.35">
      <c r="D110" s="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4:27" x14ac:dyDescent="0.35">
      <c r="D111" s="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4:27" x14ac:dyDescent="0.35">
      <c r="D112" s="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4:27" x14ac:dyDescent="0.35"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4:27" x14ac:dyDescent="0.35"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4:27" x14ac:dyDescent="0.35"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4:27" x14ac:dyDescent="0.35"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4:27" x14ac:dyDescent="0.35"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4:27" x14ac:dyDescent="0.35"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4:27" x14ac:dyDescent="0.35"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4:27" x14ac:dyDescent="0.35"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4:27" x14ac:dyDescent="0.35"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4:27" x14ac:dyDescent="0.35"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4:27" x14ac:dyDescent="0.35"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4:27" x14ac:dyDescent="0.35"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4:27" x14ac:dyDescent="0.35"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4:27" x14ac:dyDescent="0.35"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4:27" x14ac:dyDescent="0.35"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4:27" x14ac:dyDescent="0.35"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4:27" x14ac:dyDescent="0.35"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4:27" x14ac:dyDescent="0.35"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4:27" x14ac:dyDescent="0.35"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4:27" x14ac:dyDescent="0.35"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4:27" x14ac:dyDescent="0.35"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4:27" x14ac:dyDescent="0.35"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4:27" x14ac:dyDescent="0.35"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4:27" x14ac:dyDescent="0.35"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4:27" x14ac:dyDescent="0.35"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4:27" x14ac:dyDescent="0.35"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4:27" x14ac:dyDescent="0.35"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4:27" x14ac:dyDescent="0.35"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</sheetData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7">
    <tabColor theme="2"/>
  </sheetPr>
  <dimension ref="A1:AB46"/>
  <sheetViews>
    <sheetView workbookViewId="0">
      <pane xSplit="5" ySplit="8" topLeftCell="F9" activePane="bottomRight" state="frozen"/>
      <selection activeCell="A8" sqref="A8:XFD8"/>
      <selection pane="topRight" activeCell="A8" sqref="A8:XFD8"/>
      <selection pane="bottomLeft" activeCell="A8" sqref="A8:XFD8"/>
      <selection pane="bottomRight" activeCell="F21" sqref="F21"/>
    </sheetView>
  </sheetViews>
  <sheetFormatPr defaultColWidth="8.7265625" defaultRowHeight="14.5" x14ac:dyDescent="0.35"/>
  <cols>
    <col min="1" max="1" width="9.54296875" style="44" customWidth="1"/>
    <col min="2" max="2" width="30.26953125" style="44" customWidth="1"/>
    <col min="3" max="5" width="14.7265625" style="44" customWidth="1"/>
    <col min="6" max="26" width="12.7265625" style="44" customWidth="1"/>
    <col min="27" max="28" width="21.26953125" style="44" customWidth="1"/>
    <col min="29" max="16384" width="8.7265625" style="44"/>
  </cols>
  <sheetData>
    <row r="1" spans="1:28" ht="21" x14ac:dyDescent="0.5">
      <c r="A1" s="47" t="s">
        <v>0</v>
      </c>
      <c r="B1" s="53"/>
      <c r="C1" s="48" t="s">
        <v>169</v>
      </c>
      <c r="D1" s="47"/>
      <c r="E1" s="49"/>
      <c r="F1" s="48"/>
      <c r="G1" s="48"/>
      <c r="H1" s="48"/>
      <c r="I1" s="47"/>
      <c r="J1" s="47"/>
      <c r="K1" s="49"/>
      <c r="L1" s="47" t="str">
        <f>$C$1</f>
        <v>Deaf and Blind Centers</v>
      </c>
      <c r="M1" s="54"/>
      <c r="N1" s="54"/>
      <c r="O1" s="48"/>
      <c r="P1" s="48"/>
      <c r="Q1" s="47"/>
      <c r="R1" s="47" t="str">
        <f>$C$1</f>
        <v>Deaf and Blind Centers</v>
      </c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21" x14ac:dyDescent="0.5">
      <c r="A2" s="47" t="s">
        <v>155</v>
      </c>
      <c r="B2" s="49"/>
      <c r="C2" s="47" t="s">
        <v>170</v>
      </c>
      <c r="D2" s="50"/>
      <c r="E2" s="9"/>
      <c r="F2" s="9"/>
      <c r="G2" s="9"/>
      <c r="H2" s="9"/>
      <c r="I2" s="52"/>
      <c r="J2" s="52"/>
      <c r="K2" s="52"/>
      <c r="L2" s="131" t="str">
        <f>"FY"&amp;$C$4</f>
        <v>FY</v>
      </c>
      <c r="M2" s="52"/>
      <c r="N2" s="52"/>
      <c r="O2" s="52"/>
      <c r="P2" s="52"/>
      <c r="Q2" s="52"/>
      <c r="R2" s="131" t="str">
        <f>"FY"&amp;$C$4</f>
        <v>FY</v>
      </c>
      <c r="S2" s="52"/>
      <c r="T2" s="52"/>
      <c r="U2" s="52"/>
      <c r="V2" s="52"/>
      <c r="W2" s="52"/>
      <c r="X2" s="52"/>
      <c r="Y2" s="52"/>
      <c r="Z2" s="52"/>
      <c r="AA2" s="47"/>
      <c r="AB2" s="47"/>
    </row>
    <row r="3" spans="1:28" ht="15.5" x14ac:dyDescent="0.35">
      <c r="A3" s="50" t="s">
        <v>1</v>
      </c>
      <c r="B3" s="53"/>
      <c r="C3" s="51">
        <v>5326</v>
      </c>
      <c r="D3" s="50"/>
      <c r="E3" s="19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5.5" x14ac:dyDescent="0.35">
      <c r="A4" s="50" t="s">
        <v>2</v>
      </c>
      <c r="B4" s="53"/>
      <c r="C4" s="51"/>
      <c r="D4" s="50"/>
      <c r="E4" s="19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ht="15.5" x14ac:dyDescent="0.35">
      <c r="A5" s="50" t="s">
        <v>18</v>
      </c>
      <c r="B5" s="53"/>
      <c r="C5" s="63" t="s">
        <v>444</v>
      </c>
      <c r="D5" s="50"/>
      <c r="E5" s="9"/>
      <c r="F5" s="9"/>
      <c r="G5" s="9"/>
      <c r="H5" s="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5.5" x14ac:dyDescent="0.35">
      <c r="A6" s="50" t="s">
        <v>19</v>
      </c>
      <c r="B6" s="53"/>
      <c r="C6" s="67" t="s">
        <v>445</v>
      </c>
      <c r="D6" s="50"/>
      <c r="E6" s="9"/>
      <c r="F6" s="9"/>
      <c r="G6" s="9"/>
      <c r="H6" s="9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16" thickBot="1" x14ac:dyDescent="0.4">
      <c r="A7" s="50"/>
      <c r="B7" s="53"/>
      <c r="C7" s="50"/>
      <c r="D7" s="50"/>
      <c r="E7" s="9"/>
      <c r="F7" s="9"/>
      <c r="G7" s="9"/>
      <c r="H7" s="9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ht="29.5" thickBot="1" x14ac:dyDescent="0.4">
      <c r="A8" s="127" t="s">
        <v>145</v>
      </c>
      <c r="B8" s="12" t="s">
        <v>139</v>
      </c>
      <c r="C8" s="12" t="s">
        <v>15</v>
      </c>
      <c r="D8" s="13" t="s">
        <v>16</v>
      </c>
      <c r="E8" s="29" t="s">
        <v>17</v>
      </c>
      <c r="F8" s="26" t="s">
        <v>133</v>
      </c>
      <c r="G8" s="27" t="s">
        <v>134</v>
      </c>
      <c r="H8" s="26" t="s">
        <v>135</v>
      </c>
      <c r="I8" s="27" t="s">
        <v>172</v>
      </c>
      <c r="J8" s="26" t="s">
        <v>173</v>
      </c>
      <c r="K8" s="27" t="s">
        <v>137</v>
      </c>
      <c r="L8" s="27" t="s">
        <v>252</v>
      </c>
      <c r="M8" s="27" t="s">
        <v>253</v>
      </c>
      <c r="N8" s="27" t="s">
        <v>254</v>
      </c>
      <c r="O8" s="27" t="s">
        <v>255</v>
      </c>
      <c r="P8" s="27" t="s">
        <v>256</v>
      </c>
      <c r="Q8" s="27" t="s">
        <v>441</v>
      </c>
      <c r="R8" s="26" t="s">
        <v>258</v>
      </c>
      <c r="S8" s="27" t="s">
        <v>259</v>
      </c>
      <c r="T8" s="27" t="s">
        <v>260</v>
      </c>
      <c r="U8" s="27" t="s">
        <v>442</v>
      </c>
      <c r="V8" s="26" t="s">
        <v>443</v>
      </c>
      <c r="W8" s="27" t="s">
        <v>137</v>
      </c>
      <c r="X8" s="12" t="s">
        <v>166</v>
      </c>
      <c r="Y8" s="27" t="s">
        <v>134</v>
      </c>
      <c r="Z8" s="27" t="s">
        <v>135</v>
      </c>
      <c r="AA8" s="12" t="s">
        <v>166</v>
      </c>
      <c r="AB8" s="12" t="s">
        <v>167</v>
      </c>
    </row>
    <row r="9" spans="1:28" ht="15" thickBot="1" x14ac:dyDescent="0.4">
      <c r="A9" s="105"/>
      <c r="B9" s="106"/>
      <c r="C9" s="107"/>
      <c r="D9" s="107">
        <f>SUM(F9:AA9)</f>
        <v>0</v>
      </c>
      <c r="E9" s="107">
        <f>C9-D9</f>
        <v>0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8" ht="15" thickBot="1" x14ac:dyDescent="0.4">
      <c r="A10" s="70"/>
      <c r="B10" s="123"/>
      <c r="C10" s="107"/>
      <c r="D10" s="107">
        <f>SUM(F10:AA10)</f>
        <v>0</v>
      </c>
      <c r="E10" s="107">
        <f>C10-D10</f>
        <v>0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8" ht="15" thickBot="1" x14ac:dyDescent="0.4">
      <c r="A11" s="124"/>
      <c r="B11" s="123"/>
      <c r="C11" s="107"/>
      <c r="D11" s="107">
        <f>SUM(F11:AA11)</f>
        <v>0</v>
      </c>
      <c r="E11" s="107">
        <f>C11-D11</f>
        <v>0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8" ht="15" thickBot="1" x14ac:dyDescent="0.4">
      <c r="A12" s="70"/>
      <c r="B12" s="123"/>
      <c r="C12" s="109"/>
      <c r="D12" s="107"/>
      <c r="E12" s="107"/>
      <c r="F12" s="108"/>
      <c r="G12" s="108"/>
      <c r="H12" s="108"/>
      <c r="I12" s="108"/>
      <c r="J12" s="108"/>
      <c r="K12" s="108"/>
      <c r="L12" s="108"/>
      <c r="M12" s="108"/>
      <c r="N12" s="108"/>
      <c r="O12" s="108" t="s">
        <v>33</v>
      </c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75"/>
      <c r="AB12" s="75"/>
    </row>
    <row r="13" spans="1:28" s="14" customFormat="1" ht="15" thickBot="1" x14ac:dyDescent="0.4">
      <c r="A13" s="72" t="s">
        <v>46</v>
      </c>
      <c r="B13" s="42"/>
      <c r="C13" s="73">
        <f t="shared" ref="C13:AB13" si="0">SUM(C9:C11)</f>
        <v>0</v>
      </c>
      <c r="D13" s="73">
        <f t="shared" si="0"/>
        <v>0</v>
      </c>
      <c r="E13" s="73">
        <f t="shared" si="0"/>
        <v>0</v>
      </c>
      <c r="F13" s="73">
        <f t="shared" si="0"/>
        <v>0</v>
      </c>
      <c r="G13" s="73">
        <f t="shared" si="0"/>
        <v>0</v>
      </c>
      <c r="H13" s="73">
        <f t="shared" si="0"/>
        <v>0</v>
      </c>
      <c r="I13" s="73">
        <f t="shared" si="0"/>
        <v>0</v>
      </c>
      <c r="J13" s="73">
        <f t="shared" si="0"/>
        <v>0</v>
      </c>
      <c r="K13" s="73">
        <f t="shared" si="0"/>
        <v>0</v>
      </c>
      <c r="L13" s="73">
        <f t="shared" si="0"/>
        <v>0</v>
      </c>
      <c r="M13" s="73">
        <f t="shared" si="0"/>
        <v>0</v>
      </c>
      <c r="N13" s="73">
        <f t="shared" si="0"/>
        <v>0</v>
      </c>
      <c r="O13" s="73">
        <f t="shared" si="0"/>
        <v>0</v>
      </c>
      <c r="P13" s="73">
        <f t="shared" si="0"/>
        <v>0</v>
      </c>
      <c r="Q13" s="73">
        <f t="shared" si="0"/>
        <v>0</v>
      </c>
      <c r="R13" s="73">
        <f t="shared" si="0"/>
        <v>0</v>
      </c>
      <c r="S13" s="73">
        <f t="shared" si="0"/>
        <v>0</v>
      </c>
      <c r="T13" s="73">
        <f t="shared" si="0"/>
        <v>0</v>
      </c>
      <c r="U13" s="73">
        <f t="shared" si="0"/>
        <v>0</v>
      </c>
      <c r="V13" s="73">
        <f t="shared" si="0"/>
        <v>0</v>
      </c>
      <c r="W13" s="73">
        <f t="shared" si="0"/>
        <v>0</v>
      </c>
      <c r="X13" s="73">
        <f t="shared" si="0"/>
        <v>0</v>
      </c>
      <c r="Y13" s="73">
        <f t="shared" si="0"/>
        <v>0</v>
      </c>
      <c r="Z13" s="73">
        <f t="shared" si="0"/>
        <v>0</v>
      </c>
      <c r="AA13" s="73">
        <f t="shared" si="0"/>
        <v>0</v>
      </c>
      <c r="AB13" s="73">
        <f t="shared" si="0"/>
        <v>0</v>
      </c>
    </row>
    <row r="16" spans="1:28" x14ac:dyDescent="0.35">
      <c r="AA16" s="75"/>
      <c r="AB16" s="75"/>
    </row>
    <row r="18" spans="27:28" x14ac:dyDescent="0.35">
      <c r="AA18" s="75"/>
      <c r="AB18" s="75"/>
    </row>
    <row r="22" spans="27:28" x14ac:dyDescent="0.35">
      <c r="AA22" s="75"/>
      <c r="AB22" s="75"/>
    </row>
    <row r="23" spans="27:28" x14ac:dyDescent="0.35">
      <c r="AA23" s="75"/>
      <c r="AB23" s="75"/>
    </row>
    <row r="29" spans="27:28" x14ac:dyDescent="0.35">
      <c r="AA29" s="75"/>
      <c r="AB29" s="75"/>
    </row>
    <row r="32" spans="27:28" x14ac:dyDescent="0.35">
      <c r="AA32" s="45"/>
      <c r="AB32" s="45"/>
    </row>
    <row r="33" spans="27:28" x14ac:dyDescent="0.35">
      <c r="AA33" s="30"/>
      <c r="AB33" s="30"/>
    </row>
    <row r="34" spans="27:28" x14ac:dyDescent="0.35">
      <c r="AA34" s="30"/>
      <c r="AB34" s="30"/>
    </row>
    <row r="35" spans="27:28" x14ac:dyDescent="0.35">
      <c r="AA35" s="30"/>
      <c r="AB35" s="30"/>
    </row>
    <row r="36" spans="27:28" x14ac:dyDescent="0.35">
      <c r="AA36" s="30"/>
      <c r="AB36" s="30"/>
    </row>
    <row r="37" spans="27:28" x14ac:dyDescent="0.35">
      <c r="AA37" s="30"/>
      <c r="AB37" s="30"/>
    </row>
    <row r="38" spans="27:28" x14ac:dyDescent="0.35">
      <c r="AA38" s="30"/>
      <c r="AB38" s="30"/>
    </row>
    <row r="39" spans="27:28" x14ac:dyDescent="0.35">
      <c r="AA39" s="30"/>
      <c r="AB39" s="30"/>
    </row>
    <row r="40" spans="27:28" x14ac:dyDescent="0.35">
      <c r="AA40" s="30"/>
      <c r="AB40" s="30"/>
    </row>
    <row r="41" spans="27:28" x14ac:dyDescent="0.35">
      <c r="AA41" s="30"/>
      <c r="AB41" s="30"/>
    </row>
    <row r="42" spans="27:28" x14ac:dyDescent="0.35">
      <c r="AA42" s="30"/>
      <c r="AB42" s="30"/>
    </row>
    <row r="43" spans="27:28" x14ac:dyDescent="0.35">
      <c r="AA43" s="30"/>
      <c r="AB43" s="30"/>
    </row>
    <row r="44" spans="27:28" x14ac:dyDescent="0.35">
      <c r="AA44" s="30"/>
      <c r="AB44" s="30"/>
    </row>
    <row r="45" spans="27:28" x14ac:dyDescent="0.35">
      <c r="AA45" s="30"/>
      <c r="AB45" s="30"/>
    </row>
    <row r="46" spans="27:28" x14ac:dyDescent="0.35">
      <c r="AA46" s="30"/>
      <c r="AB46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21ST C7 </vt:lpstr>
      <vt:lpstr>21ST C8</vt:lpstr>
      <vt:lpstr>SRAE</vt:lpstr>
      <vt:lpstr>Colorado MTSS School Climate</vt:lpstr>
      <vt:lpstr>AEFLA </vt:lpstr>
      <vt:lpstr>BEST Instruction</vt:lpstr>
      <vt:lpstr>CDC</vt:lpstr>
      <vt:lpstr>AEFLA Match &amp; PI</vt:lpstr>
      <vt:lpstr>DB Centers</vt:lpstr>
      <vt:lpstr>High Flyers</vt:lpstr>
      <vt:lpstr>IEL_CIVICS </vt:lpstr>
      <vt:lpstr>JAVITS R4R</vt:lpstr>
      <vt:lpstr>JAVITS R4R Y042</vt:lpstr>
      <vt:lpstr>IEL CIVICS Match &amp; PI</vt:lpstr>
      <vt:lpstr>McKinney Vento</vt:lpstr>
      <vt:lpstr>MSIX</vt:lpstr>
      <vt:lpstr>MTSS </vt:lpstr>
      <vt:lpstr>TITLE IC MIGRANT</vt:lpstr>
      <vt:lpstr>TITLE II B MSP</vt:lpstr>
      <vt:lpstr>Title III PD</vt:lpstr>
      <vt:lpstr>TITLE V CHARTER 44xC 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Shores, Brittany</cp:lastModifiedBy>
  <cp:lastPrinted>2016-12-08T23:20:31Z</cp:lastPrinted>
  <dcterms:created xsi:type="dcterms:W3CDTF">2011-11-11T22:30:43Z</dcterms:created>
  <dcterms:modified xsi:type="dcterms:W3CDTF">2020-06-25T15:52:50Z</dcterms:modified>
</cp:coreProperties>
</file>