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_Payments\Distribution Sheets\ESSA-NCLB-ESSER Distributions\"/>
    </mc:Choice>
  </mc:AlternateContent>
  <xr:revisionPtr revIDLastSave="0" documentId="13_ncr:1_{E89CD12B-4189-423A-B172-D32CCEC7F689}" xr6:coauthVersionLast="47" xr6:coauthVersionMax="47" xr10:uidLastSave="{00000000-0000-0000-0000-000000000000}"/>
  <workbookProtection workbookAlgorithmName="SHA-512" workbookHashValue="41TLuGr2vTy/gfa8RFuiVVxOdUtqt7N6wKWs7oPU8SHvxQqOlvdDZy647Cf5lJ3Ja3RGJsLPZxmBGxsauHTPKw==" workbookSaltValue="6AOHT7pzSQyKT04q81p3eg==" workbookSpinCount="100000" lockStructure="1"/>
  <bookViews>
    <workbookView xWindow="-120" yWindow="-120" windowWidth="29040" windowHeight="15840" xr2:uid="{00000000-000D-0000-FFFF-FFFF00000000}"/>
  </bookViews>
  <sheets>
    <sheet name="SUMMARY OF FORMULA GRANT" sheetId="7" r:id="rId1"/>
    <sheet name="ESSA Title I-A Formula" sheetId="1" r:id="rId2"/>
    <sheet name="ESSA Title I-Delinquent" sheetId="10" r:id="rId3"/>
    <sheet name="StateAgenciesTitle I-Delinquent" sheetId="11" r:id="rId4"/>
    <sheet name="ESSA Title II-A Formula" sheetId="21" r:id="rId5"/>
    <sheet name="ESSA Title III-ELL " sheetId="22" r:id="rId6"/>
    <sheet name="ESSA Title III SAI" sheetId="4" r:id="rId7"/>
    <sheet name="ESSA Title IV" sheetId="24" r:id="rId8"/>
    <sheet name="ESSA Title V-B" sheetId="18" r:id="rId9"/>
    <sheet name="NCLB Allocations" sheetId="17" state="hidden" r:id="rId10"/>
  </sheets>
  <definedNames>
    <definedName name="_xlnm._FilterDatabase" localSheetId="4" hidden="1">'ESSA Title II-A Formula'!$A$11:$BC$194</definedName>
    <definedName name="_xlnm._FilterDatabase" localSheetId="6" hidden="1">'ESSA Title III SAI'!$A$11:$AX$47</definedName>
    <definedName name="_xlnm._FilterDatabase" localSheetId="5" hidden="1">'ESSA Title III-ELL '!$A$11:$BN$196</definedName>
    <definedName name="_xlnm._FilterDatabase" localSheetId="7" hidden="1">'ESSA Title IV'!$A$11:$AY$194</definedName>
    <definedName name="_xlnm._FilterDatabase" localSheetId="8" hidden="1">'ESSA Title V-B'!$C$12:$C$31</definedName>
    <definedName name="_xlnm._FilterDatabase" localSheetId="0" hidden="1">'SUMMARY OF FORMULA GRANT'!$H$1:$H$225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196" i="24" l="1"/>
  <c r="AM196" i="21"/>
  <c r="AN196" i="21"/>
  <c r="AO196" i="21"/>
  <c r="AP196" i="21"/>
  <c r="AQ196" i="21"/>
  <c r="AR196" i="21"/>
  <c r="AS196" i="21"/>
  <c r="AS33" i="18"/>
  <c r="AS196" i="24"/>
  <c r="AO33" i="18"/>
  <c r="AP33" i="18"/>
  <c r="AQ33" i="18"/>
  <c r="AR33" i="18"/>
  <c r="F22" i="18"/>
  <c r="AR196" i="24" l="1"/>
  <c r="AQ196" i="24"/>
  <c r="AQ198" i="22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71" i="21"/>
  <c r="F72" i="21"/>
  <c r="F73" i="21"/>
  <c r="F74" i="21"/>
  <c r="F75" i="21"/>
  <c r="F76" i="21"/>
  <c r="F77" i="21"/>
  <c r="F78" i="21"/>
  <c r="F79" i="21"/>
  <c r="F80" i="21"/>
  <c r="F81" i="21"/>
  <c r="F82" i="21"/>
  <c r="F83" i="21"/>
  <c r="F84" i="21"/>
  <c r="F85" i="21"/>
  <c r="F86" i="21"/>
  <c r="F87" i="21"/>
  <c r="F88" i="21"/>
  <c r="F89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29" i="21"/>
  <c r="F130" i="21"/>
  <c r="F131" i="21"/>
  <c r="F132" i="21"/>
  <c r="F133" i="21"/>
  <c r="F134" i="21"/>
  <c r="F135" i="21"/>
  <c r="F136" i="21"/>
  <c r="F137" i="21"/>
  <c r="F138" i="21"/>
  <c r="F139" i="21"/>
  <c r="F140" i="21"/>
  <c r="F141" i="21"/>
  <c r="F142" i="21"/>
  <c r="F143" i="21"/>
  <c r="F144" i="21"/>
  <c r="F145" i="21"/>
  <c r="F146" i="21"/>
  <c r="F147" i="21"/>
  <c r="F148" i="21"/>
  <c r="F149" i="21"/>
  <c r="F150" i="21"/>
  <c r="F151" i="21"/>
  <c r="F152" i="21"/>
  <c r="F153" i="21"/>
  <c r="F154" i="21"/>
  <c r="F155" i="21"/>
  <c r="F156" i="21"/>
  <c r="F157" i="21"/>
  <c r="F158" i="21"/>
  <c r="F159" i="21"/>
  <c r="F160" i="21"/>
  <c r="F161" i="21"/>
  <c r="F162" i="21"/>
  <c r="F163" i="21"/>
  <c r="F164" i="21"/>
  <c r="F165" i="21"/>
  <c r="F166" i="21"/>
  <c r="F167" i="21"/>
  <c r="F168" i="21"/>
  <c r="F169" i="21"/>
  <c r="F170" i="21"/>
  <c r="F171" i="21"/>
  <c r="F172" i="21"/>
  <c r="F173" i="21"/>
  <c r="F174" i="21"/>
  <c r="F175" i="21"/>
  <c r="F176" i="21"/>
  <c r="F177" i="21"/>
  <c r="F178" i="21"/>
  <c r="F179" i="21"/>
  <c r="F180" i="21"/>
  <c r="F181" i="21"/>
  <c r="F182" i="21"/>
  <c r="F183" i="21"/>
  <c r="F184" i="21"/>
  <c r="F185" i="21"/>
  <c r="F186" i="21"/>
  <c r="F187" i="21"/>
  <c r="F188" i="21"/>
  <c r="F189" i="21"/>
  <c r="F190" i="21"/>
  <c r="F191" i="21"/>
  <c r="F192" i="21"/>
  <c r="F193" i="21"/>
  <c r="F194" i="21"/>
  <c r="F12" i="21"/>
  <c r="AQ48" i="21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12" i="4"/>
  <c r="AL196" i="24"/>
  <c r="AM196" i="24"/>
  <c r="AN196" i="24"/>
  <c r="AO196" i="24"/>
  <c r="AP196" i="24"/>
  <c r="AP198" i="22"/>
  <c r="AL196" i="1"/>
  <c r="AM196" i="1"/>
  <c r="AN196" i="1"/>
  <c r="AO196" i="1"/>
  <c r="AO137" i="1"/>
  <c r="AL198" i="22"/>
  <c r="AM198" i="22"/>
  <c r="AN198" i="22"/>
  <c r="AO198" i="22"/>
  <c r="AL33" i="18"/>
  <c r="AM33" i="18"/>
  <c r="AN33" i="18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2" i="1"/>
  <c r="AM101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68" i="24"/>
  <c r="F69" i="24"/>
  <c r="F70" i="24"/>
  <c r="F71" i="24"/>
  <c r="F72" i="24"/>
  <c r="F73" i="24"/>
  <c r="F74" i="24"/>
  <c r="F75" i="24"/>
  <c r="F76" i="24"/>
  <c r="F77" i="24"/>
  <c r="F78" i="24"/>
  <c r="F79" i="24"/>
  <c r="F80" i="24"/>
  <c r="F81" i="24"/>
  <c r="F82" i="24"/>
  <c r="F83" i="24"/>
  <c r="F84" i="24"/>
  <c r="F85" i="24"/>
  <c r="F86" i="24"/>
  <c r="F87" i="24"/>
  <c r="F88" i="24"/>
  <c r="F89" i="24"/>
  <c r="F90" i="24"/>
  <c r="F91" i="24"/>
  <c r="F92" i="24"/>
  <c r="F93" i="24"/>
  <c r="F94" i="24"/>
  <c r="F95" i="24"/>
  <c r="F96" i="24"/>
  <c r="F97" i="24"/>
  <c r="F98" i="24"/>
  <c r="F99" i="24"/>
  <c r="F100" i="24"/>
  <c r="F101" i="24"/>
  <c r="F102" i="24"/>
  <c r="F103" i="24"/>
  <c r="F104" i="24"/>
  <c r="F105" i="24"/>
  <c r="F106" i="24"/>
  <c r="F107" i="24"/>
  <c r="F108" i="24"/>
  <c r="F109" i="24"/>
  <c r="F110" i="24"/>
  <c r="F111" i="24"/>
  <c r="F112" i="24"/>
  <c r="F113" i="24"/>
  <c r="F114" i="24"/>
  <c r="F115" i="24"/>
  <c r="F116" i="24"/>
  <c r="F117" i="24"/>
  <c r="F118" i="24"/>
  <c r="F119" i="24"/>
  <c r="F120" i="24"/>
  <c r="F121" i="24"/>
  <c r="F122" i="24"/>
  <c r="F123" i="24"/>
  <c r="F124" i="24"/>
  <c r="F125" i="24"/>
  <c r="F126" i="24"/>
  <c r="F127" i="24"/>
  <c r="F128" i="24"/>
  <c r="F129" i="24"/>
  <c r="F130" i="24"/>
  <c r="F131" i="24"/>
  <c r="F132" i="24"/>
  <c r="F133" i="24"/>
  <c r="F134" i="24"/>
  <c r="F135" i="24"/>
  <c r="F136" i="24"/>
  <c r="F137" i="24"/>
  <c r="F138" i="24"/>
  <c r="F139" i="24"/>
  <c r="F140" i="24"/>
  <c r="F141" i="24"/>
  <c r="F142" i="24"/>
  <c r="F143" i="24"/>
  <c r="F144" i="24"/>
  <c r="F145" i="24"/>
  <c r="F146" i="24"/>
  <c r="F147" i="24"/>
  <c r="F148" i="24"/>
  <c r="F149" i="24"/>
  <c r="F150" i="24"/>
  <c r="F151" i="24"/>
  <c r="F152" i="24"/>
  <c r="F153" i="24"/>
  <c r="F154" i="24"/>
  <c r="F155" i="24"/>
  <c r="F156" i="24"/>
  <c r="F157" i="24"/>
  <c r="F158" i="24"/>
  <c r="F159" i="24"/>
  <c r="F160" i="24"/>
  <c r="F161" i="24"/>
  <c r="F162" i="24"/>
  <c r="F163" i="24"/>
  <c r="F164" i="24"/>
  <c r="F165" i="24"/>
  <c r="F166" i="24"/>
  <c r="F167" i="24"/>
  <c r="F168" i="24"/>
  <c r="F169" i="24"/>
  <c r="F170" i="24"/>
  <c r="F171" i="24"/>
  <c r="F172" i="24"/>
  <c r="F173" i="24"/>
  <c r="F174" i="24"/>
  <c r="F175" i="24"/>
  <c r="F176" i="24"/>
  <c r="F177" i="24"/>
  <c r="F178" i="24"/>
  <c r="F179" i="24"/>
  <c r="F180" i="24"/>
  <c r="F181" i="24"/>
  <c r="F182" i="24"/>
  <c r="F183" i="24"/>
  <c r="F184" i="24"/>
  <c r="F185" i="24"/>
  <c r="F186" i="24"/>
  <c r="F187" i="24"/>
  <c r="F188" i="24"/>
  <c r="F189" i="24"/>
  <c r="F190" i="24"/>
  <c r="F191" i="24"/>
  <c r="F192" i="24"/>
  <c r="F193" i="24"/>
  <c r="F194" i="24"/>
  <c r="F12" i="24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69" i="22"/>
  <c r="F70" i="22"/>
  <c r="F71" i="22"/>
  <c r="F72" i="22"/>
  <c r="F73" i="22"/>
  <c r="F74" i="22"/>
  <c r="F75" i="22"/>
  <c r="F76" i="22"/>
  <c r="F77" i="22"/>
  <c r="F78" i="22"/>
  <c r="F79" i="22"/>
  <c r="F80" i="22"/>
  <c r="F81" i="22"/>
  <c r="F82" i="22"/>
  <c r="F83" i="22"/>
  <c r="F84" i="22"/>
  <c r="F85" i="22"/>
  <c r="F86" i="22"/>
  <c r="F87" i="22"/>
  <c r="F88" i="22"/>
  <c r="F89" i="22"/>
  <c r="F90" i="22"/>
  <c r="F91" i="22"/>
  <c r="F92" i="22"/>
  <c r="F93" i="22"/>
  <c r="F94" i="22"/>
  <c r="F95" i="22"/>
  <c r="F96" i="22"/>
  <c r="F97" i="22"/>
  <c r="F98" i="22"/>
  <c r="F99" i="22"/>
  <c r="F100" i="22"/>
  <c r="F101" i="22"/>
  <c r="F102" i="22"/>
  <c r="F103" i="22"/>
  <c r="F104" i="22"/>
  <c r="F105" i="22"/>
  <c r="F106" i="22"/>
  <c r="F107" i="22"/>
  <c r="F108" i="22"/>
  <c r="F109" i="22"/>
  <c r="F110" i="22"/>
  <c r="F111" i="22"/>
  <c r="F112" i="22"/>
  <c r="F113" i="22"/>
  <c r="F114" i="22"/>
  <c r="F115" i="22"/>
  <c r="F116" i="22"/>
  <c r="F117" i="22"/>
  <c r="F118" i="22"/>
  <c r="F119" i="22"/>
  <c r="F120" i="22"/>
  <c r="F121" i="22"/>
  <c r="F122" i="22"/>
  <c r="F123" i="22"/>
  <c r="F124" i="22"/>
  <c r="F125" i="22"/>
  <c r="F126" i="22"/>
  <c r="F127" i="22"/>
  <c r="F128" i="22"/>
  <c r="F129" i="22"/>
  <c r="F130" i="22"/>
  <c r="F131" i="22"/>
  <c r="F132" i="22"/>
  <c r="F133" i="22"/>
  <c r="F134" i="22"/>
  <c r="F135" i="22"/>
  <c r="F136" i="22"/>
  <c r="F137" i="22"/>
  <c r="F138" i="22"/>
  <c r="F139" i="22"/>
  <c r="F140" i="22"/>
  <c r="F141" i="22"/>
  <c r="F142" i="22"/>
  <c r="F143" i="22"/>
  <c r="F144" i="22"/>
  <c r="F145" i="22"/>
  <c r="F146" i="22"/>
  <c r="F147" i="22"/>
  <c r="F148" i="22"/>
  <c r="F149" i="22"/>
  <c r="F150" i="22"/>
  <c r="F151" i="22"/>
  <c r="F152" i="22"/>
  <c r="F153" i="22"/>
  <c r="F154" i="22"/>
  <c r="F155" i="22"/>
  <c r="F156" i="22"/>
  <c r="F157" i="22"/>
  <c r="F158" i="22"/>
  <c r="F159" i="22"/>
  <c r="F160" i="22"/>
  <c r="F161" i="22"/>
  <c r="F162" i="22"/>
  <c r="F163" i="22"/>
  <c r="F164" i="22"/>
  <c r="F165" i="22"/>
  <c r="F166" i="22"/>
  <c r="F167" i="22"/>
  <c r="F168" i="22"/>
  <c r="F169" i="22"/>
  <c r="F170" i="22"/>
  <c r="F171" i="22"/>
  <c r="F172" i="22"/>
  <c r="F173" i="22"/>
  <c r="F174" i="22"/>
  <c r="F175" i="22"/>
  <c r="F176" i="22"/>
  <c r="F177" i="22"/>
  <c r="F178" i="22"/>
  <c r="F179" i="22"/>
  <c r="F180" i="22"/>
  <c r="F181" i="22"/>
  <c r="F182" i="22"/>
  <c r="F183" i="22"/>
  <c r="F184" i="22"/>
  <c r="F185" i="22"/>
  <c r="F186" i="22"/>
  <c r="F187" i="22"/>
  <c r="F188" i="22"/>
  <c r="F189" i="22"/>
  <c r="F190" i="22"/>
  <c r="F191" i="22"/>
  <c r="F192" i="22"/>
  <c r="F193" i="22"/>
  <c r="F194" i="22"/>
  <c r="F195" i="22"/>
  <c r="F196" i="22"/>
  <c r="F12" i="22"/>
  <c r="AL196" i="21"/>
  <c r="AL49" i="4"/>
  <c r="AM49" i="4"/>
  <c r="AN49" i="4"/>
  <c r="AO49" i="4"/>
  <c r="AP49" i="4"/>
  <c r="AQ49" i="4"/>
  <c r="AR49" i="4"/>
  <c r="AS49" i="4"/>
  <c r="AT49" i="4"/>
  <c r="AU49" i="4"/>
  <c r="AV49" i="4"/>
  <c r="AJ12" i="4"/>
  <c r="AI26" i="24"/>
  <c r="AH152" i="21"/>
  <c r="AH24" i="21"/>
  <c r="AF51" i="24"/>
  <c r="AE137" i="24" l="1"/>
  <c r="AE86" i="24"/>
  <c r="AE137" i="21"/>
  <c r="AE19" i="22"/>
  <c r="AD71" i="24" l="1"/>
  <c r="AD83" i="21" l="1"/>
  <c r="AD66" i="21"/>
  <c r="AE196" i="1"/>
  <c r="AD71" i="22" l="1"/>
  <c r="F16" i="10" l="1"/>
  <c r="G16" i="10" s="1"/>
  <c r="D57" i="7" s="1"/>
  <c r="E16" i="10"/>
  <c r="AC63" i="24"/>
  <c r="AC102" i="22"/>
  <c r="AC63" i="22"/>
  <c r="AC44" i="1" l="1"/>
  <c r="AB182" i="1" l="1"/>
  <c r="AB181" i="1"/>
  <c r="AB15" i="22"/>
  <c r="AB15" i="21" l="1"/>
  <c r="AB167" i="24"/>
  <c r="AB15" i="24"/>
  <c r="AB21" i="10" l="1"/>
  <c r="AA14" i="24" l="1"/>
  <c r="AA143" i="1"/>
  <c r="Z23" i="24" l="1"/>
  <c r="Z36" i="21"/>
  <c r="Z23" i="21"/>
  <c r="Z64" i="22" l="1"/>
  <c r="Z23" i="22"/>
  <c r="Y122" i="1" l="1"/>
  <c r="Y45" i="1"/>
  <c r="Y28" i="1"/>
  <c r="Y19" i="1"/>
  <c r="Y76" i="1"/>
  <c r="Y12" i="18" l="1"/>
  <c r="Y63" i="24"/>
  <c r="Y39" i="24"/>
  <c r="Y19" i="24"/>
  <c r="Y63" i="22"/>
  <c r="Y19" i="22"/>
  <c r="Y39" i="21"/>
  <c r="Y19" i="21"/>
  <c r="X125" i="24" l="1"/>
  <c r="X13" i="24"/>
  <c r="X12" i="4" l="1"/>
  <c r="X13" i="22"/>
  <c r="X101" i="21"/>
  <c r="X13" i="21" l="1"/>
  <c r="X20" i="10"/>
  <c r="X122" i="1"/>
  <c r="X101" i="1"/>
  <c r="X13" i="1"/>
  <c r="X167" i="1"/>
  <c r="V72" i="1" l="1"/>
  <c r="V29" i="18" l="1"/>
  <c r="V192" i="22" l="1"/>
  <c r="Q125" i="22" l="1"/>
  <c r="E28" i="22" l="1"/>
  <c r="U182" i="21" l="1"/>
  <c r="U196" i="21" s="1"/>
  <c r="U182" i="1"/>
  <c r="F19" i="10" l="1"/>
  <c r="T122" i="21" l="1"/>
  <c r="T103" i="21"/>
  <c r="T122" i="1"/>
  <c r="T103" i="1"/>
  <c r="P14" i="21" l="1"/>
  <c r="S154" i="1" l="1"/>
  <c r="S182" i="1" l="1"/>
  <c r="S178" i="1"/>
  <c r="S159" i="1"/>
  <c r="S145" i="1"/>
  <c r="S140" i="1"/>
  <c r="S102" i="1"/>
  <c r="S97" i="1"/>
  <c r="S79" i="1"/>
  <c r="S55" i="1"/>
  <c r="S45" i="1"/>
  <c r="S31" i="1"/>
  <c r="S29" i="1"/>
  <c r="S19" i="1"/>
  <c r="S18" i="1"/>
  <c r="S28" i="18"/>
  <c r="S22" i="18"/>
  <c r="S13" i="18"/>
  <c r="S145" i="24"/>
  <c r="S106" i="24"/>
  <c r="S97" i="24"/>
  <c r="S61" i="24"/>
  <c r="S182" i="21"/>
  <c r="S145" i="21" l="1"/>
  <c r="S97" i="21"/>
  <c r="S61" i="21"/>
  <c r="S60" i="21"/>
  <c r="S18" i="21"/>
  <c r="S97" i="22"/>
  <c r="S61" i="22"/>
  <c r="S18" i="22"/>
  <c r="R103" i="1" l="1"/>
  <c r="R61" i="1"/>
  <c r="R37" i="1"/>
  <c r="R61" i="24" l="1"/>
  <c r="R61" i="21"/>
  <c r="R37" i="21"/>
  <c r="R36" i="21"/>
  <c r="R61" i="22"/>
  <c r="R37" i="22"/>
  <c r="P14" i="22" l="1"/>
  <c r="P14" i="1"/>
  <c r="P103" i="1" l="1"/>
  <c r="P108" i="24" l="1"/>
  <c r="P198" i="22"/>
  <c r="O45" i="1" l="1"/>
  <c r="O194" i="24" l="1"/>
  <c r="O128" i="24"/>
  <c r="O178" i="21"/>
  <c r="O128" i="21"/>
  <c r="O64" i="21"/>
  <c r="O53" i="21"/>
  <c r="O36" i="21"/>
  <c r="O128" i="22"/>
  <c r="O53" i="22"/>
  <c r="O194" i="1"/>
  <c r="O178" i="1"/>
  <c r="O128" i="1"/>
  <c r="O64" i="1"/>
  <c r="O53" i="1"/>
  <c r="O18" i="1"/>
  <c r="G14" i="4" l="1"/>
  <c r="N23" i="1" l="1"/>
  <c r="N64" i="1" l="1"/>
  <c r="N54" i="1"/>
  <c r="N145" i="24"/>
  <c r="N12" i="18"/>
  <c r="N54" i="22" l="1"/>
  <c r="N53" i="22"/>
  <c r="F30" i="18" l="1"/>
  <c r="E30" i="18"/>
  <c r="E186" i="22"/>
  <c r="E181" i="22"/>
  <c r="E179" i="22"/>
  <c r="E178" i="22"/>
  <c r="E176" i="22"/>
  <c r="E166" i="22"/>
  <c r="E160" i="22"/>
  <c r="E149" i="22"/>
  <c r="E148" i="22"/>
  <c r="E128" i="22"/>
  <c r="E125" i="22"/>
  <c r="E121" i="22"/>
  <c r="E119" i="22"/>
  <c r="E102" i="22"/>
  <c r="E103" i="22"/>
  <c r="E101" i="22"/>
  <c r="E98" i="22"/>
  <c r="E97" i="22"/>
  <c r="E89" i="22"/>
  <c r="E84" i="22"/>
  <c r="E79" i="22"/>
  <c r="E80" i="22"/>
  <c r="E78" i="22"/>
  <c r="E72" i="22"/>
  <c r="E71" i="22"/>
  <c r="E67" i="22"/>
  <c r="E62" i="22"/>
  <c r="E63" i="22"/>
  <c r="E64" i="22"/>
  <c r="E61" i="22"/>
  <c r="E54" i="22"/>
  <c r="E51" i="22"/>
  <c r="E50" i="22"/>
  <c r="E37" i="22"/>
  <c r="E36" i="22"/>
  <c r="E27" i="22"/>
  <c r="E26" i="22"/>
  <c r="E22" i="22"/>
  <c r="E23" i="22"/>
  <c r="E24" i="22"/>
  <c r="E21" i="22"/>
  <c r="E19" i="22"/>
  <c r="E18" i="22"/>
  <c r="E13" i="22"/>
  <c r="E14" i="22"/>
  <c r="E15" i="22"/>
  <c r="E12" i="22"/>
  <c r="G30" i="18" l="1"/>
  <c r="J152" i="7" s="1"/>
  <c r="E19" i="10"/>
  <c r="G19" i="10" s="1"/>
  <c r="D81" i="7" s="1"/>
  <c r="M18" i="21" l="1"/>
  <c r="M145" i="21"/>
  <c r="M124" i="21"/>
  <c r="M145" i="1"/>
  <c r="M124" i="1"/>
  <c r="M128" i="21" l="1"/>
  <c r="M86" i="21"/>
  <c r="M76" i="21"/>
  <c r="M63" i="21"/>
  <c r="M13" i="22"/>
  <c r="M86" i="1" l="1"/>
  <c r="M63" i="1"/>
  <c r="M43" i="1"/>
  <c r="M18" i="1"/>
  <c r="E12" i="11" l="1"/>
  <c r="K76" i="21" l="1"/>
  <c r="K76" i="1"/>
  <c r="E29" i="18" l="1"/>
  <c r="E28" i="18"/>
  <c r="E27" i="18"/>
  <c r="E26" i="18"/>
  <c r="E25" i="18"/>
  <c r="E24" i="18"/>
  <c r="E23" i="18"/>
  <c r="E22" i="18"/>
  <c r="E21" i="18"/>
  <c r="F21" i="18"/>
  <c r="E19" i="18"/>
  <c r="E18" i="18"/>
  <c r="E17" i="18"/>
  <c r="E16" i="18"/>
  <c r="E15" i="18"/>
  <c r="E14" i="18"/>
  <c r="E13" i="18"/>
  <c r="E12" i="18"/>
  <c r="G21" i="18" l="1"/>
  <c r="G192" i="7"/>
  <c r="G46" i="4" l="1"/>
  <c r="H185" i="7" s="1"/>
  <c r="E191" i="24" l="1"/>
  <c r="E190" i="24"/>
  <c r="E128" i="24"/>
  <c r="E13" i="24"/>
  <c r="E14" i="24"/>
  <c r="E15" i="24"/>
  <c r="E18" i="24"/>
  <c r="E19" i="24"/>
  <c r="E20" i="24"/>
  <c r="E21" i="24"/>
  <c r="E22" i="24"/>
  <c r="E23" i="24"/>
  <c r="E24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2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E55" i="24"/>
  <c r="E57" i="24"/>
  <c r="E58" i="24"/>
  <c r="E60" i="24"/>
  <c r="E61" i="24"/>
  <c r="E62" i="24"/>
  <c r="E63" i="24"/>
  <c r="E64" i="24"/>
  <c r="E65" i="24"/>
  <c r="E66" i="24"/>
  <c r="E67" i="24"/>
  <c r="E68" i="24"/>
  <c r="E69" i="24"/>
  <c r="E70" i="24"/>
  <c r="E71" i="24"/>
  <c r="E72" i="24"/>
  <c r="E73" i="24"/>
  <c r="E74" i="24"/>
  <c r="E75" i="24"/>
  <c r="E76" i="24"/>
  <c r="E77" i="24"/>
  <c r="E78" i="24"/>
  <c r="E79" i="24"/>
  <c r="E80" i="24"/>
  <c r="E81" i="24"/>
  <c r="E82" i="24"/>
  <c r="E83" i="24"/>
  <c r="E84" i="24"/>
  <c r="E85" i="24"/>
  <c r="E86" i="24"/>
  <c r="E87" i="24"/>
  <c r="E88" i="24"/>
  <c r="E89" i="24"/>
  <c r="E90" i="24"/>
  <c r="E91" i="24"/>
  <c r="E97" i="24"/>
  <c r="E98" i="24"/>
  <c r="E99" i="24"/>
  <c r="E100" i="24"/>
  <c r="E101" i="24"/>
  <c r="E102" i="24"/>
  <c r="E103" i="24"/>
  <c r="E104" i="24"/>
  <c r="E105" i="24"/>
  <c r="E106" i="24"/>
  <c r="E107" i="24"/>
  <c r="E108" i="24"/>
  <c r="E109" i="24"/>
  <c r="E117" i="24"/>
  <c r="E118" i="24"/>
  <c r="E119" i="24"/>
  <c r="E120" i="24"/>
  <c r="E121" i="24"/>
  <c r="E122" i="24"/>
  <c r="E123" i="24"/>
  <c r="E124" i="24"/>
  <c r="E125" i="24"/>
  <c r="E126" i="24"/>
  <c r="E131" i="24"/>
  <c r="E132" i="24"/>
  <c r="E133" i="24"/>
  <c r="E134" i="24"/>
  <c r="E135" i="24"/>
  <c r="E136" i="24"/>
  <c r="E137" i="24"/>
  <c r="E138" i="24"/>
  <c r="E139" i="24"/>
  <c r="E140" i="24"/>
  <c r="E141" i="24"/>
  <c r="E143" i="24"/>
  <c r="E144" i="24"/>
  <c r="E145" i="24"/>
  <c r="E146" i="24"/>
  <c r="E147" i="24"/>
  <c r="E148" i="24"/>
  <c r="E149" i="24"/>
  <c r="E150" i="24"/>
  <c r="E151" i="24"/>
  <c r="E152" i="24"/>
  <c r="E153" i="24"/>
  <c r="E154" i="24"/>
  <c r="E155" i="24"/>
  <c r="E156" i="24"/>
  <c r="E157" i="24"/>
  <c r="E158" i="24"/>
  <c r="E159" i="24"/>
  <c r="E160" i="24"/>
  <c r="E161" i="24"/>
  <c r="E162" i="24"/>
  <c r="E163" i="24"/>
  <c r="E166" i="24"/>
  <c r="E167" i="24"/>
  <c r="E168" i="24"/>
  <c r="E175" i="24"/>
  <c r="E176" i="24"/>
  <c r="E177" i="24"/>
  <c r="E178" i="24"/>
  <c r="E179" i="24"/>
  <c r="E181" i="24"/>
  <c r="E182" i="24"/>
  <c r="E186" i="24"/>
  <c r="E187" i="24"/>
  <c r="E12" i="24"/>
  <c r="E44" i="4"/>
  <c r="G44" i="4" s="1"/>
  <c r="H179" i="7" s="1"/>
  <c r="E43" i="4"/>
  <c r="E38" i="4"/>
  <c r="G38" i="4" s="1"/>
  <c r="H154" i="7" s="1"/>
  <c r="E39" i="4"/>
  <c r="E40" i="4"/>
  <c r="E41" i="4"/>
  <c r="E37" i="4"/>
  <c r="E35" i="4"/>
  <c r="E33" i="4"/>
  <c r="E32" i="4"/>
  <c r="E29" i="4"/>
  <c r="E24" i="4"/>
  <c r="E25" i="4"/>
  <c r="E26" i="4"/>
  <c r="E27" i="4"/>
  <c r="E23" i="4"/>
  <c r="E20" i="4"/>
  <c r="G20" i="4" s="1"/>
  <c r="H46" i="7" s="1"/>
  <c r="E21" i="4"/>
  <c r="E19" i="4"/>
  <c r="E16" i="4"/>
  <c r="E17" i="4"/>
  <c r="E15" i="4"/>
  <c r="G15" i="4" s="1"/>
  <c r="H14" i="7" s="1"/>
  <c r="E13" i="4"/>
  <c r="E12" i="4"/>
  <c r="E13" i="21" l="1"/>
  <c r="E14" i="21"/>
  <c r="E15" i="21"/>
  <c r="E18" i="21"/>
  <c r="E19" i="21"/>
  <c r="E20" i="21"/>
  <c r="E21" i="21"/>
  <c r="E22" i="21"/>
  <c r="E23" i="21"/>
  <c r="E24" i="21"/>
  <c r="E26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7" i="21"/>
  <c r="E58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7" i="21"/>
  <c r="E98" i="21"/>
  <c r="E99" i="21"/>
  <c r="E100" i="21"/>
  <c r="E101" i="21"/>
  <c r="E102" i="21"/>
  <c r="E103" i="21"/>
  <c r="E104" i="21"/>
  <c r="E105" i="21"/>
  <c r="E106" i="21"/>
  <c r="E107" i="21"/>
  <c r="E108" i="21"/>
  <c r="E109" i="21"/>
  <c r="E115" i="21"/>
  <c r="E117" i="21"/>
  <c r="E118" i="21"/>
  <c r="E119" i="21"/>
  <c r="E120" i="21"/>
  <c r="E121" i="21"/>
  <c r="E122" i="21"/>
  <c r="E123" i="21"/>
  <c r="E124" i="21"/>
  <c r="E125" i="21"/>
  <c r="E126" i="21"/>
  <c r="E128" i="21"/>
  <c r="E131" i="21"/>
  <c r="E132" i="21"/>
  <c r="E133" i="21"/>
  <c r="E134" i="21"/>
  <c r="E135" i="21"/>
  <c r="E136" i="21"/>
  <c r="E137" i="21"/>
  <c r="E138" i="21"/>
  <c r="E139" i="21"/>
  <c r="E140" i="21"/>
  <c r="E141" i="21"/>
  <c r="E143" i="21"/>
  <c r="E144" i="21"/>
  <c r="E145" i="21"/>
  <c r="E146" i="21"/>
  <c r="E147" i="21"/>
  <c r="E148" i="21"/>
  <c r="E149" i="21"/>
  <c r="E150" i="21"/>
  <c r="E151" i="21"/>
  <c r="E152" i="21"/>
  <c r="E153" i="21"/>
  <c r="E154" i="21"/>
  <c r="E155" i="21"/>
  <c r="E156" i="21"/>
  <c r="E157" i="21"/>
  <c r="E158" i="21"/>
  <c r="E159" i="21"/>
  <c r="E160" i="21"/>
  <c r="E161" i="21"/>
  <c r="E162" i="21"/>
  <c r="E163" i="21"/>
  <c r="E166" i="21"/>
  <c r="E167" i="21"/>
  <c r="E168" i="21"/>
  <c r="E169" i="21"/>
  <c r="E175" i="21"/>
  <c r="E176" i="21"/>
  <c r="E177" i="21"/>
  <c r="E178" i="21"/>
  <c r="E179" i="21"/>
  <c r="E181" i="21"/>
  <c r="E182" i="21"/>
  <c r="E186" i="21"/>
  <c r="E187" i="21"/>
  <c r="E190" i="21"/>
  <c r="E191" i="21"/>
  <c r="E12" i="21"/>
  <c r="E13" i="10" l="1"/>
  <c r="E14" i="10"/>
  <c r="E17" i="10"/>
  <c r="E18" i="10"/>
  <c r="E20" i="10"/>
  <c r="E21" i="10"/>
  <c r="E22" i="10"/>
  <c r="E12" i="10"/>
  <c r="E59" i="1"/>
  <c r="E56" i="1"/>
  <c r="E41" i="1" l="1"/>
  <c r="E40" i="1"/>
  <c r="E25" i="1"/>
  <c r="E17" i="1"/>
  <c r="E33" i="1"/>
  <c r="G33" i="1" s="1"/>
  <c r="E13" i="1"/>
  <c r="E14" i="1"/>
  <c r="E15" i="1"/>
  <c r="E18" i="1"/>
  <c r="E19" i="1"/>
  <c r="E20" i="1"/>
  <c r="E21" i="1"/>
  <c r="E22" i="1"/>
  <c r="E23" i="1"/>
  <c r="E24" i="1"/>
  <c r="E26" i="1"/>
  <c r="E27" i="1"/>
  <c r="E28" i="1"/>
  <c r="E29" i="1"/>
  <c r="E30" i="1"/>
  <c r="E31" i="1"/>
  <c r="E32" i="1"/>
  <c r="E34" i="1"/>
  <c r="E35" i="1"/>
  <c r="E36" i="1"/>
  <c r="E37" i="1"/>
  <c r="E38" i="1"/>
  <c r="E39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7" i="1"/>
  <c r="E58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7" i="1"/>
  <c r="E118" i="1"/>
  <c r="E119" i="1"/>
  <c r="E120" i="1"/>
  <c r="E121" i="1"/>
  <c r="E122" i="1"/>
  <c r="E123" i="1"/>
  <c r="E124" i="1"/>
  <c r="E125" i="1"/>
  <c r="E126" i="1"/>
  <c r="E128" i="1"/>
  <c r="E131" i="1"/>
  <c r="E132" i="1"/>
  <c r="E133" i="1"/>
  <c r="E134" i="1"/>
  <c r="E135" i="1"/>
  <c r="E136" i="1"/>
  <c r="E137" i="1"/>
  <c r="E138" i="1"/>
  <c r="E139" i="1"/>
  <c r="E140" i="1"/>
  <c r="E141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6" i="1"/>
  <c r="E167" i="1"/>
  <c r="E168" i="1"/>
  <c r="E169" i="1"/>
  <c r="E175" i="1"/>
  <c r="E176" i="1"/>
  <c r="E177" i="1"/>
  <c r="E178" i="1"/>
  <c r="E179" i="1"/>
  <c r="E181" i="1"/>
  <c r="E182" i="1"/>
  <c r="E184" i="1"/>
  <c r="E186" i="1"/>
  <c r="E187" i="1"/>
  <c r="E190" i="1"/>
  <c r="E191" i="1"/>
  <c r="E12" i="1"/>
  <c r="U33" i="18" l="1"/>
  <c r="F22" i="10" l="1"/>
  <c r="S196" i="24" l="1"/>
  <c r="C25" i="7" l="1"/>
  <c r="C8" i="7"/>
  <c r="R33" i="18" l="1"/>
  <c r="Q33" i="18"/>
  <c r="Q196" i="21" l="1"/>
  <c r="E196" i="24" l="1"/>
  <c r="AX33" i="18" l="1"/>
  <c r="AW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T33" i="18"/>
  <c r="S33" i="18"/>
  <c r="P33" i="18"/>
  <c r="O33" i="18"/>
  <c r="M33" i="18"/>
  <c r="L33" i="18"/>
  <c r="K33" i="18"/>
  <c r="J33" i="18"/>
  <c r="I33" i="18"/>
  <c r="H33" i="18"/>
  <c r="C33" i="18"/>
  <c r="F31" i="18"/>
  <c r="G31" i="18" s="1"/>
  <c r="J184" i="7" s="1"/>
  <c r="F29" i="18"/>
  <c r="G29" i="18" s="1"/>
  <c r="J145" i="7" s="1"/>
  <c r="F28" i="18"/>
  <c r="G28" i="18" s="1"/>
  <c r="J137" i="7" s="1"/>
  <c r="F27" i="18"/>
  <c r="G27" i="18" s="1"/>
  <c r="J136" i="7" s="1"/>
  <c r="F26" i="18"/>
  <c r="G26" i="18" s="1"/>
  <c r="J124" i="7" s="1"/>
  <c r="F25" i="18"/>
  <c r="G25" i="18" s="1"/>
  <c r="J123" i="7" s="1"/>
  <c r="F24" i="18"/>
  <c r="G24" i="18" s="1"/>
  <c r="J114" i="7" s="1"/>
  <c r="F23" i="18"/>
  <c r="G23" i="18" s="1"/>
  <c r="J99" i="7" s="1"/>
  <c r="G22" i="18"/>
  <c r="J96" i="7" s="1"/>
  <c r="J95" i="7"/>
  <c r="F20" i="18"/>
  <c r="F19" i="18"/>
  <c r="G19" i="18" s="1"/>
  <c r="J78" i="7" s="1"/>
  <c r="F18" i="18"/>
  <c r="G18" i="18" s="1"/>
  <c r="J67" i="7" s="1"/>
  <c r="F17" i="18"/>
  <c r="G17" i="18" s="1"/>
  <c r="J42" i="7" s="1"/>
  <c r="F16" i="18"/>
  <c r="G16" i="18" s="1"/>
  <c r="J38" i="7" s="1"/>
  <c r="F15" i="18"/>
  <c r="G15" i="18" s="1"/>
  <c r="J37" i="7" s="1"/>
  <c r="F14" i="18"/>
  <c r="G14" i="18" s="1"/>
  <c r="J26" i="7" s="1"/>
  <c r="F13" i="18"/>
  <c r="G13" i="18" s="1"/>
  <c r="J20" i="7" s="1"/>
  <c r="E33" i="18"/>
  <c r="G193" i="24"/>
  <c r="I185" i="7" s="1"/>
  <c r="G192" i="24"/>
  <c r="I184" i="7" s="1"/>
  <c r="G191" i="24"/>
  <c r="I183" i="7" s="1"/>
  <c r="G190" i="24"/>
  <c r="I182" i="7" s="1"/>
  <c r="G189" i="24"/>
  <c r="I181" i="7" s="1"/>
  <c r="G188" i="24"/>
  <c r="I180" i="7" s="1"/>
  <c r="G187" i="24"/>
  <c r="I179" i="7" s="1"/>
  <c r="G186" i="24"/>
  <c r="I178" i="7" s="1"/>
  <c r="G185" i="24"/>
  <c r="I177" i="7" s="1"/>
  <c r="G184" i="24"/>
  <c r="I176" i="7" s="1"/>
  <c r="G183" i="24"/>
  <c r="I175" i="7" s="1"/>
  <c r="G182" i="24"/>
  <c r="I174" i="7" s="1"/>
  <c r="G181" i="24"/>
  <c r="I173" i="7" s="1"/>
  <c r="G180" i="24"/>
  <c r="I172" i="7" s="1"/>
  <c r="G179" i="24"/>
  <c r="I171" i="7" s="1"/>
  <c r="G178" i="24"/>
  <c r="I170" i="7" s="1"/>
  <c r="G177" i="24"/>
  <c r="I169" i="7" s="1"/>
  <c r="G176" i="24"/>
  <c r="I168" i="7" s="1"/>
  <c r="G175" i="24"/>
  <c r="I167" i="7" s="1"/>
  <c r="G174" i="24"/>
  <c r="I166" i="7" s="1"/>
  <c r="G173" i="24"/>
  <c r="I165" i="7" s="1"/>
  <c r="G172" i="24"/>
  <c r="I164" i="7" s="1"/>
  <c r="G171" i="24"/>
  <c r="I163" i="7" s="1"/>
  <c r="G170" i="24"/>
  <c r="I162" i="7" s="1"/>
  <c r="G169" i="24"/>
  <c r="I161" i="7" s="1"/>
  <c r="G168" i="24"/>
  <c r="I160" i="7" s="1"/>
  <c r="G167" i="24"/>
  <c r="I159" i="7" s="1"/>
  <c r="G166" i="24"/>
  <c r="I158" i="7" s="1"/>
  <c r="G165" i="24"/>
  <c r="I157" i="7" s="1"/>
  <c r="G164" i="24"/>
  <c r="I156" i="7" s="1"/>
  <c r="G163" i="24"/>
  <c r="I155" i="7" s="1"/>
  <c r="G162" i="24"/>
  <c r="I154" i="7" s="1"/>
  <c r="G161" i="24"/>
  <c r="I153" i="7" s="1"/>
  <c r="G160" i="24"/>
  <c r="I152" i="7" s="1"/>
  <c r="G159" i="24"/>
  <c r="I151" i="7" s="1"/>
  <c r="G158" i="24"/>
  <c r="I150" i="7" s="1"/>
  <c r="G157" i="24"/>
  <c r="I149" i="7" s="1"/>
  <c r="G156" i="24"/>
  <c r="I148" i="7" s="1"/>
  <c r="G155" i="24"/>
  <c r="I147" i="7" s="1"/>
  <c r="G154" i="24"/>
  <c r="I146" i="7" s="1"/>
  <c r="G153" i="24"/>
  <c r="I145" i="7" s="1"/>
  <c r="G152" i="24"/>
  <c r="I144" i="7" s="1"/>
  <c r="G151" i="24"/>
  <c r="I143" i="7" s="1"/>
  <c r="G150" i="24"/>
  <c r="I142" i="7" s="1"/>
  <c r="G149" i="24"/>
  <c r="I141" i="7" s="1"/>
  <c r="G148" i="24"/>
  <c r="I140" i="7" s="1"/>
  <c r="G147" i="24"/>
  <c r="I139" i="7" s="1"/>
  <c r="G146" i="24"/>
  <c r="I138" i="7" s="1"/>
  <c r="G145" i="24"/>
  <c r="I137" i="7" s="1"/>
  <c r="G144" i="24"/>
  <c r="I136" i="7" s="1"/>
  <c r="G143" i="24"/>
  <c r="I135" i="7" s="1"/>
  <c r="G142" i="24"/>
  <c r="I134" i="7" s="1"/>
  <c r="G141" i="24"/>
  <c r="I133" i="7" s="1"/>
  <c r="G140" i="24"/>
  <c r="I132" i="7" s="1"/>
  <c r="G139" i="24"/>
  <c r="I131" i="7" s="1"/>
  <c r="G138" i="24"/>
  <c r="I130" i="7" s="1"/>
  <c r="G137" i="24"/>
  <c r="I129" i="7" s="1"/>
  <c r="G136" i="24"/>
  <c r="I128" i="7" s="1"/>
  <c r="G135" i="24"/>
  <c r="I127" i="7" s="1"/>
  <c r="G134" i="24"/>
  <c r="I126" i="7" s="1"/>
  <c r="G133" i="24"/>
  <c r="I125" i="7" s="1"/>
  <c r="G132" i="24"/>
  <c r="I124" i="7" s="1"/>
  <c r="G131" i="24"/>
  <c r="I123" i="7" s="1"/>
  <c r="G130" i="24"/>
  <c r="I122" i="7" s="1"/>
  <c r="G129" i="24"/>
  <c r="I121" i="7" s="1"/>
  <c r="G128" i="24"/>
  <c r="I120" i="7" s="1"/>
  <c r="G127" i="24"/>
  <c r="I119" i="7" s="1"/>
  <c r="G126" i="24"/>
  <c r="I118" i="7" s="1"/>
  <c r="G125" i="24"/>
  <c r="I117" i="7" s="1"/>
  <c r="G124" i="24"/>
  <c r="I116" i="7" s="1"/>
  <c r="G123" i="24"/>
  <c r="I115" i="7" s="1"/>
  <c r="G122" i="24"/>
  <c r="I114" i="7" s="1"/>
  <c r="G121" i="24"/>
  <c r="I113" i="7" s="1"/>
  <c r="G120" i="24"/>
  <c r="I112" i="7" s="1"/>
  <c r="G119" i="24"/>
  <c r="I111" i="7" s="1"/>
  <c r="G118" i="24"/>
  <c r="I110" i="7" s="1"/>
  <c r="G117" i="24"/>
  <c r="I109" i="7" s="1"/>
  <c r="G116" i="24"/>
  <c r="I108" i="7" s="1"/>
  <c r="G115" i="24"/>
  <c r="I107" i="7" s="1"/>
  <c r="G114" i="24"/>
  <c r="I106" i="7" s="1"/>
  <c r="G113" i="24"/>
  <c r="I105" i="7" s="1"/>
  <c r="G112" i="24"/>
  <c r="I104" i="7" s="1"/>
  <c r="G111" i="24"/>
  <c r="I103" i="7" s="1"/>
  <c r="G110" i="24"/>
  <c r="I102" i="7" s="1"/>
  <c r="G109" i="24"/>
  <c r="I101" i="7" s="1"/>
  <c r="G107" i="24"/>
  <c r="I99" i="7" s="1"/>
  <c r="G106" i="24"/>
  <c r="I98" i="7" s="1"/>
  <c r="G105" i="24"/>
  <c r="I97" i="7" s="1"/>
  <c r="G104" i="24"/>
  <c r="I96" i="7" s="1"/>
  <c r="G103" i="24"/>
  <c r="I95" i="7" s="1"/>
  <c r="G101" i="24"/>
  <c r="I93" i="7" s="1"/>
  <c r="G100" i="24"/>
  <c r="I92" i="7" s="1"/>
  <c r="G99" i="24"/>
  <c r="I91" i="7" s="1"/>
  <c r="G98" i="24"/>
  <c r="I90" i="7" s="1"/>
  <c r="G97" i="24"/>
  <c r="I89" i="7" s="1"/>
  <c r="G96" i="24"/>
  <c r="I88" i="7" s="1"/>
  <c r="G95" i="24"/>
  <c r="I87" i="7" s="1"/>
  <c r="G94" i="24"/>
  <c r="I86" i="7" s="1"/>
  <c r="G93" i="24"/>
  <c r="I85" i="7" s="1"/>
  <c r="G92" i="24"/>
  <c r="I84" i="7" s="1"/>
  <c r="G91" i="24"/>
  <c r="I83" i="7" s="1"/>
  <c r="G90" i="24"/>
  <c r="I82" i="7" s="1"/>
  <c r="G89" i="24"/>
  <c r="I81" i="7" s="1"/>
  <c r="G88" i="24"/>
  <c r="I80" i="7" s="1"/>
  <c r="G87" i="24"/>
  <c r="I79" i="7" s="1"/>
  <c r="G86" i="24"/>
  <c r="I78" i="7" s="1"/>
  <c r="G85" i="24"/>
  <c r="I77" i="7" s="1"/>
  <c r="G84" i="24"/>
  <c r="I76" i="7" s="1"/>
  <c r="G83" i="24"/>
  <c r="I75" i="7" s="1"/>
  <c r="G82" i="24"/>
  <c r="I74" i="7" s="1"/>
  <c r="G81" i="24"/>
  <c r="I73" i="7" s="1"/>
  <c r="G80" i="24"/>
  <c r="I72" i="7" s="1"/>
  <c r="G79" i="24"/>
  <c r="I71" i="7" s="1"/>
  <c r="G78" i="24"/>
  <c r="I70" i="7" s="1"/>
  <c r="G77" i="24"/>
  <c r="I69" i="7" s="1"/>
  <c r="G76" i="24"/>
  <c r="I68" i="7" s="1"/>
  <c r="G75" i="24"/>
  <c r="I67" i="7" s="1"/>
  <c r="G74" i="24"/>
  <c r="I66" i="7" s="1"/>
  <c r="G73" i="24"/>
  <c r="I65" i="7" s="1"/>
  <c r="G72" i="24"/>
  <c r="I64" i="7" s="1"/>
  <c r="G71" i="24"/>
  <c r="I63" i="7" s="1"/>
  <c r="G70" i="24"/>
  <c r="I62" i="7" s="1"/>
  <c r="G69" i="24"/>
  <c r="I61" i="7" s="1"/>
  <c r="G68" i="24"/>
  <c r="I60" i="7" s="1"/>
  <c r="G67" i="24"/>
  <c r="I59" i="7" s="1"/>
  <c r="G66" i="24"/>
  <c r="I58" i="7" s="1"/>
  <c r="G65" i="24"/>
  <c r="I57" i="7" s="1"/>
  <c r="G64" i="24"/>
  <c r="I56" i="7" s="1"/>
  <c r="G63" i="24"/>
  <c r="I55" i="7" s="1"/>
  <c r="G61" i="24"/>
  <c r="I53" i="7" s="1"/>
  <c r="G60" i="24"/>
  <c r="I52" i="7" s="1"/>
  <c r="G59" i="24"/>
  <c r="I51" i="7" s="1"/>
  <c r="G58" i="24"/>
  <c r="I50" i="7" s="1"/>
  <c r="G57" i="24"/>
  <c r="I49" i="7" s="1"/>
  <c r="G56" i="24"/>
  <c r="I48" i="7" s="1"/>
  <c r="G55" i="24"/>
  <c r="I47" i="7" s="1"/>
  <c r="G54" i="24"/>
  <c r="I46" i="7" s="1"/>
  <c r="G53" i="24"/>
  <c r="I45" i="7" s="1"/>
  <c r="G52" i="24"/>
  <c r="I44" i="7" s="1"/>
  <c r="G51" i="24"/>
  <c r="I43" i="7" s="1"/>
  <c r="G50" i="24"/>
  <c r="I42" i="7" s="1"/>
  <c r="G49" i="24"/>
  <c r="I41" i="7" s="1"/>
  <c r="G48" i="24"/>
  <c r="I40" i="7" s="1"/>
  <c r="G47" i="24"/>
  <c r="I39" i="7" s="1"/>
  <c r="G46" i="24"/>
  <c r="I38" i="7" s="1"/>
  <c r="G45" i="24"/>
  <c r="I37" i="7" s="1"/>
  <c r="G44" i="24"/>
  <c r="I36" i="7" s="1"/>
  <c r="G42" i="24"/>
  <c r="I34" i="7" s="1"/>
  <c r="G41" i="24"/>
  <c r="I33" i="7" s="1"/>
  <c r="G40" i="24"/>
  <c r="I32" i="7" s="1"/>
  <c r="G39" i="24"/>
  <c r="I31" i="7" s="1"/>
  <c r="G38" i="24"/>
  <c r="I30" i="7" s="1"/>
  <c r="G37" i="24"/>
  <c r="I29" i="7" s="1"/>
  <c r="G36" i="24"/>
  <c r="I28" i="7" s="1"/>
  <c r="G35" i="24"/>
  <c r="I27" i="7" s="1"/>
  <c r="G34" i="24"/>
  <c r="I26" i="7" s="1"/>
  <c r="G33" i="24"/>
  <c r="I25" i="7" s="1"/>
  <c r="G32" i="24"/>
  <c r="I24" i="7" s="1"/>
  <c r="G31" i="24"/>
  <c r="I23" i="7" s="1"/>
  <c r="G30" i="24"/>
  <c r="I22" i="7" s="1"/>
  <c r="G29" i="24"/>
  <c r="I21" i="7" s="1"/>
  <c r="G28" i="24"/>
  <c r="I20" i="7" s="1"/>
  <c r="G27" i="24"/>
  <c r="I19" i="7" s="1"/>
  <c r="G26" i="24"/>
  <c r="I18" i="7" s="1"/>
  <c r="G25" i="24"/>
  <c r="I17" i="7" s="1"/>
  <c r="G24" i="24"/>
  <c r="I16" i="7" s="1"/>
  <c r="G23" i="24"/>
  <c r="I15" i="7" s="1"/>
  <c r="G22" i="24"/>
  <c r="I14" i="7" s="1"/>
  <c r="G21" i="24"/>
  <c r="I13" i="7" s="1"/>
  <c r="G20" i="24"/>
  <c r="I12" i="7" s="1"/>
  <c r="G18" i="24"/>
  <c r="I10" i="7" s="1"/>
  <c r="G17" i="24"/>
  <c r="I9" i="7" s="1"/>
  <c r="G16" i="24"/>
  <c r="I8" i="7" s="1"/>
  <c r="G15" i="24"/>
  <c r="I7" i="7" s="1"/>
  <c r="G14" i="24"/>
  <c r="I6" i="7" s="1"/>
  <c r="G13" i="24"/>
  <c r="I5" i="7" s="1"/>
  <c r="G12" i="24"/>
  <c r="I4" i="7" s="1"/>
  <c r="AX196" i="24"/>
  <c r="AW196" i="24"/>
  <c r="AK196" i="24"/>
  <c r="AJ196" i="24"/>
  <c r="AI196" i="24"/>
  <c r="G39" i="4"/>
  <c r="H158" i="7" s="1"/>
  <c r="G47" i="4"/>
  <c r="H190" i="7" s="1"/>
  <c r="G45" i="4"/>
  <c r="H184" i="7" s="1"/>
  <c r="G43" i="4"/>
  <c r="H173" i="7" s="1"/>
  <c r="G42" i="4"/>
  <c r="G41" i="4"/>
  <c r="H171" i="7" s="1"/>
  <c r="G40" i="4"/>
  <c r="H168" i="7" s="1"/>
  <c r="G37" i="4"/>
  <c r="H153" i="7" s="1"/>
  <c r="G35" i="4"/>
  <c r="H135" i="7" s="1"/>
  <c r="G33" i="4"/>
  <c r="H120" i="7" s="1"/>
  <c r="G32" i="4"/>
  <c r="H117" i="7" s="1"/>
  <c r="G31" i="4"/>
  <c r="G30" i="4"/>
  <c r="G29" i="4"/>
  <c r="H94" i="7" s="1"/>
  <c r="G28" i="4"/>
  <c r="G27" i="4"/>
  <c r="H81" i="7" s="1"/>
  <c r="G26" i="4"/>
  <c r="H72" i="7" s="1"/>
  <c r="G25" i="4"/>
  <c r="H70" i="7" s="1"/>
  <c r="G24" i="4"/>
  <c r="H64" i="7" s="1"/>
  <c r="G23" i="4"/>
  <c r="H63" i="7" s="1"/>
  <c r="G22" i="4"/>
  <c r="G21" i="4"/>
  <c r="H53" i="7" s="1"/>
  <c r="G19" i="4"/>
  <c r="H43" i="7" s="1"/>
  <c r="G18" i="4"/>
  <c r="G17" i="4"/>
  <c r="H18" i="7" s="1"/>
  <c r="G16" i="4"/>
  <c r="H15" i="7" s="1"/>
  <c r="G13" i="4"/>
  <c r="H6" i="7" s="1"/>
  <c r="G12" i="4"/>
  <c r="H5" i="7" s="1"/>
  <c r="AX49" i="4"/>
  <c r="AW49" i="4"/>
  <c r="AK49" i="4"/>
  <c r="AJ49" i="4"/>
  <c r="AI49" i="4"/>
  <c r="AX198" i="22"/>
  <c r="AW198" i="22"/>
  <c r="AK198" i="22"/>
  <c r="AJ198" i="22"/>
  <c r="AI198" i="22"/>
  <c r="AH198" i="22"/>
  <c r="AG198" i="22"/>
  <c r="AF198" i="22"/>
  <c r="AE198" i="22"/>
  <c r="AD198" i="22"/>
  <c r="AC198" i="22"/>
  <c r="AB198" i="22"/>
  <c r="AA198" i="22"/>
  <c r="Z198" i="22"/>
  <c r="Y198" i="22"/>
  <c r="X198" i="22"/>
  <c r="W198" i="22"/>
  <c r="V198" i="22"/>
  <c r="U198" i="22"/>
  <c r="T198" i="22"/>
  <c r="S198" i="22"/>
  <c r="R198" i="22"/>
  <c r="Q198" i="22"/>
  <c r="O198" i="22"/>
  <c r="K198" i="22"/>
  <c r="J198" i="22"/>
  <c r="I198" i="22"/>
  <c r="H198" i="22"/>
  <c r="C198" i="22"/>
  <c r="G196" i="22"/>
  <c r="G191" i="7" s="1"/>
  <c r="G195" i="22"/>
  <c r="G190" i="7" s="1"/>
  <c r="G194" i="22"/>
  <c r="G188" i="7" s="1"/>
  <c r="G193" i="22"/>
  <c r="G186" i="7" s="1"/>
  <c r="G192" i="22"/>
  <c r="G185" i="7" s="1"/>
  <c r="G191" i="22"/>
  <c r="G184" i="7" s="1"/>
  <c r="G189" i="22"/>
  <c r="G181" i="7" s="1"/>
  <c r="G188" i="22"/>
  <c r="G180" i="7" s="1"/>
  <c r="G187" i="22"/>
  <c r="G179" i="7" s="1"/>
  <c r="G186" i="22"/>
  <c r="G178" i="7" s="1"/>
  <c r="G185" i="22"/>
  <c r="G177" i="7" s="1"/>
  <c r="G184" i="22"/>
  <c r="G176" i="7" s="1"/>
  <c r="G183" i="22"/>
  <c r="G175" i="7" s="1"/>
  <c r="G182" i="22"/>
  <c r="G174" i="7" s="1"/>
  <c r="G181" i="22"/>
  <c r="G173" i="7" s="1"/>
  <c r="G180" i="22"/>
  <c r="G172" i="7" s="1"/>
  <c r="G179" i="22"/>
  <c r="G171" i="7" s="1"/>
  <c r="G178" i="22"/>
  <c r="G170" i="7" s="1"/>
  <c r="G177" i="22"/>
  <c r="G169" i="7" s="1"/>
  <c r="G176" i="22"/>
  <c r="G168" i="7" s="1"/>
  <c r="G175" i="22"/>
  <c r="G167" i="7" s="1"/>
  <c r="G174" i="22"/>
  <c r="G166" i="7" s="1"/>
  <c r="G173" i="22"/>
  <c r="G165" i="7" s="1"/>
  <c r="G172" i="22"/>
  <c r="G164" i="7" s="1"/>
  <c r="G171" i="22"/>
  <c r="G163" i="7" s="1"/>
  <c r="G170" i="22"/>
  <c r="G162" i="7" s="1"/>
  <c r="G169" i="22"/>
  <c r="G161" i="7" s="1"/>
  <c r="G168" i="22"/>
  <c r="G160" i="7" s="1"/>
  <c r="G167" i="22"/>
  <c r="G159" i="7" s="1"/>
  <c r="G166" i="22"/>
  <c r="G158" i="7" s="1"/>
  <c r="G165" i="22"/>
  <c r="G157" i="7" s="1"/>
  <c r="G164" i="22"/>
  <c r="G156" i="7" s="1"/>
  <c r="G163" i="22"/>
  <c r="G155" i="7" s="1"/>
  <c r="G162" i="22"/>
  <c r="G154" i="7" s="1"/>
  <c r="G161" i="22"/>
  <c r="G153" i="7" s="1"/>
  <c r="G160" i="22"/>
  <c r="G152" i="7" s="1"/>
  <c r="G159" i="22"/>
  <c r="G151" i="7" s="1"/>
  <c r="G158" i="22"/>
  <c r="G150" i="7" s="1"/>
  <c r="G157" i="22"/>
  <c r="G149" i="7" s="1"/>
  <c r="G155" i="22"/>
  <c r="G147" i="7" s="1"/>
  <c r="G154" i="22"/>
  <c r="G146" i="7" s="1"/>
  <c r="G153" i="22"/>
  <c r="G145" i="7" s="1"/>
  <c r="G152" i="22"/>
  <c r="G144" i="7" s="1"/>
  <c r="G151" i="22"/>
  <c r="G143" i="7" s="1"/>
  <c r="G150" i="22"/>
  <c r="G142" i="7" s="1"/>
  <c r="G149" i="22"/>
  <c r="G141" i="7" s="1"/>
  <c r="G148" i="22"/>
  <c r="G140" i="7" s="1"/>
  <c r="G147" i="22"/>
  <c r="G139" i="7" s="1"/>
  <c r="G146" i="22"/>
  <c r="G138" i="7" s="1"/>
  <c r="G145" i="22"/>
  <c r="G137" i="7" s="1"/>
  <c r="G144" i="22"/>
  <c r="G136" i="7" s="1"/>
  <c r="G143" i="22"/>
  <c r="G135" i="7" s="1"/>
  <c r="G142" i="22"/>
  <c r="G134" i="7" s="1"/>
  <c r="G141" i="22"/>
  <c r="G133" i="7" s="1"/>
  <c r="G140" i="22"/>
  <c r="G132" i="7" s="1"/>
  <c r="G139" i="22"/>
  <c r="G131" i="7" s="1"/>
  <c r="G138" i="22"/>
  <c r="G130" i="7" s="1"/>
  <c r="G137" i="22"/>
  <c r="G129" i="7" s="1"/>
  <c r="G136" i="22"/>
  <c r="G128" i="7" s="1"/>
  <c r="G135" i="22"/>
  <c r="G127" i="7" s="1"/>
  <c r="G134" i="22"/>
  <c r="G126" i="7" s="1"/>
  <c r="G133" i="22"/>
  <c r="G125" i="7" s="1"/>
  <c r="G132" i="22"/>
  <c r="G124" i="7" s="1"/>
  <c r="G131" i="22"/>
  <c r="G123" i="7" s="1"/>
  <c r="G130" i="22"/>
  <c r="G122" i="7" s="1"/>
  <c r="G129" i="22"/>
  <c r="G121" i="7" s="1"/>
  <c r="G127" i="22"/>
  <c r="G119" i="7" s="1"/>
  <c r="G126" i="22"/>
  <c r="G118" i="7" s="1"/>
  <c r="G124" i="22"/>
  <c r="G116" i="7" s="1"/>
  <c r="G123" i="22"/>
  <c r="G115" i="7" s="1"/>
  <c r="G121" i="22"/>
  <c r="G113" i="7" s="1"/>
  <c r="G120" i="22"/>
  <c r="G112" i="7" s="1"/>
  <c r="G119" i="22"/>
  <c r="G111" i="7" s="1"/>
  <c r="G118" i="22"/>
  <c r="G110" i="7" s="1"/>
  <c r="G117" i="22"/>
  <c r="G109" i="7" s="1"/>
  <c r="G116" i="22"/>
  <c r="G108" i="7" s="1"/>
  <c r="G115" i="22"/>
  <c r="G107" i="7" s="1"/>
  <c r="G114" i="22"/>
  <c r="G106" i="7" s="1"/>
  <c r="G113" i="22"/>
  <c r="G105" i="7" s="1"/>
  <c r="G112" i="22"/>
  <c r="G104" i="7" s="1"/>
  <c r="G111" i="22"/>
  <c r="G103" i="7" s="1"/>
  <c r="G110" i="22"/>
  <c r="G102" i="7" s="1"/>
  <c r="G109" i="22"/>
  <c r="G101" i="7" s="1"/>
  <c r="G108" i="22"/>
  <c r="G100" i="7" s="1"/>
  <c r="G107" i="22"/>
  <c r="G99" i="7" s="1"/>
  <c r="G106" i="22"/>
  <c r="G98" i="7" s="1"/>
  <c r="G105" i="22"/>
  <c r="G97" i="7" s="1"/>
  <c r="G104" i="22"/>
  <c r="G96" i="7" s="1"/>
  <c r="G103" i="22"/>
  <c r="G95" i="7" s="1"/>
  <c r="G102" i="22"/>
  <c r="G94" i="7" s="1"/>
  <c r="G101" i="22"/>
  <c r="G93" i="7" s="1"/>
  <c r="G100" i="22"/>
  <c r="G92" i="7" s="1"/>
  <c r="G99" i="22"/>
  <c r="G91" i="7" s="1"/>
  <c r="G98" i="22"/>
  <c r="G90" i="7" s="1"/>
  <c r="G97" i="22"/>
  <c r="G89" i="7" s="1"/>
  <c r="G96" i="22"/>
  <c r="G88" i="7" s="1"/>
  <c r="G95" i="22"/>
  <c r="G87" i="7" s="1"/>
  <c r="G94" i="22"/>
  <c r="G86" i="7" s="1"/>
  <c r="G93" i="22"/>
  <c r="G85" i="7" s="1"/>
  <c r="G92" i="22"/>
  <c r="G84" i="7" s="1"/>
  <c r="G91" i="22"/>
  <c r="G83" i="7" s="1"/>
  <c r="G90" i="22"/>
  <c r="G82" i="7" s="1"/>
  <c r="G89" i="22"/>
  <c r="G81" i="7" s="1"/>
  <c r="G88" i="22"/>
  <c r="G80" i="7" s="1"/>
  <c r="G87" i="22"/>
  <c r="G79" i="7" s="1"/>
  <c r="G86" i="22"/>
  <c r="G78" i="7" s="1"/>
  <c r="G85" i="22"/>
  <c r="G77" i="7" s="1"/>
  <c r="G84" i="22"/>
  <c r="G76" i="7" s="1"/>
  <c r="G83" i="22"/>
  <c r="G75" i="7" s="1"/>
  <c r="G82" i="22"/>
  <c r="G74" i="7" s="1"/>
  <c r="G81" i="22"/>
  <c r="G73" i="7" s="1"/>
  <c r="G80" i="22"/>
  <c r="G72" i="7" s="1"/>
  <c r="G79" i="22"/>
  <c r="G71" i="7" s="1"/>
  <c r="G78" i="22"/>
  <c r="G70" i="7" s="1"/>
  <c r="G77" i="22"/>
  <c r="G69" i="7" s="1"/>
  <c r="G76" i="22"/>
  <c r="G68" i="7" s="1"/>
  <c r="G75" i="22"/>
  <c r="G67" i="7" s="1"/>
  <c r="G74" i="22"/>
  <c r="G66" i="7" s="1"/>
  <c r="G73" i="22"/>
  <c r="G65" i="7" s="1"/>
  <c r="G72" i="22"/>
  <c r="G64" i="7" s="1"/>
  <c r="G71" i="22"/>
  <c r="G63" i="7" s="1"/>
  <c r="G70" i="22"/>
  <c r="G62" i="7" s="1"/>
  <c r="G69" i="22"/>
  <c r="G61" i="7" s="1"/>
  <c r="G68" i="22"/>
  <c r="G60" i="7" s="1"/>
  <c r="G67" i="22"/>
  <c r="G59" i="7" s="1"/>
  <c r="G66" i="22"/>
  <c r="G58" i="7" s="1"/>
  <c r="G64" i="22"/>
  <c r="G56" i="7" s="1"/>
  <c r="G63" i="22"/>
  <c r="G55" i="7" s="1"/>
  <c r="G62" i="22"/>
  <c r="G54" i="7" s="1"/>
  <c r="G61" i="22"/>
  <c r="G53" i="7" s="1"/>
  <c r="G60" i="22"/>
  <c r="G52" i="7" s="1"/>
  <c r="G59" i="22"/>
  <c r="G51" i="7" s="1"/>
  <c r="G58" i="22"/>
  <c r="G50" i="7" s="1"/>
  <c r="G57" i="22"/>
  <c r="G49" i="7" s="1"/>
  <c r="G56" i="22"/>
  <c r="G48" i="7" s="1"/>
  <c r="G55" i="22"/>
  <c r="G47" i="7" s="1"/>
  <c r="G54" i="22"/>
  <c r="G46" i="7" s="1"/>
  <c r="G52" i="22"/>
  <c r="G44" i="7" s="1"/>
  <c r="G51" i="22"/>
  <c r="G43" i="7" s="1"/>
  <c r="G50" i="22"/>
  <c r="G42" i="7" s="1"/>
  <c r="G49" i="22"/>
  <c r="G41" i="7" s="1"/>
  <c r="G48" i="22"/>
  <c r="G40" i="7" s="1"/>
  <c r="G47" i="22"/>
  <c r="G39" i="7" s="1"/>
  <c r="G46" i="22"/>
  <c r="G38" i="7" s="1"/>
  <c r="G45" i="22"/>
  <c r="G37" i="7" s="1"/>
  <c r="G44" i="22"/>
  <c r="G36" i="7" s="1"/>
  <c r="G43" i="22"/>
  <c r="G35" i="7" s="1"/>
  <c r="G42" i="22"/>
  <c r="G34" i="7" s="1"/>
  <c r="G41" i="22"/>
  <c r="G33" i="7" s="1"/>
  <c r="G40" i="22"/>
  <c r="G32" i="7" s="1"/>
  <c r="G39" i="22"/>
  <c r="G31" i="7" s="1"/>
  <c r="G38" i="22"/>
  <c r="G30" i="7" s="1"/>
  <c r="G36" i="22"/>
  <c r="G28" i="7" s="1"/>
  <c r="G35" i="22"/>
  <c r="G27" i="7" s="1"/>
  <c r="G34" i="22"/>
  <c r="G26" i="7" s="1"/>
  <c r="G33" i="22"/>
  <c r="G25" i="7" s="1"/>
  <c r="G32" i="22"/>
  <c r="G24" i="7" s="1"/>
  <c r="G31" i="22"/>
  <c r="G23" i="7" s="1"/>
  <c r="G30" i="22"/>
  <c r="G22" i="7" s="1"/>
  <c r="G29" i="22"/>
  <c r="G21" i="7" s="1"/>
  <c r="G28" i="22"/>
  <c r="G20" i="7" s="1"/>
  <c r="G27" i="22"/>
  <c r="G19" i="7" s="1"/>
  <c r="G26" i="22"/>
  <c r="G18" i="7" s="1"/>
  <c r="G25" i="22"/>
  <c r="G17" i="7" s="1"/>
  <c r="G24" i="22"/>
  <c r="G16" i="7" s="1"/>
  <c r="G23" i="22"/>
  <c r="G15" i="7" s="1"/>
  <c r="G22" i="22"/>
  <c r="G14" i="7" s="1"/>
  <c r="G21" i="22"/>
  <c r="G13" i="7" s="1"/>
  <c r="G20" i="22"/>
  <c r="G12" i="7" s="1"/>
  <c r="G19" i="22"/>
  <c r="G11" i="7" s="1"/>
  <c r="G18" i="22"/>
  <c r="G10" i="7" s="1"/>
  <c r="G17" i="22"/>
  <c r="G9" i="7" s="1"/>
  <c r="G16" i="22"/>
  <c r="G8" i="7" s="1"/>
  <c r="G15" i="22"/>
  <c r="G7" i="7" s="1"/>
  <c r="G14" i="22"/>
  <c r="G6" i="7" s="1"/>
  <c r="G12" i="22"/>
  <c r="G4" i="7" s="1"/>
  <c r="E65" i="22"/>
  <c r="G194" i="21"/>
  <c r="F186" i="7" s="1"/>
  <c r="G193" i="21"/>
  <c r="F185" i="7" s="1"/>
  <c r="G192" i="21"/>
  <c r="F184" i="7" s="1"/>
  <c r="G191" i="21"/>
  <c r="F183" i="7" s="1"/>
  <c r="G190" i="21"/>
  <c r="F182" i="7" s="1"/>
  <c r="G189" i="21"/>
  <c r="F181" i="7" s="1"/>
  <c r="G188" i="21"/>
  <c r="F180" i="7" s="1"/>
  <c r="G187" i="21"/>
  <c r="F179" i="7" s="1"/>
  <c r="G186" i="21"/>
  <c r="F178" i="7" s="1"/>
  <c r="G185" i="21"/>
  <c r="F177" i="7" s="1"/>
  <c r="G184" i="21"/>
  <c r="F176" i="7" s="1"/>
  <c r="G183" i="21"/>
  <c r="F175" i="7" s="1"/>
  <c r="G182" i="21"/>
  <c r="F174" i="7" s="1"/>
  <c r="G181" i="21"/>
  <c r="F173" i="7" s="1"/>
  <c r="G180" i="21"/>
  <c r="F172" i="7" s="1"/>
  <c r="G179" i="21"/>
  <c r="F171" i="7" s="1"/>
  <c r="G178" i="21"/>
  <c r="F170" i="7" s="1"/>
  <c r="G177" i="21"/>
  <c r="F169" i="7" s="1"/>
  <c r="G176" i="21"/>
  <c r="F168" i="7" s="1"/>
  <c r="G175" i="21"/>
  <c r="F167" i="7" s="1"/>
  <c r="G174" i="21"/>
  <c r="F166" i="7" s="1"/>
  <c r="G173" i="21"/>
  <c r="F165" i="7" s="1"/>
  <c r="G172" i="21"/>
  <c r="F164" i="7" s="1"/>
  <c r="G171" i="21"/>
  <c r="F163" i="7" s="1"/>
  <c r="G170" i="21"/>
  <c r="F162" i="7" s="1"/>
  <c r="G169" i="21"/>
  <c r="F161" i="7" s="1"/>
  <c r="G168" i="21"/>
  <c r="F160" i="7" s="1"/>
  <c r="G167" i="21"/>
  <c r="F159" i="7" s="1"/>
  <c r="G166" i="21"/>
  <c r="F158" i="7" s="1"/>
  <c r="G165" i="21"/>
  <c r="F157" i="7" s="1"/>
  <c r="G164" i="21"/>
  <c r="F156" i="7" s="1"/>
  <c r="G163" i="21"/>
  <c r="F155" i="7" s="1"/>
  <c r="G162" i="21"/>
  <c r="F154" i="7" s="1"/>
  <c r="G161" i="21"/>
  <c r="F153" i="7" s="1"/>
  <c r="G160" i="21"/>
  <c r="F152" i="7" s="1"/>
  <c r="G159" i="21"/>
  <c r="F151" i="7" s="1"/>
  <c r="G158" i="21"/>
  <c r="F150" i="7" s="1"/>
  <c r="G157" i="21"/>
  <c r="F149" i="7" s="1"/>
  <c r="G156" i="21"/>
  <c r="F148" i="7" s="1"/>
  <c r="G155" i="21"/>
  <c r="F147" i="7" s="1"/>
  <c r="G154" i="21"/>
  <c r="F146" i="7" s="1"/>
  <c r="G152" i="21"/>
  <c r="F144" i="7" s="1"/>
  <c r="G151" i="21"/>
  <c r="F143" i="7" s="1"/>
  <c r="G150" i="21"/>
  <c r="F142" i="7" s="1"/>
  <c r="G149" i="21"/>
  <c r="F141" i="7" s="1"/>
  <c r="G148" i="21"/>
  <c r="F140" i="7" s="1"/>
  <c r="G147" i="21"/>
  <c r="F139" i="7" s="1"/>
  <c r="G146" i="21"/>
  <c r="F138" i="7" s="1"/>
  <c r="G144" i="21"/>
  <c r="F136" i="7" s="1"/>
  <c r="G143" i="21"/>
  <c r="F135" i="7" s="1"/>
  <c r="G142" i="21"/>
  <c r="F134" i="7" s="1"/>
  <c r="G141" i="21"/>
  <c r="F133" i="7" s="1"/>
  <c r="G140" i="21"/>
  <c r="F132" i="7" s="1"/>
  <c r="G139" i="21"/>
  <c r="F131" i="7" s="1"/>
  <c r="G138" i="21"/>
  <c r="F130" i="7" s="1"/>
  <c r="G137" i="21"/>
  <c r="F129" i="7" s="1"/>
  <c r="G135" i="21"/>
  <c r="F127" i="7" s="1"/>
  <c r="G134" i="21"/>
  <c r="F126" i="7" s="1"/>
  <c r="G133" i="21"/>
  <c r="F125" i="7" s="1"/>
  <c r="G132" i="21"/>
  <c r="F124" i="7" s="1"/>
  <c r="G131" i="21"/>
  <c r="F123" i="7" s="1"/>
  <c r="G130" i="21"/>
  <c r="F122" i="7" s="1"/>
  <c r="G129" i="21"/>
  <c r="F121" i="7" s="1"/>
  <c r="G127" i="21"/>
  <c r="F119" i="7" s="1"/>
  <c r="G126" i="21"/>
  <c r="F118" i="7" s="1"/>
  <c r="G125" i="21"/>
  <c r="F117" i="7" s="1"/>
  <c r="G124" i="21"/>
  <c r="F116" i="7" s="1"/>
  <c r="G123" i="21"/>
  <c r="F115" i="7" s="1"/>
  <c r="G121" i="21"/>
  <c r="F113" i="7" s="1"/>
  <c r="G120" i="21"/>
  <c r="F112" i="7" s="1"/>
  <c r="G119" i="21"/>
  <c r="F111" i="7" s="1"/>
  <c r="G118" i="21"/>
  <c r="F110" i="7" s="1"/>
  <c r="G117" i="21"/>
  <c r="F109" i="7" s="1"/>
  <c r="G116" i="21"/>
  <c r="F108" i="7" s="1"/>
  <c r="G115" i="21"/>
  <c r="F107" i="7" s="1"/>
  <c r="G114" i="21"/>
  <c r="F106" i="7" s="1"/>
  <c r="G113" i="21"/>
  <c r="F105" i="7" s="1"/>
  <c r="G112" i="21"/>
  <c r="F104" i="7" s="1"/>
  <c r="G111" i="21"/>
  <c r="F103" i="7" s="1"/>
  <c r="G110" i="21"/>
  <c r="F102" i="7" s="1"/>
  <c r="G109" i="21"/>
  <c r="F101" i="7" s="1"/>
  <c r="G108" i="21"/>
  <c r="F100" i="7" s="1"/>
  <c r="G107" i="21"/>
  <c r="F99" i="7" s="1"/>
  <c r="G106" i="21"/>
  <c r="F98" i="7" s="1"/>
  <c r="G105" i="21"/>
  <c r="F97" i="7" s="1"/>
  <c r="G104" i="21"/>
  <c r="F96" i="7" s="1"/>
  <c r="G103" i="21"/>
  <c r="F95" i="7" s="1"/>
  <c r="G102" i="21"/>
  <c r="F94" i="7" s="1"/>
  <c r="G101" i="21"/>
  <c r="F93" i="7" s="1"/>
  <c r="G100" i="21"/>
  <c r="F92" i="7" s="1"/>
  <c r="G99" i="21"/>
  <c r="F91" i="7" s="1"/>
  <c r="G98" i="21"/>
  <c r="F90" i="7" s="1"/>
  <c r="G97" i="21"/>
  <c r="F89" i="7" s="1"/>
  <c r="G96" i="21"/>
  <c r="F88" i="7" s="1"/>
  <c r="G95" i="21"/>
  <c r="F87" i="7" s="1"/>
  <c r="G94" i="21"/>
  <c r="F86" i="7" s="1"/>
  <c r="G93" i="21"/>
  <c r="F85" i="7" s="1"/>
  <c r="G92" i="21"/>
  <c r="F84" i="7" s="1"/>
  <c r="G91" i="21"/>
  <c r="F83" i="7" s="1"/>
  <c r="G90" i="21"/>
  <c r="F82" i="7" s="1"/>
  <c r="G89" i="21"/>
  <c r="F81" i="7" s="1"/>
  <c r="G88" i="21"/>
  <c r="F80" i="7" s="1"/>
  <c r="G87" i="21"/>
  <c r="F79" i="7" s="1"/>
  <c r="G86" i="21"/>
  <c r="F78" i="7" s="1"/>
  <c r="G85" i="21"/>
  <c r="F77" i="7" s="1"/>
  <c r="G84" i="21"/>
  <c r="F76" i="7" s="1"/>
  <c r="G83" i="21"/>
  <c r="F75" i="7" s="1"/>
  <c r="G82" i="21"/>
  <c r="F74" i="7" s="1"/>
  <c r="G81" i="21"/>
  <c r="F73" i="7" s="1"/>
  <c r="G80" i="21"/>
  <c r="F72" i="7" s="1"/>
  <c r="G79" i="21"/>
  <c r="F71" i="7" s="1"/>
  <c r="G78" i="21"/>
  <c r="F70" i="7" s="1"/>
  <c r="G77" i="21"/>
  <c r="F69" i="7" s="1"/>
  <c r="G76" i="21"/>
  <c r="F68" i="7" s="1"/>
  <c r="G75" i="21"/>
  <c r="F67" i="7" s="1"/>
  <c r="G74" i="21"/>
  <c r="F66" i="7" s="1"/>
  <c r="G73" i="21"/>
  <c r="F65" i="7" s="1"/>
  <c r="G72" i="21"/>
  <c r="G71" i="21"/>
  <c r="G70" i="21"/>
  <c r="F62" i="7" s="1"/>
  <c r="G69" i="21"/>
  <c r="F61" i="7" s="1"/>
  <c r="G68" i="21"/>
  <c r="F60" i="7" s="1"/>
  <c r="G67" i="21"/>
  <c r="F59" i="7" s="1"/>
  <c r="G66" i="21"/>
  <c r="F58" i="7" s="1"/>
  <c r="G65" i="21"/>
  <c r="F57" i="7" s="1"/>
  <c r="G64" i="21"/>
  <c r="F56" i="7" s="1"/>
  <c r="G63" i="21"/>
  <c r="F55" i="7" s="1"/>
  <c r="G61" i="21"/>
  <c r="F53" i="7" s="1"/>
  <c r="G60" i="21"/>
  <c r="F52" i="7" s="1"/>
  <c r="G59" i="21"/>
  <c r="F51" i="7" s="1"/>
  <c r="G58" i="21"/>
  <c r="F50" i="7" s="1"/>
  <c r="G57" i="21"/>
  <c r="F49" i="7" s="1"/>
  <c r="G56" i="21"/>
  <c r="F48" i="7" s="1"/>
  <c r="G55" i="21"/>
  <c r="F47" i="7" s="1"/>
  <c r="G54" i="21"/>
  <c r="F46" i="7" s="1"/>
  <c r="G53" i="21"/>
  <c r="F45" i="7" s="1"/>
  <c r="G52" i="21"/>
  <c r="F44" i="7" s="1"/>
  <c r="G51" i="21"/>
  <c r="F43" i="7" s="1"/>
  <c r="G50" i="21"/>
  <c r="F42" i="7" s="1"/>
  <c r="G49" i="21"/>
  <c r="F41" i="7" s="1"/>
  <c r="G48" i="21"/>
  <c r="F40" i="7" s="1"/>
  <c r="G47" i="21"/>
  <c r="F39" i="7" s="1"/>
  <c r="G46" i="21"/>
  <c r="F38" i="7" s="1"/>
  <c r="G45" i="21"/>
  <c r="F37" i="7" s="1"/>
  <c r="G44" i="21"/>
  <c r="F36" i="7" s="1"/>
  <c r="G42" i="21"/>
  <c r="F34" i="7" s="1"/>
  <c r="G41" i="21"/>
  <c r="F33" i="7" s="1"/>
  <c r="G40" i="21"/>
  <c r="F32" i="7" s="1"/>
  <c r="G38" i="21"/>
  <c r="F30" i="7" s="1"/>
  <c r="G36" i="21"/>
  <c r="F28" i="7" s="1"/>
  <c r="G35" i="21"/>
  <c r="F27" i="7" s="1"/>
  <c r="G34" i="21"/>
  <c r="F26" i="7" s="1"/>
  <c r="G33" i="21"/>
  <c r="F25" i="7" s="1"/>
  <c r="G32" i="21"/>
  <c r="F24" i="7" s="1"/>
  <c r="G31" i="21"/>
  <c r="F23" i="7" s="1"/>
  <c r="G30" i="21"/>
  <c r="F22" i="7" s="1"/>
  <c r="G29" i="21"/>
  <c r="F21" i="7" s="1"/>
  <c r="G28" i="21"/>
  <c r="F20" i="7" s="1"/>
  <c r="G27" i="21"/>
  <c r="F19" i="7" s="1"/>
  <c r="G26" i="21"/>
  <c r="F18" i="7" s="1"/>
  <c r="G25" i="21"/>
  <c r="F17" i="7" s="1"/>
  <c r="G24" i="21"/>
  <c r="F16" i="7" s="1"/>
  <c r="G23" i="21"/>
  <c r="F15" i="7" s="1"/>
  <c r="G22" i="21"/>
  <c r="F14" i="7" s="1"/>
  <c r="G21" i="21"/>
  <c r="F13" i="7" s="1"/>
  <c r="G20" i="21"/>
  <c r="F12" i="7" s="1"/>
  <c r="G17" i="21"/>
  <c r="F9" i="7" s="1"/>
  <c r="G16" i="21"/>
  <c r="F8" i="7" s="1"/>
  <c r="G15" i="21"/>
  <c r="F7" i="7" s="1"/>
  <c r="G13" i="21"/>
  <c r="F5" i="7" s="1"/>
  <c r="G12" i="21"/>
  <c r="F4" i="7" s="1"/>
  <c r="AX196" i="21"/>
  <c r="AW196" i="21"/>
  <c r="AK196" i="21"/>
  <c r="AJ196" i="21"/>
  <c r="AI196" i="21"/>
  <c r="AM14" i="11"/>
  <c r="AL14" i="11"/>
  <c r="AK14" i="11"/>
  <c r="AJ14" i="11"/>
  <c r="AI14" i="11"/>
  <c r="G184" i="1"/>
  <c r="C176" i="7" s="1"/>
  <c r="G194" i="1"/>
  <c r="C186" i="7" s="1"/>
  <c r="G192" i="1"/>
  <c r="C184" i="7" s="1"/>
  <c r="G191" i="1"/>
  <c r="C183" i="7" s="1"/>
  <c r="G190" i="1"/>
  <c r="C182" i="7" s="1"/>
  <c r="G189" i="1"/>
  <c r="C181" i="7" s="1"/>
  <c r="G188" i="1"/>
  <c r="C180" i="7" s="1"/>
  <c r="G187" i="1"/>
  <c r="C179" i="7" s="1"/>
  <c r="G186" i="1"/>
  <c r="C178" i="7" s="1"/>
  <c r="G185" i="1"/>
  <c r="C177" i="7" s="1"/>
  <c r="G183" i="1"/>
  <c r="C175" i="7" s="1"/>
  <c r="G182" i="1"/>
  <c r="C174" i="7" s="1"/>
  <c r="G181" i="1"/>
  <c r="C173" i="7" s="1"/>
  <c r="G180" i="1"/>
  <c r="C172" i="7" s="1"/>
  <c r="G179" i="1"/>
  <c r="C171" i="7" s="1"/>
  <c r="G178" i="1"/>
  <c r="C170" i="7" s="1"/>
  <c r="G177" i="1"/>
  <c r="C169" i="7" s="1"/>
  <c r="G176" i="1"/>
  <c r="C168" i="7" s="1"/>
  <c r="G175" i="1"/>
  <c r="C167" i="7" s="1"/>
  <c r="G174" i="1"/>
  <c r="C166" i="7" s="1"/>
  <c r="G173" i="1"/>
  <c r="C165" i="7" s="1"/>
  <c r="G172" i="1"/>
  <c r="C164" i="7" s="1"/>
  <c r="G171" i="1"/>
  <c r="C163" i="7" s="1"/>
  <c r="G170" i="1"/>
  <c r="C162" i="7" s="1"/>
  <c r="G169" i="1"/>
  <c r="C161" i="7" s="1"/>
  <c r="G168" i="1"/>
  <c r="C160" i="7" s="1"/>
  <c r="G167" i="1"/>
  <c r="C159" i="7" s="1"/>
  <c r="G166" i="1"/>
  <c r="C158" i="7" s="1"/>
  <c r="G165" i="1"/>
  <c r="C157" i="7" s="1"/>
  <c r="G164" i="1"/>
  <c r="C156" i="7" s="1"/>
  <c r="G163" i="1"/>
  <c r="C155" i="7" s="1"/>
  <c r="G162" i="1"/>
  <c r="C154" i="7" s="1"/>
  <c r="G161" i="1"/>
  <c r="C153" i="7" s="1"/>
  <c r="G160" i="1"/>
  <c r="C152" i="7" s="1"/>
  <c r="G159" i="1"/>
  <c r="C151" i="7" s="1"/>
  <c r="G158" i="1"/>
  <c r="C150" i="7" s="1"/>
  <c r="G157" i="1"/>
  <c r="C149" i="7" s="1"/>
  <c r="G156" i="1"/>
  <c r="C148" i="7" s="1"/>
  <c r="G155" i="1"/>
  <c r="C147" i="7" s="1"/>
  <c r="G154" i="1"/>
  <c r="C146" i="7" s="1"/>
  <c r="G153" i="1"/>
  <c r="C145" i="7" s="1"/>
  <c r="G152" i="1"/>
  <c r="C144" i="7" s="1"/>
  <c r="G151" i="1"/>
  <c r="C143" i="7" s="1"/>
  <c r="G150" i="1"/>
  <c r="C142" i="7" s="1"/>
  <c r="G149" i="1"/>
  <c r="C141" i="7" s="1"/>
  <c r="G148" i="1"/>
  <c r="C140" i="7" s="1"/>
  <c r="G147" i="1"/>
  <c r="C139" i="7" s="1"/>
  <c r="G146" i="1"/>
  <c r="C138" i="7" s="1"/>
  <c r="G144" i="1"/>
  <c r="C136" i="7" s="1"/>
  <c r="G143" i="1"/>
  <c r="C135" i="7" s="1"/>
  <c r="G142" i="1"/>
  <c r="C134" i="7" s="1"/>
  <c r="G141" i="1"/>
  <c r="C133" i="7" s="1"/>
  <c r="G140" i="1"/>
  <c r="C132" i="7" s="1"/>
  <c r="G139" i="1"/>
  <c r="C131" i="7" s="1"/>
  <c r="G138" i="1"/>
  <c r="C130" i="7" s="1"/>
  <c r="G137" i="1"/>
  <c r="C129" i="7" s="1"/>
  <c r="G135" i="1"/>
  <c r="C127" i="7" s="1"/>
  <c r="G134" i="1"/>
  <c r="C126" i="7" s="1"/>
  <c r="G133" i="1"/>
  <c r="C125" i="7" s="1"/>
  <c r="G132" i="1"/>
  <c r="C124" i="7" s="1"/>
  <c r="G131" i="1"/>
  <c r="C123" i="7" s="1"/>
  <c r="G130" i="1"/>
  <c r="C122" i="7" s="1"/>
  <c r="G129" i="1"/>
  <c r="C121" i="7" s="1"/>
  <c r="G127" i="1"/>
  <c r="C119" i="7" s="1"/>
  <c r="G126" i="1"/>
  <c r="C118" i="7" s="1"/>
  <c r="G125" i="1"/>
  <c r="C117" i="7" s="1"/>
  <c r="G124" i="1"/>
  <c r="C116" i="7" s="1"/>
  <c r="G123" i="1"/>
  <c r="C115" i="7" s="1"/>
  <c r="G121" i="1"/>
  <c r="C113" i="7" s="1"/>
  <c r="G120" i="1"/>
  <c r="C112" i="7" s="1"/>
  <c r="G119" i="1"/>
  <c r="C111" i="7" s="1"/>
  <c r="G118" i="1"/>
  <c r="C110" i="7" s="1"/>
  <c r="G117" i="1"/>
  <c r="C109" i="7" s="1"/>
  <c r="G116" i="1"/>
  <c r="C108" i="7" s="1"/>
  <c r="G115" i="1"/>
  <c r="C107" i="7" s="1"/>
  <c r="G114" i="1"/>
  <c r="C106" i="7" s="1"/>
  <c r="G113" i="1"/>
  <c r="C105" i="7" s="1"/>
  <c r="G112" i="1"/>
  <c r="C104" i="7" s="1"/>
  <c r="G111" i="1"/>
  <c r="C103" i="7" s="1"/>
  <c r="G110" i="1"/>
  <c r="C102" i="7" s="1"/>
  <c r="G109" i="1"/>
  <c r="C101" i="7" s="1"/>
  <c r="G107" i="1"/>
  <c r="C99" i="7" s="1"/>
  <c r="G106" i="1"/>
  <c r="C98" i="7" s="1"/>
  <c r="G105" i="1"/>
  <c r="C97" i="7" s="1"/>
  <c r="G104" i="1"/>
  <c r="C96" i="7" s="1"/>
  <c r="G103" i="1"/>
  <c r="C95" i="7" s="1"/>
  <c r="G102" i="1"/>
  <c r="C94" i="7" s="1"/>
  <c r="G101" i="1"/>
  <c r="C93" i="7" s="1"/>
  <c r="G100" i="1"/>
  <c r="C92" i="7" s="1"/>
  <c r="G99" i="1"/>
  <c r="C91" i="7" s="1"/>
  <c r="G98" i="1"/>
  <c r="C90" i="7" s="1"/>
  <c r="G97" i="1"/>
  <c r="C89" i="7" s="1"/>
  <c r="G96" i="1"/>
  <c r="C88" i="7" s="1"/>
  <c r="G95" i="1"/>
  <c r="C87" i="7" s="1"/>
  <c r="G94" i="1"/>
  <c r="C86" i="7" s="1"/>
  <c r="G93" i="1"/>
  <c r="C85" i="7" s="1"/>
  <c r="G92" i="1"/>
  <c r="C84" i="7" s="1"/>
  <c r="G91" i="1"/>
  <c r="C83" i="7" s="1"/>
  <c r="G90" i="1"/>
  <c r="C82" i="7" s="1"/>
  <c r="G89" i="1"/>
  <c r="C81" i="7" s="1"/>
  <c r="G88" i="1"/>
  <c r="C80" i="7" s="1"/>
  <c r="G87" i="1"/>
  <c r="C79" i="7" s="1"/>
  <c r="G85" i="1"/>
  <c r="C77" i="7" s="1"/>
  <c r="G84" i="1"/>
  <c r="C76" i="7" s="1"/>
  <c r="G83" i="1"/>
  <c r="C75" i="7" s="1"/>
  <c r="G82" i="1"/>
  <c r="C74" i="7" s="1"/>
  <c r="G81" i="1"/>
  <c r="C73" i="7" s="1"/>
  <c r="G80" i="1"/>
  <c r="C72" i="7" s="1"/>
  <c r="G79" i="1"/>
  <c r="C71" i="7" s="1"/>
  <c r="G77" i="1"/>
  <c r="C69" i="7" s="1"/>
  <c r="G76" i="1"/>
  <c r="C68" i="7" s="1"/>
  <c r="G75" i="1"/>
  <c r="C67" i="7" s="1"/>
  <c r="G74" i="1"/>
  <c r="C66" i="7" s="1"/>
  <c r="G73" i="1"/>
  <c r="C65" i="7" s="1"/>
  <c r="G72" i="1"/>
  <c r="C64" i="7" s="1"/>
  <c r="G71" i="1"/>
  <c r="C63" i="7" s="1"/>
  <c r="G70" i="1"/>
  <c r="C62" i="7" s="1"/>
  <c r="G69" i="1"/>
  <c r="C61" i="7" s="1"/>
  <c r="G68" i="1"/>
  <c r="C60" i="7" s="1"/>
  <c r="G67" i="1"/>
  <c r="C59" i="7" s="1"/>
  <c r="G66" i="1"/>
  <c r="C58" i="7" s="1"/>
  <c r="G65" i="1"/>
  <c r="C57" i="7" s="1"/>
  <c r="G64" i="1"/>
  <c r="C56" i="7" s="1"/>
  <c r="G63" i="1"/>
  <c r="C55" i="7" s="1"/>
  <c r="G61" i="1"/>
  <c r="C53" i="7" s="1"/>
  <c r="G60" i="1"/>
  <c r="C52" i="7" s="1"/>
  <c r="G59" i="1"/>
  <c r="C51" i="7" s="1"/>
  <c r="G58" i="1"/>
  <c r="C50" i="7" s="1"/>
  <c r="G57" i="1"/>
  <c r="C49" i="7" s="1"/>
  <c r="G56" i="1"/>
  <c r="C48" i="7" s="1"/>
  <c r="G55" i="1"/>
  <c r="C47" i="7" s="1"/>
  <c r="G54" i="1"/>
  <c r="C46" i="7" s="1"/>
  <c r="G52" i="1"/>
  <c r="C44" i="7" s="1"/>
  <c r="G50" i="1"/>
  <c r="C42" i="7" s="1"/>
  <c r="G49" i="1"/>
  <c r="C41" i="7" s="1"/>
  <c r="G48" i="1"/>
  <c r="C40" i="7" s="1"/>
  <c r="G47" i="1"/>
  <c r="C39" i="7" s="1"/>
  <c r="G46" i="1"/>
  <c r="C38" i="7" s="1"/>
  <c r="G45" i="1"/>
  <c r="C37" i="7" s="1"/>
  <c r="G44" i="1"/>
  <c r="C36" i="7" s="1"/>
  <c r="G43" i="1"/>
  <c r="C35" i="7" s="1"/>
  <c r="G42" i="1"/>
  <c r="C34" i="7" s="1"/>
  <c r="G41" i="1"/>
  <c r="C33" i="7" s="1"/>
  <c r="G40" i="1"/>
  <c r="C32" i="7" s="1"/>
  <c r="G38" i="1"/>
  <c r="C30" i="7" s="1"/>
  <c r="G37" i="1"/>
  <c r="C29" i="7" s="1"/>
  <c r="G36" i="1"/>
  <c r="C28" i="7" s="1"/>
  <c r="G35" i="1"/>
  <c r="C27" i="7" s="1"/>
  <c r="G34" i="1"/>
  <c r="C26" i="7" s="1"/>
  <c r="G31" i="1"/>
  <c r="C23" i="7" s="1"/>
  <c r="G30" i="1"/>
  <c r="C22" i="7" s="1"/>
  <c r="G29" i="1"/>
  <c r="C21" i="7" s="1"/>
  <c r="G28" i="1"/>
  <c r="C20" i="7" s="1"/>
  <c r="G26" i="1"/>
  <c r="C18" i="7" s="1"/>
  <c r="G25" i="1"/>
  <c r="C17" i="7" s="1"/>
  <c r="G24" i="1"/>
  <c r="C16" i="7" s="1"/>
  <c r="G23" i="1"/>
  <c r="C15" i="7" s="1"/>
  <c r="G22" i="1"/>
  <c r="C14" i="7" s="1"/>
  <c r="G21" i="1"/>
  <c r="C13" i="7" s="1"/>
  <c r="G20" i="1"/>
  <c r="C12" i="7" s="1"/>
  <c r="G17" i="1"/>
  <c r="C9" i="7" s="1"/>
  <c r="G15" i="1"/>
  <c r="C7" i="7" s="1"/>
  <c r="G13" i="1"/>
  <c r="C5" i="7" s="1"/>
  <c r="G12" i="1"/>
  <c r="G22" i="10"/>
  <c r="D171" i="7" s="1"/>
  <c r="F21" i="10"/>
  <c r="G21" i="10" s="1"/>
  <c r="D111" i="7" s="1"/>
  <c r="F20" i="10"/>
  <c r="G20" i="10" s="1"/>
  <c r="D93" i="7" s="1"/>
  <c r="F18" i="10"/>
  <c r="G18" i="10" s="1"/>
  <c r="D67" i="7" s="1"/>
  <c r="F17" i="10"/>
  <c r="G17" i="10" s="1"/>
  <c r="D56" i="7" s="1"/>
  <c r="F15" i="10"/>
  <c r="G15" i="10" s="1"/>
  <c r="D53" i="7" s="1"/>
  <c r="F14" i="10"/>
  <c r="G14" i="10" s="1"/>
  <c r="D43" i="7" s="1"/>
  <c r="F13" i="10"/>
  <c r="G13" i="10" s="1"/>
  <c r="D18" i="7" s="1"/>
  <c r="F12" i="10"/>
  <c r="G12" i="10" s="1"/>
  <c r="D11" i="7" s="1"/>
  <c r="AX24" i="10"/>
  <c r="AW24" i="10"/>
  <c r="AK24" i="10"/>
  <c r="AJ24" i="10"/>
  <c r="AI24" i="10"/>
  <c r="AX196" i="1"/>
  <c r="AW196" i="1"/>
  <c r="AK196" i="1"/>
  <c r="AJ196" i="1"/>
  <c r="AI196" i="1"/>
  <c r="AH196" i="1"/>
  <c r="AG196" i="1"/>
  <c r="AF196" i="1"/>
  <c r="AD196" i="1"/>
  <c r="AC196" i="1"/>
  <c r="AB196" i="1"/>
  <c r="AA196" i="1"/>
  <c r="Z196" i="1"/>
  <c r="Y196" i="1"/>
  <c r="X196" i="1"/>
  <c r="W196" i="1"/>
  <c r="V196" i="1"/>
  <c r="U196" i="1"/>
  <c r="G65" i="22" l="1"/>
  <c r="G57" i="7" s="1"/>
  <c r="F64" i="7"/>
  <c r="F63" i="7"/>
  <c r="D194" i="7"/>
  <c r="G102" i="24"/>
  <c r="I94" i="7" s="1"/>
  <c r="G53" i="22"/>
  <c r="G45" i="7" s="1"/>
  <c r="G156" i="22"/>
  <c r="G148" i="7" s="1"/>
  <c r="G125" i="22"/>
  <c r="G117" i="7" s="1"/>
  <c r="G20" i="18"/>
  <c r="J88" i="7" s="1"/>
  <c r="G19" i="21"/>
  <c r="F11" i="7" s="1"/>
  <c r="G14" i="21"/>
  <c r="F6" i="7" s="1"/>
  <c r="G51" i="1"/>
  <c r="C43" i="7" s="1"/>
  <c r="G27" i="1"/>
  <c r="C19" i="7" s="1"/>
  <c r="G19" i="1"/>
  <c r="C11" i="7" s="1"/>
  <c r="G19" i="24"/>
  <c r="I11" i="7" s="1"/>
  <c r="N196" i="24" l="1"/>
  <c r="N198" i="22"/>
  <c r="N33" i="18"/>
  <c r="F12" i="18"/>
  <c r="G14" i="1"/>
  <c r="C6" i="7" s="1"/>
  <c r="G13" i="22" l="1"/>
  <c r="G5" i="7" s="1"/>
  <c r="F33" i="18"/>
  <c r="G12" i="18"/>
  <c r="J11" i="7" s="1"/>
  <c r="G33" i="18" l="1"/>
  <c r="G62" i="24"/>
  <c r="I54" i="7" s="1"/>
  <c r="G145" i="21"/>
  <c r="F137" i="7" s="1"/>
  <c r="G136" i="21"/>
  <c r="F128" i="7" s="1"/>
  <c r="G122" i="21"/>
  <c r="F114" i="7" s="1"/>
  <c r="G62" i="21"/>
  <c r="F54" i="7" s="1"/>
  <c r="G43" i="21"/>
  <c r="F35" i="7" s="1"/>
  <c r="G18" i="21"/>
  <c r="F10" i="7" s="1"/>
  <c r="G136" i="1"/>
  <c r="C128" i="7" s="1"/>
  <c r="G86" i="1"/>
  <c r="C78" i="7" s="1"/>
  <c r="G145" i="1"/>
  <c r="C137" i="7" s="1"/>
  <c r="G122" i="1"/>
  <c r="C114" i="7" s="1"/>
  <c r="G62" i="1"/>
  <c r="C54" i="7" s="1"/>
  <c r="G18" i="1" l="1"/>
  <c r="C10" i="7" s="1"/>
  <c r="G37" i="22"/>
  <c r="G29" i="7" s="1"/>
  <c r="G122" i="22"/>
  <c r="G114" i="7" s="1"/>
  <c r="M198" i="22"/>
  <c r="G43" i="24"/>
  <c r="I35" i="7" s="1"/>
  <c r="G53" i="1"/>
  <c r="C45" i="7" s="1"/>
  <c r="E24" i="10" l="1"/>
  <c r="E49" i="4" l="1"/>
  <c r="E14" i="11"/>
  <c r="G194" i="24" l="1"/>
  <c r="I186" i="7" s="1"/>
  <c r="H196" i="24"/>
  <c r="I196" i="24"/>
  <c r="J196" i="24"/>
  <c r="K196" i="24"/>
  <c r="M196" i="24"/>
  <c r="O196" i="24"/>
  <c r="P196" i="24"/>
  <c r="Q196" i="24"/>
  <c r="R196" i="24"/>
  <c r="T196" i="24"/>
  <c r="U196" i="24"/>
  <c r="U199" i="24" s="1"/>
  <c r="V196" i="24"/>
  <c r="W196" i="24"/>
  <c r="X196" i="24"/>
  <c r="Y196" i="24"/>
  <c r="Z196" i="24"/>
  <c r="AA196" i="24"/>
  <c r="AB196" i="24"/>
  <c r="AC196" i="24"/>
  <c r="AD196" i="24"/>
  <c r="AE196" i="24"/>
  <c r="AF196" i="24"/>
  <c r="AG196" i="24"/>
  <c r="AH196" i="24"/>
  <c r="C196" i="24"/>
  <c r="G108" i="24" l="1"/>
  <c r="I100" i="7" s="1"/>
  <c r="F196" i="24"/>
  <c r="L198" i="22"/>
  <c r="L196" i="24"/>
  <c r="G39" i="21"/>
  <c r="F31" i="7" s="1"/>
  <c r="G37" i="21"/>
  <c r="F29" i="7" s="1"/>
  <c r="G196" i="24" l="1"/>
  <c r="G128" i="22"/>
  <c r="G120" i="7" s="1"/>
  <c r="F198" i="22"/>
  <c r="G128" i="21"/>
  <c r="F120" i="7" s="1"/>
  <c r="G153" i="21"/>
  <c r="F145" i="7" s="1"/>
  <c r="G128" i="1" l="1"/>
  <c r="C120" i="7" s="1"/>
  <c r="G108" i="1"/>
  <c r="C100" i="7" s="1"/>
  <c r="G39" i="1" l="1"/>
  <c r="C31" i="7" s="1"/>
  <c r="AF2" i="24"/>
  <c r="AB2" i="24"/>
  <c r="V2" i="24"/>
  <c r="P2" i="24"/>
  <c r="J2" i="24"/>
  <c r="AF1" i="24"/>
  <c r="AB1" i="24"/>
  <c r="V1" i="24"/>
  <c r="P1" i="24"/>
  <c r="J1" i="24"/>
  <c r="I194" i="7" l="1"/>
  <c r="E190" i="22"/>
  <c r="C4" i="22"/>
  <c r="AB2" i="22" s="1"/>
  <c r="AG1" i="22"/>
  <c r="AB1" i="22"/>
  <c r="V1" i="22"/>
  <c r="P1" i="22"/>
  <c r="J1" i="22"/>
  <c r="AH196" i="21"/>
  <c r="AG196" i="21"/>
  <c r="AF196" i="21"/>
  <c r="AE196" i="21"/>
  <c r="AD196" i="21"/>
  <c r="AC196" i="21"/>
  <c r="AB196" i="21"/>
  <c r="AA196" i="21"/>
  <c r="Z196" i="21"/>
  <c r="Y196" i="21"/>
  <c r="X196" i="21"/>
  <c r="W196" i="21"/>
  <c r="V196" i="21"/>
  <c r="T196" i="21"/>
  <c r="S196" i="21"/>
  <c r="R196" i="21"/>
  <c r="P196" i="21"/>
  <c r="O196" i="21"/>
  <c r="N196" i="21"/>
  <c r="M196" i="21"/>
  <c r="L196" i="21"/>
  <c r="K196" i="21"/>
  <c r="J196" i="21"/>
  <c r="I196" i="21"/>
  <c r="H196" i="21"/>
  <c r="E196" i="21"/>
  <c r="C196" i="21"/>
  <c r="C4" i="21"/>
  <c r="AG2" i="21" s="1"/>
  <c r="AG1" i="21"/>
  <c r="AB1" i="21"/>
  <c r="V1" i="21"/>
  <c r="P1" i="21"/>
  <c r="J1" i="21"/>
  <c r="G190" i="22" l="1"/>
  <c r="G182" i="7" s="1"/>
  <c r="E198" i="22"/>
  <c r="AG2" i="22"/>
  <c r="J2" i="22"/>
  <c r="P2" i="21"/>
  <c r="P2" i="22"/>
  <c r="V2" i="22"/>
  <c r="F196" i="21"/>
  <c r="V2" i="21"/>
  <c r="AB2" i="21"/>
  <c r="J2" i="21"/>
  <c r="G198" i="22" l="1"/>
  <c r="G196" i="21"/>
  <c r="G194" i="7" l="1"/>
  <c r="E196" i="1" l="1"/>
  <c r="H49" i="4" l="1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C49" i="4"/>
  <c r="F12" i="11" l="1"/>
  <c r="G12" i="11" s="1"/>
  <c r="E192" i="7" s="1"/>
  <c r="E194" i="7" s="1"/>
  <c r="C14" i="11" l="1"/>
  <c r="G14" i="11"/>
  <c r="F14" i="11"/>
  <c r="C196" i="1"/>
  <c r="H14" i="11" l="1"/>
  <c r="I14" i="11"/>
  <c r="J14" i="11"/>
  <c r="K14" i="11"/>
  <c r="L14" i="11"/>
  <c r="M14" i="11"/>
  <c r="N14" i="11"/>
  <c r="O14" i="11"/>
  <c r="P14" i="11"/>
  <c r="Q14" i="11"/>
  <c r="R14" i="11"/>
  <c r="F24" i="10"/>
  <c r="G24" i="10"/>
  <c r="C24" i="10"/>
  <c r="C4" i="7" l="1"/>
  <c r="O24" i="10"/>
  <c r="AF2" i="18" l="1"/>
  <c r="AB2" i="18"/>
  <c r="V2" i="18"/>
  <c r="P2" i="18"/>
  <c r="J2" i="18"/>
  <c r="AF1" i="18"/>
  <c r="AB1" i="18"/>
  <c r="V1" i="18"/>
  <c r="P1" i="18"/>
  <c r="J1" i="18"/>
  <c r="J194" i="7" l="1"/>
  <c r="F49" i="4" l="1"/>
  <c r="AG2" i="4"/>
  <c r="AG1" i="4"/>
  <c r="AB2" i="4"/>
  <c r="AB1" i="4"/>
  <c r="V2" i="4"/>
  <c r="V1" i="4"/>
  <c r="P2" i="4"/>
  <c r="P1" i="4"/>
  <c r="J2" i="4"/>
  <c r="J1" i="4"/>
  <c r="AF1" i="11"/>
  <c r="Z1" i="11"/>
  <c r="R1" i="11"/>
  <c r="J1" i="11"/>
  <c r="AE1" i="10"/>
  <c r="X1" i="10"/>
  <c r="Q1" i="10"/>
  <c r="J1" i="10"/>
  <c r="AF2" i="1"/>
  <c r="AF1" i="1"/>
  <c r="AB2" i="1"/>
  <c r="AB1" i="1"/>
  <c r="V2" i="1"/>
  <c r="V1" i="1"/>
  <c r="P2" i="1"/>
  <c r="P1" i="1"/>
  <c r="J2" i="1"/>
  <c r="J1" i="1"/>
  <c r="H194" i="7" l="1"/>
  <c r="G49" i="4"/>
  <c r="C4" i="11"/>
  <c r="C4" i="10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H24" i="10"/>
  <c r="I24" i="10"/>
  <c r="J24" i="10"/>
  <c r="K24" i="10"/>
  <c r="L24" i="10"/>
  <c r="M24" i="10"/>
  <c r="P24" i="10"/>
  <c r="Q24" i="10"/>
  <c r="R24" i="10"/>
  <c r="S24" i="10"/>
  <c r="T24" i="10"/>
  <c r="U24" i="10"/>
  <c r="V24" i="10"/>
  <c r="W24" i="10"/>
  <c r="X24" i="10"/>
  <c r="Y24" i="10"/>
  <c r="Z24" i="10"/>
  <c r="AA24" i="10"/>
  <c r="AB24" i="10"/>
  <c r="AC24" i="10"/>
  <c r="AD24" i="10"/>
  <c r="AE24" i="10"/>
  <c r="AF24" i="10"/>
  <c r="AG24" i="10"/>
  <c r="AH24" i="10"/>
  <c r="N24" i="10"/>
  <c r="AF2" i="11" l="1"/>
  <c r="Z2" i="11"/>
  <c r="R2" i="11"/>
  <c r="J2" i="11"/>
  <c r="AE2" i="10"/>
  <c r="Q2" i="10"/>
  <c r="X2" i="10"/>
  <c r="J2" i="10"/>
  <c r="F194" i="7" l="1"/>
  <c r="G193" i="1" l="1"/>
  <c r="C185" i="7" l="1"/>
  <c r="T196" i="1"/>
  <c r="G78" i="1"/>
  <c r="C70" i="7" l="1"/>
  <c r="I196" i="1"/>
  <c r="O196" i="1"/>
  <c r="J196" i="1"/>
  <c r="R196" i="1"/>
  <c r="Q196" i="1"/>
  <c r="H196" i="1"/>
  <c r="L196" i="1"/>
  <c r="K196" i="1"/>
  <c r="M196" i="1"/>
  <c r="N196" i="1"/>
  <c r="P196" i="1"/>
  <c r="G32" i="1"/>
  <c r="S196" i="1"/>
  <c r="G196" i="1" l="1"/>
  <c r="C24" i="7"/>
  <c r="C194" i="7" s="1"/>
  <c r="F19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Kaleda, Steven</author>
  </authors>
  <commentList>
    <comment ref="V72" authorId="0" shapeId="0" xr:uid="{339B8DEC-7B67-49A7-BB6E-40E35BC8739E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Return of funds on 9/29 due to year-end being overdrawn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</authors>
  <commentList>
    <comment ref="L5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Moved $171,654 from FY1516 to accommodate request from correct FY.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Kaleda, Steven</author>
    <author>Shields, Joseph</author>
  </authors>
  <commentList>
    <comment ref="E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Includes signover from Telluride and carryover from FY18-19 Montrose Consortium
</t>
        </r>
      </text>
    </comment>
    <comment ref="C32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38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42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48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E53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Includes signover from #0920 Elizabeth C-1</t>
        </r>
      </text>
    </comment>
    <comment ref="C60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E65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Includes signover from Woodland Park #3020</t>
        </r>
      </text>
    </comment>
    <comment ref="C66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69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70" authorId="0" shapeId="0" xr:uid="{00000000-0006-0000-0500-00000B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73" authorId="0" shapeId="0" xr:uid="{00000000-0006-0000-0500-00000C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74" authorId="0" shapeId="0" xr:uid="{00000000-0006-0000-0500-00000D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75" authorId="0" shapeId="0" xr:uid="{00000000-0006-0000-0500-00000E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76" authorId="0" shapeId="0" xr:uid="{00000000-0006-0000-0500-00000F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77" authorId="0" shapeId="0" xr:uid="{00000000-0006-0000-0500-000010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81" authorId="0" shapeId="0" xr:uid="{00000000-0006-0000-0500-000011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85" authorId="0" shapeId="0" xr:uid="{00000000-0006-0000-0500-000012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86" authorId="0" shapeId="0" xr:uid="{00000000-0006-0000-0500-000013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T86" authorId="1" shapeId="0" xr:uid="{00000000-0006-0000-0500-000014000000}">
      <text>
        <r>
          <rPr>
            <b/>
            <sz val="9"/>
            <color indexed="81"/>
            <rFont val="Tahoma"/>
            <family val="2"/>
          </rPr>
          <t>Shields, Joseph:</t>
        </r>
        <r>
          <rPr>
            <sz val="9"/>
            <color indexed="81"/>
            <rFont val="Tahoma"/>
            <family val="2"/>
          </rPr>
          <t xml:space="preserve">
RFF = 14,119
FY1617 = 1,773
FY1718 = 12,346</t>
        </r>
      </text>
    </comment>
    <comment ref="C100" authorId="0" shapeId="0" xr:uid="{00000000-0006-0000-0500-000015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04" authorId="0" shapeId="0" xr:uid="{00000000-0006-0000-0500-000016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05" authorId="0" shapeId="0" xr:uid="{00000000-0006-0000-0500-000017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06" authorId="0" shapeId="0" xr:uid="{00000000-0006-0000-0500-000018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07" authorId="0" shapeId="0" xr:uid="{00000000-0006-0000-0500-000019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08" authorId="0" shapeId="0" xr:uid="{00000000-0006-0000-0500-00001A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15" authorId="0" shapeId="0" xr:uid="{00000000-0006-0000-0500-00001B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17" authorId="0" shapeId="0" xr:uid="{00000000-0006-0000-0500-00001C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18" authorId="0" shapeId="0" xr:uid="{00000000-0006-0000-0500-00001D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23" authorId="0" shapeId="0" xr:uid="{00000000-0006-0000-0500-00001E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24" authorId="0" shapeId="0" xr:uid="{00000000-0006-0000-0500-00001F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Q125" authorId="0" shapeId="0" xr:uid="{3CC6A5F7-C89F-4B5F-BF2D-6F2B9AF7FC2D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Split payment from FY18-19.  Increased total by $5,533 to account for Archuleta County's carryover.  Verified amount by Linda Weyers
</t>
        </r>
      </text>
    </comment>
    <comment ref="C126" authorId="0" shapeId="0" xr:uid="{00000000-0006-0000-0500-000020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33" authorId="0" shapeId="0" xr:uid="{00000000-0006-0000-0500-000021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34" authorId="0" shapeId="0" xr:uid="{00000000-0006-0000-0500-000022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37" authorId="0" shapeId="0" xr:uid="{00000000-0006-0000-0500-000023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38" authorId="0" shapeId="0" xr:uid="{00000000-0006-0000-0500-000024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39" authorId="0" shapeId="0" xr:uid="{00000000-0006-0000-0500-000025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40" authorId="0" shapeId="0" xr:uid="{00000000-0006-0000-0500-000026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42" authorId="0" shapeId="0" xr:uid="{00000000-0006-0000-0500-000027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43" authorId="0" shapeId="0" xr:uid="{00000000-0006-0000-0500-000028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</t>
        </r>
      </text>
    </comment>
    <comment ref="C151" authorId="0" shapeId="0" xr:uid="{00000000-0006-0000-0500-000029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E156" authorId="0" shapeId="0" xr:uid="{00000000-0006-0000-0500-00002A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Includes signover from #2780 South Routt</t>
        </r>
      </text>
    </comment>
    <comment ref="C159" authorId="0" shapeId="0" xr:uid="{00000000-0006-0000-0500-00002B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61" authorId="0" shapeId="0" xr:uid="{00000000-0006-0000-0500-00002C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63" authorId="0" shapeId="0" xr:uid="{00000000-0006-0000-0500-00002D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69" authorId="0" shapeId="0" xr:uid="{00000000-0006-0000-0500-00002E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 </t>
        </r>
      </text>
    </comment>
    <comment ref="C172" authorId="0" shapeId="0" xr:uid="{00000000-0006-0000-0500-00002F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Declined by district</t>
        </r>
      </text>
    </comment>
  </commentList>
</comments>
</file>

<file path=xl/sharedStrings.xml><?xml version="1.0" encoding="utf-8"?>
<sst xmlns="http://schemas.openxmlformats.org/spreadsheetml/2006/main" count="3226" uniqueCount="683">
  <si>
    <t>Grant:</t>
  </si>
  <si>
    <t>CFDA #</t>
  </si>
  <si>
    <t>FISCAL YEAR:</t>
  </si>
  <si>
    <t>GRANT NUMBER:</t>
  </si>
  <si>
    <t xml:space="preserve">Questions regarding grant: </t>
  </si>
  <si>
    <t>Title I-A Formula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</si>
  <si>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</si>
  <si>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</si>
  <si>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</si>
  <si>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</si>
  <si>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</si>
  <si>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</si>
  <si>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</si>
  <si>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</si>
  <si>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</si>
  <si>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</si>
  <si>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</si>
  <si>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</si>
  <si>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</si>
  <si>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</si>
  <si>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</si>
  <si>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</si>
  <si>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</si>
  <si>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</si>
  <si>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</si>
  <si>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</si>
  <si>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</si>
  <si>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</si>
  <si>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</si>
  <si>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</si>
  <si>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</si>
  <si>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</si>
  <si>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</si>
  <si>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</si>
  <si>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</si>
  <si>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</si>
  <si>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</si>
  <si>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</si>
  <si>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</si>
  <si>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</si>
  <si>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</si>
  <si>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</si>
  <si>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</si>
  <si>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</si>
  <si>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</si>
  <si>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</si>
  <si>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</si>
  <si>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</si>
  <si>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</si>
  <si>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</si>
  <si>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</si>
  <si>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</si>
  <si>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</si>
  <si>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</si>
  <si>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</si>
  <si>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</si>
  <si>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</si>
  <si>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</si>
  <si>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</si>
  <si>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</si>
  <si>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</si>
  <si>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</si>
  <si>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</si>
  <si>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</si>
  <si>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</si>
  <si>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</si>
  <si>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</si>
  <si>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</si>
  <si>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</si>
  <si>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</si>
  <si>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</si>
  <si>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</si>
  <si>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</si>
  <si>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</si>
  <si>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</si>
  <si>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</si>
  <si>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</si>
  <si>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</si>
  <si>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</si>
  <si>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</si>
  <si>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</si>
  <si>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</si>
  <si>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</si>
  <si>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</si>
  <si>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</si>
  <si>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</si>
  <si>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</si>
  <si>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</si>
  <si>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</si>
  <si>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</si>
  <si>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</si>
  <si>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</si>
  <si>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</si>
  <si>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</si>
  <si>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</si>
  <si>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</si>
  <si>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</si>
  <si>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</si>
  <si>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</si>
  <si>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</si>
  <si>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</si>
  <si>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</si>
  <si>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</si>
  <si>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</si>
  <si>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</si>
  <si>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</si>
  <si>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</si>
  <si>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</si>
  <si>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</si>
  <si>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</si>
  <si>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</si>
  <si>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</si>
  <si>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</si>
  <si>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</si>
  <si>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</si>
  <si>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</si>
  <si>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</si>
  <si>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</si>
  <si>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</si>
  <si>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</si>
  <si>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</si>
  <si>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</si>
  <si>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</si>
  <si>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</si>
  <si>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</si>
  <si>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</si>
  <si>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</si>
  <si>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</si>
  <si>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</si>
  <si>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</si>
  <si>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</si>
  <si>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</si>
  <si>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</si>
  <si>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</si>
  <si>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</si>
  <si>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</si>
  <si>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</si>
  <si>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</si>
  <si>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</si>
  <si>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</si>
  <si>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</si>
  <si>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</si>
  <si>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</si>
  <si>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</si>
  <si>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</si>
  <si>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</si>
  <si>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</si>
  <si>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</si>
  <si>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</si>
  <si>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</si>
  <si>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</si>
  <si>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</si>
  <si>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</si>
  <si>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</si>
  <si>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</si>
  <si>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</si>
  <si>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</si>
  <si>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</si>
  <si>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</si>
  <si>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</si>
  <si>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</si>
  <si>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</si>
  <si>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</si>
  <si>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</si>
  <si>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</si>
  <si>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</si>
  <si>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</si>
  <si>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</si>
  <si>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</si>
  <si>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</si>
  <si>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</si>
  <si>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</si>
  <si>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</si>
  <si>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</si>
  <si>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</si>
  <si>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</si>
  <si>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</si>
  <si>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</si>
  <si>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</si>
  <si>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</si>
  <si>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</si>
  <si>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</si>
  <si>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</si>
  <si>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</si>
  <si>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Mapleton 1</t>
  </si>
  <si>
    <t>Northglenn-Thornton 12</t>
  </si>
  <si>
    <t>Adams County 14</t>
  </si>
  <si>
    <t>Brighton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</si>
  <si>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</si>
  <si>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</si>
  <si>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</si>
  <si>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</si>
  <si>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</si>
  <si>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</si>
  <si>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</si>
  <si>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</si>
  <si>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</si>
  <si>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</si>
  <si>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</si>
  <si>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</si>
  <si>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</si>
  <si>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</si>
  <si>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</si>
  <si>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</si>
  <si>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</si>
  <si>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</si>
  <si>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</si>
  <si>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</si>
  <si>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</si>
  <si>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</si>
  <si>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</si>
  <si>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</si>
  <si>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</si>
  <si>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</si>
  <si>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</si>
  <si>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</si>
  <si>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</si>
  <si>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</si>
  <si>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</si>
  <si>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</si>
  <si>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</si>
  <si>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Consolidated C-1</t>
  </si>
  <si>
    <t>Delta County 50(J)</t>
  </si>
  <si>
    <t>Denver County 1</t>
  </si>
  <si>
    <t>Dolores County Re No.2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</si>
  <si>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</si>
  <si>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</si>
  <si>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</si>
  <si>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</si>
  <si>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</si>
  <si>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</si>
  <si>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</si>
  <si>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</si>
  <si>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</si>
  <si>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</si>
  <si>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</si>
  <si>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</si>
  <si>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</si>
  <si>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</si>
  <si>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</si>
  <si>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</si>
  <si>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</si>
  <si>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</si>
  <si>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</si>
  <si>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</si>
  <si>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</si>
  <si>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</si>
  <si>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</si>
  <si>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Florence Re-2</t>
  </si>
  <si>
    <t>Cotopaxi Re-3</t>
  </si>
  <si>
    <t>Roaring Fork Re-1</t>
  </si>
  <si>
    <t>Garfield Re-2</t>
  </si>
  <si>
    <t>Garfield 16</t>
  </si>
  <si>
    <t>Gilpin County Re-1</t>
  </si>
  <si>
    <t>West Grand 1-Jt.</t>
  </si>
  <si>
    <t>East Grand 2</t>
  </si>
  <si>
    <t>Gunnison Watershed Re1J</t>
  </si>
  <si>
    <t>Hinsdale County Re 1</t>
  </si>
  <si>
    <t>Huerfano Re-1</t>
  </si>
  <si>
    <t>La Veta Re-2</t>
  </si>
  <si>
    <t>North Park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</si>
  <si>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</si>
  <si>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</si>
  <si>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</si>
  <si>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</si>
  <si>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</si>
  <si>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</si>
  <si>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</si>
  <si>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</si>
  <si>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</si>
  <si>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</si>
  <si>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</si>
  <si>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</si>
  <si>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</si>
  <si>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R-2J</t>
  </si>
  <si>
    <t>Park (Estes Park) R-3</t>
  </si>
  <si>
    <t>Trinidad 1</t>
  </si>
  <si>
    <t>Primero Reorganized 2</t>
  </si>
  <si>
    <t>Hoehne Reorganized 3</t>
  </si>
  <si>
    <t xml:space="preserve">Aguilar Reorganized 6 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</si>
  <si>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</si>
  <si>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</si>
  <si>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</si>
  <si>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</si>
  <si>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</si>
  <si>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</si>
  <si>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</si>
  <si>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</t>
  </si>
  <si>
    <t>Plateau Re-5</t>
  </si>
  <si>
    <t>De Beque 49Jt</t>
  </si>
  <si>
    <t>Plateau Valley 50</t>
  </si>
  <si>
    <t>Mesa County Valley 51</t>
  </si>
  <si>
    <t>Creede Consolidated 1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</si>
  <si>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</si>
  <si>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</si>
  <si>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</si>
  <si>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</si>
  <si>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</si>
  <si>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</si>
  <si>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</si>
  <si>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</si>
  <si>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</si>
  <si>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</si>
  <si>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</si>
  <si>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</si>
  <si>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</si>
  <si>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</si>
  <si>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</si>
  <si>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</si>
  <si>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</si>
  <si>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</si>
  <si>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</si>
  <si>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</si>
  <si>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</si>
  <si>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</si>
  <si>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</si>
  <si>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</si>
  <si>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</si>
  <si>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</si>
  <si>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</si>
  <si>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</si>
  <si>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Rural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</si>
  <si>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</si>
  <si>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</si>
  <si>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</si>
  <si>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</si>
  <si>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</si>
  <si>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</si>
  <si>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</si>
  <si>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</si>
  <si>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</si>
  <si>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</si>
  <si>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</si>
  <si>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</si>
  <si>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</si>
  <si>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</si>
  <si>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</si>
  <si>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</si>
  <si>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</si>
  <si>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</si>
  <si>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</si>
  <si>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</si>
  <si>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</si>
  <si>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</si>
  <si>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</si>
  <si>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Gilcrest Re-1</t>
  </si>
  <si>
    <t>Eaton Re-2</t>
  </si>
  <si>
    <t>Windsor Re-4</t>
  </si>
  <si>
    <t>Weld County SD Re-5J</t>
  </si>
  <si>
    <t>Greeley 6</t>
  </si>
  <si>
    <t>Platte Valley Re-7</t>
  </si>
  <si>
    <t>Weld County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</si>
  <si>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</si>
  <si>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</si>
  <si>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</si>
  <si>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</si>
  <si>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</si>
  <si>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</si>
  <si>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</si>
  <si>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</si>
  <si>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CSI</t>
  </si>
  <si>
    <t>CSDB</t>
  </si>
  <si>
    <t>9000</t>
  </si>
  <si>
    <t>84.010</t>
  </si>
  <si>
    <t xml:space="preserve">Robert Hawkins 303-866-6775 or hawkins_r@cde.state.co.us </t>
  </si>
  <si>
    <t>Code</t>
  </si>
  <si>
    <t>District</t>
  </si>
  <si>
    <t>Allocation</t>
  </si>
  <si>
    <t>Payments to Date</t>
  </si>
  <si>
    <t>Balance of Grant</t>
  </si>
  <si>
    <t>9025</t>
  </si>
  <si>
    <t>9035</t>
  </si>
  <si>
    <t>9040</t>
  </si>
  <si>
    <t>9095</t>
  </si>
  <si>
    <t>East Central BOCES</t>
  </si>
  <si>
    <t xml:space="preserve">Centennial BOCES </t>
  </si>
  <si>
    <t>Northeast BOCES</t>
  </si>
  <si>
    <t>Northwest BOCES</t>
  </si>
  <si>
    <t>GBL/ORG</t>
  </si>
  <si>
    <t>PAYMENTS PROCESSED:</t>
  </si>
  <si>
    <t>1ST OF EACH MONTH</t>
  </si>
  <si>
    <t xml:space="preserve">7010 for LEA   </t>
  </si>
  <si>
    <t xml:space="preserve"> </t>
  </si>
  <si>
    <t>84.365</t>
  </si>
  <si>
    <t>Title I-Delinquent</t>
  </si>
  <si>
    <t>Title II-A</t>
  </si>
  <si>
    <t>Title III-SAI</t>
  </si>
  <si>
    <t>Title VI</t>
  </si>
  <si>
    <t>San Juan BOCES</t>
  </si>
  <si>
    <t>San Luis Valley BOCES</t>
  </si>
  <si>
    <t>South Central BOCES</t>
  </si>
  <si>
    <t>Southeastern BOCES</t>
  </si>
  <si>
    <t>Questions regarding payments:</t>
  </si>
  <si>
    <t>GRANT PERIOD:</t>
  </si>
  <si>
    <t>District Name</t>
  </si>
  <si>
    <t>84.031A</t>
  </si>
  <si>
    <t>School District 27J</t>
  </si>
  <si>
    <t>Revere School District</t>
  </si>
  <si>
    <t>Weld County School District RE-3J</t>
  </si>
  <si>
    <t>9060</t>
  </si>
  <si>
    <t>9055</t>
  </si>
  <si>
    <t>9075</t>
  </si>
  <si>
    <t>8001</t>
  </si>
  <si>
    <t>9050</t>
  </si>
  <si>
    <t>CDE Org Name</t>
  </si>
  <si>
    <t>County</t>
  </si>
  <si>
    <t>Title IA</t>
  </si>
  <si>
    <t>Title ID</t>
  </si>
  <si>
    <t>Title II</t>
  </si>
  <si>
    <t>Title III ELL</t>
  </si>
  <si>
    <t>Title III IS</t>
  </si>
  <si>
    <t>Title III SAI</t>
  </si>
  <si>
    <t>Adams</t>
  </si>
  <si>
    <t>Adams 12 Five Star Schools</t>
  </si>
  <si>
    <t>Alamosa RE-11J</t>
  </si>
  <si>
    <t>Alamosa</t>
  </si>
  <si>
    <t>Sangre De Cristo RE-22J</t>
  </si>
  <si>
    <t>Arapahoe</t>
  </si>
  <si>
    <t>Archuleta County 50 JT</t>
  </si>
  <si>
    <t>Archuleta</t>
  </si>
  <si>
    <t>Walsh RE-1</t>
  </si>
  <si>
    <t>Baca</t>
  </si>
  <si>
    <t>Pritchett RE-3</t>
  </si>
  <si>
    <t>Springfield RE-4</t>
  </si>
  <si>
    <t>Vilas RE-5</t>
  </si>
  <si>
    <t>Campo RE-6</t>
  </si>
  <si>
    <t>Las Animas RE-1</t>
  </si>
  <si>
    <t>Bent</t>
  </si>
  <si>
    <t>Mc Clave RE-2</t>
  </si>
  <si>
    <t>St Vrain Valley RE 1J</t>
  </si>
  <si>
    <t>Boulder</t>
  </si>
  <si>
    <t>Boulder Valley RE 2</t>
  </si>
  <si>
    <t>Chaffee</t>
  </si>
  <si>
    <t>Cheyenne</t>
  </si>
  <si>
    <t>Cheyenne County RE-5</t>
  </si>
  <si>
    <t>Clear Creek RE-1</t>
  </si>
  <si>
    <t>Clear Creek</t>
  </si>
  <si>
    <t>North Conejos RE-1J</t>
  </si>
  <si>
    <t>Conejos</t>
  </si>
  <si>
    <t>South Conejos RE-10</t>
  </si>
  <si>
    <t>Costilla</t>
  </si>
  <si>
    <t>Crowley County RE-1-J</t>
  </si>
  <si>
    <t>Crowley</t>
  </si>
  <si>
    <t>Custer County School District C-1</t>
  </si>
  <si>
    <t>Custer</t>
  </si>
  <si>
    <t>Delta</t>
  </si>
  <si>
    <t>Denver</t>
  </si>
  <si>
    <t>Dolores County RE No.2</t>
  </si>
  <si>
    <t>Dolores</t>
  </si>
  <si>
    <t>Douglas County RE 1</t>
  </si>
  <si>
    <t>Douglas</t>
  </si>
  <si>
    <t>Eagle County RE 50</t>
  </si>
  <si>
    <t>Eagle</t>
  </si>
  <si>
    <t>Elbert</t>
  </si>
  <si>
    <t>Calhan Rj-1</t>
  </si>
  <si>
    <t>El Paso</t>
  </si>
  <si>
    <t>Peyton 23 JT</t>
  </si>
  <si>
    <t>Edison 54 JT</t>
  </si>
  <si>
    <t>Miami/Yoder 60 JT</t>
  </si>
  <si>
    <t>Canon City RE-1</t>
  </si>
  <si>
    <t>Fremont</t>
  </si>
  <si>
    <t>Fremont RE-2</t>
  </si>
  <si>
    <t>Cotopaxi RE-3</t>
  </si>
  <si>
    <t>Roaring Fork RE-1</t>
  </si>
  <si>
    <t>Garfield</t>
  </si>
  <si>
    <t>Garfield RE-2</t>
  </si>
  <si>
    <t>Gilpin County RE-1</t>
  </si>
  <si>
    <t>Gilpin</t>
  </si>
  <si>
    <t>West Grand 1-JT</t>
  </si>
  <si>
    <t>Grand</t>
  </si>
  <si>
    <t>Gunnison Watershed RE1J</t>
  </si>
  <si>
    <t>Gunnison</t>
  </si>
  <si>
    <t>Hinsdale County RE 1</t>
  </si>
  <si>
    <t>Hinsdale</t>
  </si>
  <si>
    <t>Huerfano RE-1</t>
  </si>
  <si>
    <t>Huerfano</t>
  </si>
  <si>
    <t>La Veta RE-2</t>
  </si>
  <si>
    <t>Jackson</t>
  </si>
  <si>
    <t>Jefferson</t>
  </si>
  <si>
    <t>Eads RE-1</t>
  </si>
  <si>
    <t>Kiowa</t>
  </si>
  <si>
    <t>Plainview RE-2</t>
  </si>
  <si>
    <t>Kit Carson</t>
  </si>
  <si>
    <t>Burlington RE-6J</t>
  </si>
  <si>
    <t>Lake</t>
  </si>
  <si>
    <t>La Plata</t>
  </si>
  <si>
    <t>Bayfield 10 JT-R</t>
  </si>
  <si>
    <t>Ignacio 11 JT</t>
  </si>
  <si>
    <t>Larimer</t>
  </si>
  <si>
    <t>Thompson R2-J</t>
  </si>
  <si>
    <t>Estes Park R-3</t>
  </si>
  <si>
    <t>Las Animas</t>
  </si>
  <si>
    <t>Aguilar Reorganized 6</t>
  </si>
  <si>
    <t>Lincoln</t>
  </si>
  <si>
    <t>Limon RE-4J</t>
  </si>
  <si>
    <t>Karval RE-23</t>
  </si>
  <si>
    <t>Valley RE-1</t>
  </si>
  <si>
    <t>Logan</t>
  </si>
  <si>
    <t>Frenchman RE-3</t>
  </si>
  <si>
    <t>Buffalo RE-4J</t>
  </si>
  <si>
    <t>Plateau RE-5</t>
  </si>
  <si>
    <t>De Beque 49JT</t>
  </si>
  <si>
    <t>Mesa</t>
  </si>
  <si>
    <t>Creede School District</t>
  </si>
  <si>
    <t>Mineral</t>
  </si>
  <si>
    <t>Moffat County RE:No 1</t>
  </si>
  <si>
    <t>Moffat</t>
  </si>
  <si>
    <t>Montezuma-Cortez RE-1</t>
  </si>
  <si>
    <t>Montezuma</t>
  </si>
  <si>
    <t>Dolores RE-4A</t>
  </si>
  <si>
    <t>Mancos RE-6</t>
  </si>
  <si>
    <t>Montrose County RE-1J</t>
  </si>
  <si>
    <t>Montrose</t>
  </si>
  <si>
    <t>West End RE-2</t>
  </si>
  <si>
    <t>Brush RE-2(J)</t>
  </si>
  <si>
    <t>Morgan</t>
  </si>
  <si>
    <t>Fort Morgan RE-3</t>
  </si>
  <si>
    <t>Weldon Valley RE-20(J)</t>
  </si>
  <si>
    <t>Wiggins RE-50(J)</t>
  </si>
  <si>
    <t>Otero</t>
  </si>
  <si>
    <t>Ouray</t>
  </si>
  <si>
    <t>Park</t>
  </si>
  <si>
    <t>Park County RE-2</t>
  </si>
  <si>
    <t>Holyoke RE-1J</t>
  </si>
  <si>
    <t>Phillips</t>
  </si>
  <si>
    <t>Haxtun RE-2J</t>
  </si>
  <si>
    <t>Pitkin</t>
  </si>
  <si>
    <t>Granada RE-1</t>
  </si>
  <si>
    <t>Prowers</t>
  </si>
  <si>
    <t>Lamar RE-2</t>
  </si>
  <si>
    <t>Holly RE-3</t>
  </si>
  <si>
    <t>Wiley RE-13 JT</t>
  </si>
  <si>
    <t>Pueblo</t>
  </si>
  <si>
    <t>Pueblo County 70</t>
  </si>
  <si>
    <t>Meeker RE1</t>
  </si>
  <si>
    <t>Rio Blanco</t>
  </si>
  <si>
    <t>Rangely RE-4</t>
  </si>
  <si>
    <t>Rio Grande</t>
  </si>
  <si>
    <t>Sargent RE-33J</t>
  </si>
  <si>
    <t>Hayden RE-1</t>
  </si>
  <si>
    <t>Routt</t>
  </si>
  <si>
    <t>Steamboat Springs RE-2</t>
  </si>
  <si>
    <t>South Routt RE 3</t>
  </si>
  <si>
    <t>Mountain Valley RE 1</t>
  </si>
  <si>
    <t>Saguache</t>
  </si>
  <si>
    <t>Center 26 JT</t>
  </si>
  <si>
    <t>San Juan</t>
  </si>
  <si>
    <t>San Miguel</t>
  </si>
  <si>
    <t>Julesburg RE-1</t>
  </si>
  <si>
    <t>Sedgwick</t>
  </si>
  <si>
    <t>REvere School District</t>
  </si>
  <si>
    <t>Summit RE-1</t>
  </si>
  <si>
    <t>Summit</t>
  </si>
  <si>
    <t>Cripple Creek-Victor RE-1</t>
  </si>
  <si>
    <t>Teller</t>
  </si>
  <si>
    <t>Woodland Park RE-2</t>
  </si>
  <si>
    <t>Washington</t>
  </si>
  <si>
    <t>Weld County RE-1</t>
  </si>
  <si>
    <t>Weld</t>
  </si>
  <si>
    <t>Eaton RE-2</t>
  </si>
  <si>
    <t>Windsor RE-4</t>
  </si>
  <si>
    <t>Johnstown-Milliken RE-5J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</si>
  <si>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</si>
  <si>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</si>
  <si>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</si>
  <si>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</si>
  <si>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</si>
  <si>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</si>
  <si>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</t>
  </si>
  <si>
    <t>Wray Rd-2</t>
  </si>
  <si>
    <t>Idalia Rj-3</t>
  </si>
  <si>
    <t>Charter School Institute</t>
  </si>
  <si>
    <t/>
  </si>
  <si>
    <t>Colo School Deaf Blind</t>
  </si>
  <si>
    <t>DistNo</t>
  </si>
  <si>
    <t>Totals</t>
  </si>
  <si>
    <t>Title I-D Delinquent -- State Agencies</t>
  </si>
  <si>
    <t>70XA-7000</t>
  </si>
  <si>
    <t>July
2019</t>
  </si>
  <si>
    <t>August
2019</t>
  </si>
  <si>
    <t>September
2019</t>
  </si>
  <si>
    <t>Title V-B Formula</t>
  </si>
  <si>
    <t>84.358</t>
  </si>
  <si>
    <t>70XB-7000</t>
  </si>
  <si>
    <t>72XD-7000</t>
  </si>
  <si>
    <t>78XA/7000</t>
  </si>
  <si>
    <t>31XF-7000</t>
  </si>
  <si>
    <t>31XG/7000</t>
  </si>
  <si>
    <t>46XD-7000</t>
  </si>
  <si>
    <t>35XC</t>
  </si>
  <si>
    <t>October
2019</t>
  </si>
  <si>
    <t>November
2019</t>
  </si>
  <si>
    <t>December
2019</t>
  </si>
  <si>
    <t>January
2020</t>
  </si>
  <si>
    <t>February
2020</t>
  </si>
  <si>
    <t>March
2020</t>
  </si>
  <si>
    <t>April
2020</t>
  </si>
  <si>
    <t>May
2020</t>
  </si>
  <si>
    <t>June
2020</t>
  </si>
  <si>
    <t>July
2020</t>
  </si>
  <si>
    <t>August
2020</t>
  </si>
  <si>
    <t>September
2020</t>
  </si>
  <si>
    <t>Westminster Public Schools</t>
  </si>
  <si>
    <t>Dolores County RE NO.2</t>
  </si>
  <si>
    <t>Miami/yoder 60 JT</t>
  </si>
  <si>
    <t>Moffat County Re:no 1</t>
  </si>
  <si>
    <t>Dolores RE-4a</t>
  </si>
  <si>
    <t>Colorado School for the Deaf and Blind</t>
  </si>
  <si>
    <t>Centennial BOCES</t>
  </si>
  <si>
    <t>Alamosa 11</t>
  </si>
  <si>
    <t>Arapahoe 28</t>
  </si>
  <si>
    <t>Fremont - Canon City</t>
  </si>
  <si>
    <t>Larimer Poudre R-1</t>
  </si>
  <si>
    <t>Mesa 51</t>
  </si>
  <si>
    <t>X010</t>
  </si>
  <si>
    <t>Division of Youth Corrections</t>
  </si>
  <si>
    <t>Platte Valley Re-3</t>
  </si>
  <si>
    <t>Keenesburg Re-3(J)</t>
  </si>
  <si>
    <t>Total</t>
  </si>
  <si>
    <t>Title ID-Youth</t>
  </si>
  <si>
    <t xml:space="preserve">Title III ELL </t>
  </si>
  <si>
    <t>Title IV</t>
  </si>
  <si>
    <t>Title V-B</t>
  </si>
  <si>
    <t>Declined</t>
  </si>
  <si>
    <t>Total  with Signover and Declines</t>
  </si>
  <si>
    <t>Signed Overs and Declines</t>
  </si>
  <si>
    <t>84.424A</t>
  </si>
  <si>
    <t>October
2020</t>
  </si>
  <si>
    <t>November
2020</t>
  </si>
  <si>
    <t>December
2020</t>
  </si>
  <si>
    <t>Revert</t>
  </si>
  <si>
    <t>Carry Forward</t>
  </si>
  <si>
    <t>Assignments</t>
  </si>
  <si>
    <t>Decline</t>
  </si>
  <si>
    <t>Joe Shields 303-866-6034 or Shields_J@cde.state.co.us</t>
  </si>
  <si>
    <t>2019-2020</t>
  </si>
  <si>
    <t>January
2021</t>
  </si>
  <si>
    <t>February
2021</t>
  </si>
  <si>
    <t>March
2021</t>
  </si>
  <si>
    <t>April
2021</t>
  </si>
  <si>
    <t>May
2021</t>
  </si>
  <si>
    <t>June
2021</t>
  </si>
  <si>
    <t>July
2021</t>
  </si>
  <si>
    <t>August
2021</t>
  </si>
  <si>
    <t>September
2021</t>
  </si>
  <si>
    <t>October
2021</t>
  </si>
  <si>
    <t>November
2021</t>
  </si>
  <si>
    <t>Steven Kaleda 303-866-6724 or kaleda_s@cde.state.co.us</t>
  </si>
  <si>
    <t>December
2021</t>
  </si>
  <si>
    <t>Steven Kaleda  303-866-6724 or kaleda_s@cde.state.co.us</t>
  </si>
  <si>
    <t>Sherdian 2</t>
  </si>
  <si>
    <t xml:space="preserve">1500 </t>
  </si>
  <si>
    <t>Delores Re-4A</t>
  </si>
  <si>
    <t>Ridgeway R-2</t>
  </si>
  <si>
    <t>Silverton</t>
  </si>
  <si>
    <t xml:space="preserve">3120 </t>
  </si>
  <si>
    <t xml:space="preserve">3130 </t>
  </si>
  <si>
    <t xml:space="preserve">9035 </t>
  </si>
  <si>
    <t>Steven Kaleda 303-866-6724 or kaleda_S@cde.state.co.us</t>
  </si>
  <si>
    <r>
      <t xml:space="preserve">SUMMARY OF CURRENT FUNDS AVAILABLE ACROSS FORMULA GRANT </t>
    </r>
    <r>
      <rPr>
        <b/>
        <sz val="22"/>
        <rFont val="Calibri"/>
        <family val="2"/>
        <scheme val="minor"/>
      </rPr>
      <t xml:space="preserve"> FY 2019-2020</t>
    </r>
  </si>
  <si>
    <t>Robert Hawkins 303-866-6775 or Hawkins_R@cde.state.co.us</t>
  </si>
  <si>
    <t>Steven Kaleda 303-866-6724 or Kaleda_S@cde.state.co.us</t>
  </si>
  <si>
    <t>Title I-D Delinquent (Revised Final Allocations)</t>
  </si>
  <si>
    <t>Colorado Springs D-11</t>
  </si>
  <si>
    <t>Title I-A Formula  (Revised Final)</t>
  </si>
  <si>
    <t>Title II-A Formula  (Revised Final)</t>
  </si>
  <si>
    <t>Title IV Formula (Revised Final Allocations)</t>
  </si>
  <si>
    <t>Title III-A SAI Formula (Revised Final Allocations)</t>
  </si>
  <si>
    <t>Title III-A Formula (Revised Final)</t>
  </si>
  <si>
    <t>Cheyenne Mountain</t>
  </si>
  <si>
    <t>7/1/19 THROUGH 9/30/22</t>
  </si>
  <si>
    <t>January
2022</t>
  </si>
  <si>
    <t>February
2022</t>
  </si>
  <si>
    <t>March
2022</t>
  </si>
  <si>
    <t>April
2022</t>
  </si>
  <si>
    <t>May
2022</t>
  </si>
  <si>
    <t>November
2022</t>
  </si>
  <si>
    <t>October
2022</t>
  </si>
  <si>
    <t>September
2022</t>
  </si>
  <si>
    <t>August
2022</t>
  </si>
  <si>
    <t>July
2022</t>
  </si>
  <si>
    <t>June
2022</t>
  </si>
  <si>
    <t>7/1/19 THROUGH 9/30/22 -  This grant does have carryover restrictions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</si>
</sst>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.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2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66CCFF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rgb="FF66CCFF"/>
      </left>
      <right/>
      <top/>
      <bottom/>
      <diagonal/>
    </border>
    <border>
      <left style="medium">
        <color rgb="FF66CCFF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/>
      <top style="medium">
        <color theme="0" tint="-0.14993743705557422"/>
      </top>
      <bottom/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/>
    <xf numFmtId="0" fontId="1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40" fontId="25" fillId="0" borderId="0"/>
    <xf numFmtId="0" fontId="1" fillId="0" borderId="0"/>
    <xf numFmtId="0" fontId="1" fillId="0" borderId="0"/>
    <xf numFmtId="0" fontId="3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32" fillId="0" borderId="22" applyNumberFormat="0" applyFill="0" applyAlignment="0" applyProtection="0"/>
    <xf numFmtId="0" fontId="33" fillId="0" borderId="23" applyNumberFormat="0" applyFill="0" applyAlignment="0" applyProtection="0"/>
    <xf numFmtId="0" fontId="34" fillId="0" borderId="24" applyNumberFormat="0" applyFill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25" applyNumberFormat="0" applyAlignment="0" applyProtection="0"/>
    <xf numFmtId="0" fontId="39" fillId="10" borderId="26" applyNumberFormat="0" applyAlignment="0" applyProtection="0"/>
    <xf numFmtId="0" fontId="40" fillId="10" borderId="25" applyNumberFormat="0" applyAlignment="0" applyProtection="0"/>
    <xf numFmtId="0" fontId="41" fillId="0" borderId="27" applyNumberFormat="0" applyFill="0" applyAlignment="0" applyProtection="0"/>
    <xf numFmtId="0" fontId="42" fillId="11" borderId="28" applyNumberFormat="0" applyAlignment="0" applyProtection="0"/>
    <xf numFmtId="0" fontId="43" fillId="0" borderId="0" applyNumberFormat="0" applyFill="0" applyBorder="0" applyAlignment="0" applyProtection="0"/>
    <xf numFmtId="0" fontId="1" fillId="12" borderId="29" applyNumberFormat="0" applyFont="0" applyAlignment="0" applyProtection="0"/>
    <xf numFmtId="0" fontId="44" fillId="0" borderId="0" applyNumberFormat="0" applyFill="0" applyBorder="0" applyAlignment="0" applyProtection="0"/>
    <xf numFmtId="0" fontId="2" fillId="0" borderId="30" applyNumberFormat="0" applyFill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5" fillId="36" borderId="0" applyNumberFormat="0" applyBorder="0" applyAlignment="0" applyProtection="0"/>
    <xf numFmtId="0" fontId="21" fillId="0" borderId="0"/>
    <xf numFmtId="0" fontId="46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</cellStyleXfs>
  <cellXfs count="300">
    <xf numFmtId="0" fontId="0" fillId="0" borderId="0" xfId="0"/>
    <xf numFmtId="0" fontId="0" fillId="0" borderId="0" xfId="0" applyFont="1"/>
    <xf numFmtId="0" fontId="0" fillId="0" borderId="0" xfId="0"/>
    <xf numFmtId="0" fontId="3" fillId="0" borderId="0" xfId="0" applyFont="1" applyFill="1" applyBorder="1"/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ont="1" applyAlignment="1">
      <alignment horizontal="right"/>
    </xf>
    <xf numFmtId="0" fontId="7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0" fillId="2" borderId="0" xfId="0" applyFill="1" applyAlignment="1">
      <alignment wrapText="1"/>
    </xf>
    <xf numFmtId="0" fontId="9" fillId="2" borderId="0" xfId="0" applyFont="1" applyFill="1"/>
    <xf numFmtId="0" fontId="9" fillId="2" borderId="0" xfId="0" quotePrefix="1" applyFont="1" applyFill="1" applyAlignment="1">
      <alignment horizontal="left"/>
    </xf>
    <xf numFmtId="0" fontId="6" fillId="2" borderId="0" xfId="0" applyFont="1" applyFill="1"/>
    <xf numFmtId="0" fontId="9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9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0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0" fillId="0" borderId="0" xfId="0" applyFill="1" applyAlignment="1">
      <alignment wrapText="1"/>
    </xf>
    <xf numFmtId="0" fontId="9" fillId="0" borderId="0" xfId="0" applyFont="1" applyFill="1"/>
    <xf numFmtId="0" fontId="6" fillId="0" borderId="0" xfId="0" applyFont="1" applyFill="1"/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/>
    <xf numFmtId="0" fontId="0" fillId="0" borderId="0" xfId="0" applyFill="1" applyAlignment="1">
      <alignment vertical="center"/>
    </xf>
    <xf numFmtId="165" fontId="2" fillId="3" borderId="2" xfId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0" fillId="2" borderId="9" xfId="0" applyNumberFormat="1" applyFont="1" applyFill="1" applyBorder="1"/>
    <xf numFmtId="0" fontId="10" fillId="2" borderId="9" xfId="0" applyFont="1" applyFill="1" applyBorder="1"/>
    <xf numFmtId="0" fontId="9" fillId="2" borderId="7" xfId="0" applyFont="1" applyFill="1" applyBorder="1"/>
    <xf numFmtId="164" fontId="9" fillId="2" borderId="9" xfId="0" applyNumberFormat="1" applyFont="1" applyFill="1" applyBorder="1"/>
    <xf numFmtId="0" fontId="2" fillId="0" borderId="0" xfId="0" applyFont="1" applyFill="1"/>
    <xf numFmtId="164" fontId="2" fillId="0" borderId="0" xfId="0" applyNumberFormat="1" applyFont="1" applyBorder="1"/>
    <xf numFmtId="0" fontId="9" fillId="3" borderId="4" xfId="0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0" fontId="17" fillId="0" borderId="0" xfId="0" applyFont="1"/>
    <xf numFmtId="38" fontId="17" fillId="0" borderId="0" xfId="0" applyNumberFormat="1" applyFont="1"/>
    <xf numFmtId="0" fontId="4" fillId="0" borderId="6" xfId="0" applyFont="1" applyFill="1" applyBorder="1"/>
    <xf numFmtId="38" fontId="4" fillId="0" borderId="0" xfId="0" applyNumberFormat="1" applyFont="1" applyFill="1" applyBorder="1"/>
    <xf numFmtId="0" fontId="4" fillId="0" borderId="5" xfId="0" applyFont="1" applyFill="1" applyBorder="1"/>
    <xf numFmtId="0" fontId="4" fillId="0" borderId="0" xfId="0" applyFont="1" applyFill="1" applyBorder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/>
    <xf numFmtId="38" fontId="4" fillId="0" borderId="0" xfId="0" applyNumberFormat="1" applyFont="1" applyFill="1"/>
    <xf numFmtId="0" fontId="17" fillId="0" borderId="0" xfId="0" applyFont="1" applyFill="1"/>
    <xf numFmtId="38" fontId="17" fillId="0" borderId="0" xfId="0" applyNumberFormat="1" applyFont="1" applyFill="1"/>
    <xf numFmtId="0" fontId="19" fillId="4" borderId="0" xfId="0" applyFont="1" applyFill="1"/>
    <xf numFmtId="0" fontId="20" fillId="2" borderId="0" xfId="0" applyFont="1" applyFill="1"/>
    <xf numFmtId="0" fontId="19" fillId="2" borderId="0" xfId="0" applyFont="1" applyFill="1"/>
    <xf numFmtId="0" fontId="20" fillId="2" borderId="0" xfId="0" applyFont="1" applyFill="1" applyAlignment="1">
      <alignment horizontal="left"/>
    </xf>
    <xf numFmtId="0" fontId="19" fillId="2" borderId="0" xfId="0" applyFont="1" applyFill="1" applyAlignment="1">
      <alignment wrapText="1"/>
    </xf>
    <xf numFmtId="0" fontId="13" fillId="2" borderId="0" xfId="0" applyFont="1" applyFill="1"/>
    <xf numFmtId="0" fontId="13" fillId="2" borderId="0" xfId="0" quotePrefix="1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 wrapText="1"/>
    </xf>
    <xf numFmtId="38" fontId="3" fillId="0" borderId="0" xfId="0" applyNumberFormat="1" applyFont="1" applyFill="1"/>
    <xf numFmtId="38" fontId="0" fillId="0" borderId="0" xfId="0" applyNumberFormat="1" applyFill="1"/>
    <xf numFmtId="165" fontId="0" fillId="0" borderId="0" xfId="0" applyNumberFormat="1" applyFill="1"/>
    <xf numFmtId="164" fontId="0" fillId="0" borderId="0" xfId="0" applyNumberFormat="1" applyBorder="1"/>
    <xf numFmtId="164" fontId="0" fillId="0" borderId="0" xfId="0" applyNumberFormat="1"/>
    <xf numFmtId="0" fontId="7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0" fillId="2" borderId="0" xfId="0" applyFill="1" applyAlignment="1">
      <alignment wrapText="1"/>
    </xf>
    <xf numFmtId="0" fontId="9" fillId="2" borderId="0" xfId="0" applyFont="1" applyFill="1"/>
    <xf numFmtId="0" fontId="9" fillId="2" borderId="0" xfId="0" quotePrefix="1" applyFont="1" applyFill="1" applyAlignment="1">
      <alignment horizontal="left"/>
    </xf>
    <xf numFmtId="0" fontId="6" fillId="2" borderId="0" xfId="0" applyFont="1" applyFill="1"/>
    <xf numFmtId="0" fontId="9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9" fillId="5" borderId="19" xfId="0" applyFont="1" applyFill="1" applyBorder="1" applyAlignment="1" applyProtection="1">
      <alignment horizontal="center" vertical="center"/>
    </xf>
    <xf numFmtId="0" fontId="0" fillId="0" borderId="0" xfId="0" applyAlignment="1"/>
    <xf numFmtId="0" fontId="30" fillId="0" borderId="20" xfId="0" applyFont="1" applyFill="1" applyBorder="1" applyAlignment="1" applyProtection="1">
      <alignment vertical="center"/>
    </xf>
    <xf numFmtId="0" fontId="30" fillId="0" borderId="20" xfId="0" applyFont="1" applyFill="1" applyBorder="1" applyAlignment="1" applyProtection="1">
      <alignment horizontal="right" vertical="center"/>
    </xf>
    <xf numFmtId="0" fontId="30" fillId="0" borderId="21" xfId="0" applyFont="1" applyFill="1" applyBorder="1" applyAlignment="1" applyProtection="1">
      <alignment horizontal="right" vertical="center"/>
    </xf>
    <xf numFmtId="3" fontId="0" fillId="0" borderId="0" xfId="0" applyNumberFormat="1" applyFill="1"/>
    <xf numFmtId="166" fontId="0" fillId="0" borderId="0" xfId="2" applyNumberFormat="1" applyFont="1" applyFill="1"/>
    <xf numFmtId="166" fontId="6" fillId="2" borderId="18" xfId="2" applyNumberFormat="1" applyFont="1" applyFill="1" applyBorder="1"/>
    <xf numFmtId="166" fontId="9" fillId="2" borderId="18" xfId="2" applyNumberFormat="1" applyFont="1" applyFill="1" applyBorder="1"/>
    <xf numFmtId="166" fontId="19" fillId="2" borderId="0" xfId="2" applyNumberFormat="1" applyFont="1" applyFill="1" applyAlignment="1">
      <alignment wrapText="1"/>
    </xf>
    <xf numFmtId="166" fontId="13" fillId="2" borderId="0" xfId="2" applyNumberFormat="1" applyFont="1" applyFill="1"/>
    <xf numFmtId="166" fontId="19" fillId="2" borderId="0" xfId="2" applyNumberFormat="1" applyFont="1" applyFill="1" applyAlignment="1">
      <alignment horizont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166" fontId="2" fillId="0" borderId="1" xfId="2" quotePrefix="1" applyNumberFormat="1" applyFont="1" applyFill="1" applyBorder="1" applyAlignment="1">
      <alignment horizontal="center" vertical="center" wrapText="1"/>
    </xf>
    <xf numFmtId="49" fontId="10" fillId="2" borderId="8" xfId="2" applyNumberFormat="1" applyFont="1" applyFill="1" applyBorder="1" applyAlignment="1">
      <alignment horizontal="center"/>
    </xf>
    <xf numFmtId="49" fontId="20" fillId="2" borderId="0" xfId="0" applyNumberFormat="1" applyFont="1" applyFill="1" applyAlignment="1">
      <alignment horizontal="left"/>
    </xf>
    <xf numFmtId="49" fontId="13" fillId="2" borderId="0" xfId="0" quotePrefix="1" applyNumberFormat="1" applyFont="1" applyFill="1" applyAlignment="1">
      <alignment horizontal="left"/>
    </xf>
    <xf numFmtId="49" fontId="13" fillId="2" borderId="0" xfId="0" applyNumberFormat="1" applyFont="1" applyFill="1" applyAlignment="1">
      <alignment horizontal="left"/>
    </xf>
    <xf numFmtId="49" fontId="13" fillId="2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0" fillId="0" borderId="0" xfId="0" applyNumberFormat="1" applyFill="1"/>
    <xf numFmtId="0" fontId="3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164" fontId="9" fillId="2" borderId="7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center"/>
    </xf>
    <xf numFmtId="166" fontId="10" fillId="2" borderId="8" xfId="2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Border="1"/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9" fontId="11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166" fontId="0" fillId="0" borderId="0" xfId="0" applyNumberFormat="1" applyBorder="1"/>
    <xf numFmtId="0" fontId="0" fillId="0" borderId="0" xfId="0" applyFont="1" applyAlignment="1">
      <alignment horizontal="left"/>
    </xf>
    <xf numFmtId="49" fontId="7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/>
    </xf>
    <xf numFmtId="166" fontId="10" fillId="2" borderId="7" xfId="2" applyNumberFormat="1" applyFont="1" applyFill="1" applyBorder="1" applyAlignment="1">
      <alignment horizontal="center"/>
    </xf>
    <xf numFmtId="49" fontId="9" fillId="2" borderId="0" xfId="0" quotePrefix="1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/>
    <xf numFmtId="38" fontId="4" fillId="0" borderId="0" xfId="0" applyNumberFormat="1" applyFont="1" applyFill="1" applyBorder="1"/>
    <xf numFmtId="166" fontId="10" fillId="2" borderId="7" xfId="2" applyNumberFormat="1" applyFont="1" applyFill="1" applyBorder="1"/>
    <xf numFmtId="49" fontId="10" fillId="2" borderId="7" xfId="2" applyNumberFormat="1" applyFont="1" applyFill="1" applyBorder="1" applyAlignment="1">
      <alignment horizontal="center"/>
    </xf>
    <xf numFmtId="166" fontId="0" fillId="0" borderId="0" xfId="0" applyNumberFormat="1" applyFill="1"/>
    <xf numFmtId="49" fontId="10" fillId="2" borderId="9" xfId="0" quotePrefix="1" applyNumberFormat="1" applyFont="1" applyFill="1" applyBorder="1"/>
    <xf numFmtId="49" fontId="7" fillId="2" borderId="0" xfId="0" applyNumberFormat="1" applyFont="1" applyFill="1"/>
    <xf numFmtId="49" fontId="0" fillId="2" borderId="0" xfId="0" applyNumberFormat="1" applyFill="1"/>
    <xf numFmtId="49" fontId="9" fillId="2" borderId="0" xfId="0" applyNumberFormat="1" applyFont="1" applyFill="1"/>
    <xf numFmtId="49" fontId="10" fillId="2" borderId="7" xfId="2" applyNumberFormat="1" applyFont="1" applyFill="1" applyBorder="1"/>
    <xf numFmtId="49" fontId="0" fillId="0" borderId="0" xfId="0" applyNumberFormat="1"/>
    <xf numFmtId="43" fontId="10" fillId="2" borderId="7" xfId="2" applyNumberFormat="1" applyFont="1" applyFill="1" applyBorder="1" applyAlignment="1">
      <alignment horizontal="center"/>
    </xf>
    <xf numFmtId="43" fontId="10" fillId="2" borderId="7" xfId="2" applyNumberFormat="1" applyFont="1" applyFill="1" applyBorder="1"/>
    <xf numFmtId="166" fontId="10" fillId="0" borderId="32" xfId="2" applyNumberFormat="1" applyFont="1" applyFill="1" applyBorder="1"/>
    <xf numFmtId="0" fontId="0" fillId="0" borderId="0" xfId="0" applyFill="1" applyBorder="1"/>
    <xf numFmtId="49" fontId="9" fillId="2" borderId="7" xfId="0" applyNumberFormat="1" applyFont="1" applyFill="1" applyBorder="1" applyAlignment="1">
      <alignment horizontal="left"/>
    </xf>
    <xf numFmtId="49" fontId="10" fillId="2" borderId="7" xfId="2" applyNumberFormat="1" applyFont="1" applyFill="1" applyBorder="1" applyAlignment="1">
      <alignment horizontal="left"/>
    </xf>
    <xf numFmtId="49" fontId="10" fillId="0" borderId="32" xfId="2" applyNumberFormat="1" applyFont="1" applyFill="1" applyBorder="1" applyAlignment="1">
      <alignment horizontal="left"/>
    </xf>
    <xf numFmtId="49" fontId="10" fillId="0" borderId="31" xfId="0" applyNumberFormat="1" applyFont="1" applyFill="1" applyBorder="1"/>
    <xf numFmtId="0" fontId="10" fillId="0" borderId="31" xfId="0" applyFont="1" applyFill="1" applyBorder="1"/>
    <xf numFmtId="166" fontId="6" fillId="0" borderId="31" xfId="2" applyNumberFormat="1" applyFont="1" applyFill="1" applyBorder="1"/>
    <xf numFmtId="0" fontId="12" fillId="0" borderId="31" xfId="0" quotePrefix="1" applyFont="1" applyFill="1" applyBorder="1" applyAlignment="1" applyProtection="1">
      <alignment horizontal="left"/>
    </xf>
    <xf numFmtId="0" fontId="6" fillId="0" borderId="31" xfId="0" applyFont="1" applyFill="1" applyBorder="1" applyAlignment="1" applyProtection="1">
      <alignment horizontal="left"/>
    </xf>
    <xf numFmtId="166" fontId="6" fillId="0" borderId="17" xfId="2" applyNumberFormat="1" applyFont="1" applyFill="1" applyBorder="1"/>
    <xf numFmtId="49" fontId="10" fillId="0" borderId="32" xfId="0" applyNumberFormat="1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166" fontId="3" fillId="0" borderId="0" xfId="2" applyNumberFormat="1" applyFont="1" applyFill="1" applyBorder="1"/>
    <xf numFmtId="49" fontId="7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left"/>
    </xf>
    <xf numFmtId="49" fontId="11" fillId="2" borderId="0" xfId="0" quotePrefix="1" applyNumberFormat="1" applyFont="1" applyFill="1" applyAlignment="1">
      <alignment horizontal="center"/>
    </xf>
    <xf numFmtId="43" fontId="0" fillId="0" borderId="0" xfId="0" applyNumberFormat="1"/>
    <xf numFmtId="44" fontId="6" fillId="2" borderId="0" xfId="0" applyNumberFormat="1" applyFont="1" applyFill="1"/>
    <xf numFmtId="0" fontId="0" fillId="37" borderId="0" xfId="0" applyFill="1"/>
    <xf numFmtId="0" fontId="15" fillId="2" borderId="0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41" fontId="0" fillId="0" borderId="0" xfId="1" applyNumberFormat="1" applyFont="1" applyAlignment="1">
      <alignment horizontal="left"/>
    </xf>
    <xf numFmtId="2" fontId="5" fillId="0" borderId="0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right"/>
    </xf>
    <xf numFmtId="49" fontId="14" fillId="2" borderId="0" xfId="2" applyNumberFormat="1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41" fontId="0" fillId="0" borderId="0" xfId="0" applyNumberFormat="1" applyFill="1"/>
    <xf numFmtId="49" fontId="20" fillId="2" borderId="0" xfId="0" applyNumberFormat="1" applyFont="1" applyFill="1" applyAlignment="1">
      <alignment horizontal="center"/>
    </xf>
    <xf numFmtId="49" fontId="13" fillId="2" borderId="0" xfId="0" quotePrefix="1" applyNumberFormat="1" applyFont="1" applyFill="1" applyAlignment="1">
      <alignment horizontal="center"/>
    </xf>
    <xf numFmtId="49" fontId="13" fillId="2" borderId="0" xfId="0" applyNumberFormat="1" applyFont="1" applyFill="1" applyAlignment="1">
      <alignment horizontal="center"/>
    </xf>
    <xf numFmtId="49" fontId="10" fillId="0" borderId="32" xfId="2" applyNumberFormat="1" applyFont="1" applyFill="1" applyBorder="1" applyAlignment="1">
      <alignment horizontal="center"/>
    </xf>
    <xf numFmtId="49" fontId="14" fillId="2" borderId="7" xfId="2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3" fontId="2" fillId="2" borderId="0" xfId="0" applyNumberFormat="1" applyFont="1" applyFill="1" applyAlignment="1">
      <alignment horizontal="left"/>
    </xf>
    <xf numFmtId="43" fontId="2" fillId="2" borderId="0" xfId="0" applyNumberFormat="1" applyFont="1" applyFill="1"/>
    <xf numFmtId="166" fontId="0" fillId="0" borderId="0" xfId="0" applyNumberFormat="1" applyFont="1"/>
    <xf numFmtId="4" fontId="10" fillId="2" borderId="7" xfId="2" applyNumberFormat="1" applyFont="1" applyFill="1" applyBorder="1"/>
    <xf numFmtId="4" fontId="10" fillId="0" borderId="32" xfId="2" applyNumberFormat="1" applyFont="1" applyFill="1" applyBorder="1"/>
    <xf numFmtId="4" fontId="14" fillId="2" borderId="7" xfId="2" applyNumberFormat="1" applyFont="1" applyFill="1" applyBorder="1"/>
    <xf numFmtId="4" fontId="6" fillId="0" borderId="0" xfId="2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4" fontId="6" fillId="0" borderId="0" xfId="2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6" fillId="2" borderId="18" xfId="2" applyNumberFormat="1" applyFont="1" applyFill="1" applyBorder="1"/>
    <xf numFmtId="4" fontId="6" fillId="2" borderId="9" xfId="2" applyNumberFormat="1" applyFont="1" applyFill="1" applyBorder="1"/>
    <xf numFmtId="4" fontId="6" fillId="2" borderId="10" xfId="2" applyNumberFormat="1" applyFont="1" applyFill="1" applyBorder="1"/>
    <xf numFmtId="4" fontId="0" fillId="0" borderId="0" xfId="2" applyNumberFormat="1" applyFont="1"/>
    <xf numFmtId="4" fontId="6" fillId="0" borderId="0" xfId="2" applyNumberFormat="1" applyFont="1"/>
    <xf numFmtId="4" fontId="0" fillId="0" borderId="0" xfId="0" applyNumberFormat="1"/>
    <xf numFmtId="4" fontId="6" fillId="0" borderId="31" xfId="2" applyNumberFormat="1" applyFont="1" applyFill="1" applyBorder="1"/>
    <xf numFmtId="4" fontId="0" fillId="0" borderId="0" xfId="2" applyNumberFormat="1" applyFont="1" applyFill="1" applyBorder="1"/>
    <xf numFmtId="4" fontId="6" fillId="0" borderId="0" xfId="2" applyNumberFormat="1" applyFont="1" applyFill="1" applyBorder="1"/>
    <xf numFmtId="4" fontId="0" fillId="0" borderId="0" xfId="0" applyNumberFormat="1" applyFill="1" applyBorder="1"/>
    <xf numFmtId="4" fontId="9" fillId="2" borderId="18" xfId="2" applyNumberFormat="1" applyFont="1" applyFill="1" applyBorder="1"/>
    <xf numFmtId="39" fontId="6" fillId="2" borderId="18" xfId="2" applyNumberFormat="1" applyFont="1" applyFill="1" applyBorder="1"/>
    <xf numFmtId="39" fontId="6" fillId="0" borderId="31" xfId="2" applyNumberFormat="1" applyFont="1" applyFill="1" applyBorder="1"/>
    <xf numFmtId="39" fontId="9" fillId="2" borderId="18" xfId="2" applyNumberFormat="1" applyFont="1" applyFill="1" applyBorder="1"/>
    <xf numFmtId="4" fontId="6" fillId="0" borderId="17" xfId="2" applyNumberFormat="1" applyFont="1" applyFill="1" applyBorder="1"/>
    <xf numFmtId="39" fontId="6" fillId="0" borderId="17" xfId="2" applyNumberFormat="1" applyFont="1" applyFill="1" applyBorder="1"/>
    <xf numFmtId="39" fontId="10" fillId="2" borderId="7" xfId="2" applyNumberFormat="1" applyFont="1" applyFill="1" applyBorder="1"/>
    <xf numFmtId="39" fontId="10" fillId="0" borderId="32" xfId="2" applyNumberFormat="1" applyFont="1" applyFill="1" applyBorder="1"/>
    <xf numFmtId="39" fontId="9" fillId="2" borderId="7" xfId="2" applyNumberFormat="1" applyFont="1" applyFill="1" applyBorder="1"/>
    <xf numFmtId="4" fontId="3" fillId="0" borderId="0" xfId="2" applyNumberFormat="1" applyFont="1" applyBorder="1"/>
    <xf numFmtId="4" fontId="6" fillId="0" borderId="0" xfId="2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3" fillId="0" borderId="0" xfId="2" applyNumberFormat="1" applyFont="1" applyFill="1" applyBorder="1"/>
    <xf numFmtId="4" fontId="9" fillId="2" borderId="9" xfId="2" applyNumberFormat="1" applyFont="1" applyFill="1" applyBorder="1"/>
    <xf numFmtId="4" fontId="0" fillId="0" borderId="0" xfId="0" applyNumberFormat="1" applyFont="1" applyAlignment="1">
      <alignment horizontal="right"/>
    </xf>
    <xf numFmtId="4" fontId="14" fillId="2" borderId="7" xfId="2" applyNumberFormat="1" applyFont="1" applyFill="1" applyBorder="1" applyAlignment="1">
      <alignment horizontal="center"/>
    </xf>
    <xf numFmtId="4" fontId="10" fillId="2" borderId="7" xfId="2" applyNumberFormat="1" applyFont="1" applyFill="1" applyBorder="1" applyAlignment="1">
      <alignment horizontal="right"/>
    </xf>
    <xf numFmtId="4" fontId="14" fillId="2" borderId="7" xfId="2" applyNumberFormat="1" applyFont="1" applyFill="1" applyBorder="1" applyAlignment="1">
      <alignment horizontal="right"/>
    </xf>
    <xf numFmtId="4" fontId="6" fillId="37" borderId="0" xfId="2" applyNumberFormat="1" applyFont="1" applyFill="1" applyBorder="1" applyAlignment="1">
      <alignment horizontal="right"/>
    </xf>
    <xf numFmtId="4" fontId="6" fillId="0" borderId="0" xfId="0" applyNumberFormat="1" applyFont="1"/>
    <xf numFmtId="4" fontId="0" fillId="0" borderId="0" xfId="0" applyNumberFormat="1" applyFont="1"/>
    <xf numFmtId="39" fontId="10" fillId="2" borderId="7" xfId="2" applyNumberFormat="1" applyFont="1" applyFill="1" applyBorder="1" applyAlignment="1">
      <alignment horizontal="right"/>
    </xf>
    <xf numFmtId="39" fontId="0" fillId="0" borderId="0" xfId="0" applyNumberFormat="1" applyFill="1"/>
    <xf numFmtId="39" fontId="2" fillId="2" borderId="0" xfId="1" applyNumberFormat="1" applyFont="1" applyFill="1" applyAlignment="1">
      <alignment horizontal="right"/>
    </xf>
    <xf numFmtId="4" fontId="10" fillId="37" borderId="7" xfId="2" applyNumberFormat="1" applyFont="1" applyFill="1" applyBorder="1"/>
    <xf numFmtId="4" fontId="0" fillId="0" borderId="0" xfId="0" applyNumberFormat="1" applyFill="1"/>
    <xf numFmtId="4" fontId="0" fillId="0" borderId="0" xfId="2" applyNumberFormat="1" applyFont="1" applyFill="1"/>
    <xf numFmtId="4" fontId="2" fillId="2" borderId="0" xfId="1" applyNumberFormat="1" applyFont="1" applyFill="1" applyAlignment="1">
      <alignment horizontal="left"/>
    </xf>
    <xf numFmtId="4" fontId="2" fillId="2" borderId="0" xfId="0" applyNumberFormat="1" applyFont="1" applyFill="1"/>
    <xf numFmtId="4" fontId="10" fillId="2" borderId="8" xfId="2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4" fontId="2" fillId="2" borderId="0" xfId="2" applyNumberFormat="1" applyFont="1" applyFill="1"/>
    <xf numFmtId="4" fontId="0" fillId="0" borderId="0" xfId="0" applyNumberFormat="1" applyBorder="1"/>
    <xf numFmtId="4" fontId="10" fillId="37" borderId="8" xfId="2" applyNumberFormat="1" applyFont="1" applyFill="1" applyBorder="1" applyAlignment="1">
      <alignment horizontal="right"/>
    </xf>
    <xf numFmtId="0" fontId="20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19" fillId="2" borderId="0" xfId="0" applyFont="1" applyFill="1" applyAlignment="1">
      <alignment horizontal="right" wrapText="1"/>
    </xf>
    <xf numFmtId="4" fontId="10" fillId="37" borderId="7" xfId="2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3" fontId="0" fillId="0" borderId="0" xfId="2" applyNumberFormat="1" applyFont="1" applyFill="1"/>
    <xf numFmtId="2" fontId="10" fillId="2" borderId="7" xfId="2" applyNumberFormat="1" applyFont="1" applyFill="1" applyBorder="1"/>
    <xf numFmtId="49" fontId="4" fillId="0" borderId="16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4" xfId="0" quotePrefix="1" applyFont="1" applyFill="1" applyBorder="1" applyAlignment="1">
      <alignment horizontal="center"/>
    </xf>
    <xf numFmtId="0" fontId="4" fillId="0" borderId="15" xfId="0" quotePrefix="1" applyFont="1" applyFill="1" applyBorder="1" applyAlignment="1" applyProtection="1">
      <alignment horizontal="center"/>
    </xf>
    <xf numFmtId="0" fontId="4" fillId="0" borderId="0" xfId="0" quotePrefix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0" fillId="2" borderId="0" xfId="0" applyFont="1" applyFill="1" applyAlignment="1"/>
    <xf numFmtId="0" fontId="13" fillId="2" borderId="0" xfId="0" applyFont="1" applyFill="1" applyAlignment="1"/>
    <xf numFmtId="4" fontId="0" fillId="0" borderId="0" xfId="0" applyNumberFormat="1" applyFill="1" applyAlignment="1"/>
    <xf numFmtId="4" fontId="2" fillId="2" borderId="0" xfId="0" applyNumberFormat="1" applyFont="1" applyFill="1" applyAlignment="1"/>
    <xf numFmtId="0" fontId="0" fillId="0" borderId="0" xfId="0" applyFill="1" applyAlignment="1"/>
    <xf numFmtId="49" fontId="10" fillId="2" borderId="7" xfId="2" quotePrefix="1" applyNumberFormat="1" applyFont="1" applyFill="1" applyBorder="1" applyAlignment="1">
      <alignment horizontal="center"/>
    </xf>
    <xf numFmtId="167" fontId="0" fillId="0" borderId="0" xfId="0" applyNumberFormat="1" applyBorder="1"/>
    <xf numFmtId="44" fontId="0" fillId="0" borderId="0" xfId="0" applyNumberFormat="1" applyFill="1"/>
    <xf numFmtId="4" fontId="0" fillId="0" borderId="0" xfId="0" applyNumberFormat="1" applyFont="1" applyFill="1"/>
    <xf numFmtId="4" fontId="10" fillId="37" borderId="38" xfId="2" applyNumberFormat="1" applyFont="1" applyFill="1" applyBorder="1" applyAlignment="1">
      <alignment horizontal="right"/>
    </xf>
    <xf numFmtId="4" fontId="10" fillId="37" borderId="39" xfId="2" applyNumberFormat="1" applyFont="1" applyFill="1" applyBorder="1" applyAlignment="1">
      <alignment horizontal="right"/>
    </xf>
    <xf numFmtId="4" fontId="10" fillId="37" borderId="40" xfId="2" applyNumberFormat="1" applyFont="1" applyFill="1" applyBorder="1" applyAlignment="1">
      <alignment horizontal="right"/>
    </xf>
    <xf numFmtId="4" fontId="10" fillId="37" borderId="9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37" borderId="9" xfId="0" applyFont="1" applyFill="1" applyBorder="1" applyAlignment="1">
      <alignment horizontal="right"/>
    </xf>
    <xf numFmtId="4" fontId="6" fillId="0" borderId="0" xfId="0" applyNumberFormat="1" applyFont="1" applyFill="1"/>
    <xf numFmtId="4" fontId="6" fillId="0" borderId="0" xfId="0" applyNumberFormat="1" applyFont="1" applyFill="1" applyBorder="1"/>
    <xf numFmtId="4" fontId="3" fillId="3" borderId="0" xfId="2" applyNumberFormat="1" applyFont="1" applyFill="1" applyBorder="1"/>
    <xf numFmtId="4" fontId="12" fillId="2" borderId="7" xfId="2" applyNumberFormat="1" applyFont="1" applyFill="1" applyBorder="1" applyAlignment="1">
      <alignment horizontal="right"/>
    </xf>
    <xf numFmtId="49" fontId="47" fillId="2" borderId="7" xfId="2" applyNumberFormat="1" applyFont="1" applyFill="1" applyBorder="1" applyAlignment="1">
      <alignment horizontal="center"/>
    </xf>
    <xf numFmtId="39" fontId="12" fillId="2" borderId="0" xfId="1" applyNumberFormat="1" applyFont="1" applyFill="1" applyBorder="1"/>
    <xf numFmtId="39" fontId="6" fillId="2" borderId="0" xfId="1" applyNumberFormat="1" applyFont="1" applyFill="1" applyBorder="1"/>
    <xf numFmtId="39" fontId="6" fillId="2" borderId="0" xfId="0" applyNumberFormat="1" applyFont="1" applyFill="1" applyBorder="1" applyAlignment="1">
      <alignment horizontal="right"/>
    </xf>
    <xf numFmtId="0" fontId="6" fillId="0" borderId="0" xfId="0" applyFont="1" applyBorder="1"/>
    <xf numFmtId="4" fontId="10" fillId="0" borderId="8" xfId="2" applyNumberFormat="1" applyFont="1" applyFill="1" applyBorder="1" applyAlignment="1">
      <alignment horizontal="right"/>
    </xf>
    <xf numFmtId="4" fontId="6" fillId="0" borderId="0" xfId="0" applyNumberFormat="1" applyFont="1" applyBorder="1"/>
    <xf numFmtId="4" fontId="6" fillId="38" borderId="0" xfId="2" applyNumberFormat="1" applyFont="1" applyFill="1" applyBorder="1" applyAlignment="1">
      <alignment horizontal="right"/>
    </xf>
    <xf numFmtId="4" fontId="6" fillId="3" borderId="0" xfId="2" applyNumberFormat="1" applyFont="1" applyFill="1" applyBorder="1" applyAlignment="1">
      <alignment horizontal="right"/>
    </xf>
    <xf numFmtId="2" fontId="6" fillId="0" borderId="0" xfId="0" applyNumberFormat="1" applyFont="1" applyFill="1" applyBorder="1"/>
    <xf numFmtId="0" fontId="13" fillId="2" borderId="0" xfId="0" applyFont="1" applyFill="1" applyAlignment="1">
      <alignment wrapText="1"/>
    </xf>
    <xf numFmtId="0" fontId="13" fillId="2" borderId="0" xfId="0" applyFont="1" applyFill="1" applyAlignment="1">
      <alignment horizontal="center" wrapText="1"/>
    </xf>
    <xf numFmtId="49" fontId="9" fillId="0" borderId="1" xfId="0" quotePrefix="1" applyNumberFormat="1" applyFont="1" applyFill="1" applyBorder="1" applyAlignment="1">
      <alignment horizontal="center" vertical="center" wrapText="1"/>
    </xf>
    <xf numFmtId="4" fontId="9" fillId="0" borderId="0" xfId="2" applyNumberFormat="1" applyFont="1" applyFill="1" applyBorder="1" applyAlignment="1">
      <alignment horizontal="right"/>
    </xf>
    <xf numFmtId="165" fontId="9" fillId="0" borderId="0" xfId="0" applyNumberFormat="1" applyFont="1" applyFill="1"/>
    <xf numFmtId="4" fontId="12" fillId="0" borderId="41" xfId="0" applyNumberFormat="1" applyFont="1" applyFill="1" applyBorder="1" applyAlignment="1" applyProtection="1">
      <alignment horizontal="right"/>
      <protection locked="0"/>
    </xf>
    <xf numFmtId="4" fontId="6" fillId="0" borderId="0" xfId="2" applyNumberFormat="1" applyFont="1" applyBorder="1"/>
    <xf numFmtId="166" fontId="6" fillId="2" borderId="18" xfId="2" quotePrefix="1" applyNumberFormat="1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</cellXfs>
  <cellStyles count="85">
    <cellStyle name="20% - Accent1" xfId="56" builtinId="30" customBuiltin="1"/>
    <cellStyle name="20% - Accent2" xfId="60" builtinId="34" customBuiltin="1"/>
    <cellStyle name="20% - Accent3" xfId="64" builtinId="38" customBuiltin="1"/>
    <cellStyle name="20% - Accent4" xfId="68" builtinId="42" customBuiltin="1"/>
    <cellStyle name="20% - Accent5" xfId="72" builtinId="46" customBuiltin="1"/>
    <cellStyle name="20% - Accent6" xfId="76" builtinId="50" customBuiltin="1"/>
    <cellStyle name="40% - Accent1" xfId="57" builtinId="31" customBuiltin="1"/>
    <cellStyle name="40% - Accent2" xfId="61" builtinId="35" customBuiltin="1"/>
    <cellStyle name="40% - Accent3" xfId="65" builtinId="39" customBuiltin="1"/>
    <cellStyle name="40% - Accent4" xfId="69" builtinId="43" customBuiltin="1"/>
    <cellStyle name="40% - Accent5" xfId="73" builtinId="47" customBuiltin="1"/>
    <cellStyle name="40% - Accent6" xfId="77" builtinId="51" customBuiltin="1"/>
    <cellStyle name="60% - Accent1" xfId="58" builtinId="32" customBuiltin="1"/>
    <cellStyle name="60% - Accent2" xfId="62" builtinId="36" customBuiltin="1"/>
    <cellStyle name="60% - Accent3" xfId="66" builtinId="40" customBuiltin="1"/>
    <cellStyle name="60% - Accent4" xfId="70" builtinId="44" customBuiltin="1"/>
    <cellStyle name="60% - Accent5" xfId="74" builtinId="48" customBuiltin="1"/>
    <cellStyle name="60% - Accent6" xfId="78" builtinId="52" customBuiltin="1"/>
    <cellStyle name="Accent1" xfId="55" builtinId="29" customBuiltin="1"/>
    <cellStyle name="Accent2" xfId="59" builtinId="33" customBuiltin="1"/>
    <cellStyle name="Accent3" xfId="63" builtinId="37" customBuiltin="1"/>
    <cellStyle name="Accent4" xfId="67" builtinId="41" customBuiltin="1"/>
    <cellStyle name="Accent5" xfId="71" builtinId="45" customBuiltin="1"/>
    <cellStyle name="Accent6" xfId="75" builtinId="49" customBuiltin="1"/>
    <cellStyle name="Bad" xfId="44" builtinId="27" customBuiltin="1"/>
    <cellStyle name="Calculation" xfId="48" builtinId="22" customBuiltin="1"/>
    <cellStyle name="Check Cell" xfId="50" builtinId="23" customBuiltin="1"/>
    <cellStyle name="Comma" xfId="2" builtinId="3"/>
    <cellStyle name="Comma 2" xfId="3" xr:uid="{00000000-0005-0000-0000-00001C000000}"/>
    <cellStyle name="Comma 2 2" xfId="6" xr:uid="{00000000-0005-0000-0000-00001D000000}"/>
    <cellStyle name="Comma 2 2 2" xfId="29" xr:uid="{00000000-0005-0000-0000-00001E000000}"/>
    <cellStyle name="Comma 3" xfId="14" xr:uid="{00000000-0005-0000-0000-00001F000000}"/>
    <cellStyle name="Comma 3 2" xfId="35" xr:uid="{00000000-0005-0000-0000-000020000000}"/>
    <cellStyle name="Comma 4" xfId="21" xr:uid="{00000000-0005-0000-0000-000021000000}"/>
    <cellStyle name="Comma 4 2" xfId="38" xr:uid="{00000000-0005-0000-0000-000022000000}"/>
    <cellStyle name="Comma 5" xfId="5" xr:uid="{00000000-0005-0000-0000-000023000000}"/>
    <cellStyle name="Comma 5 2" xfId="28" xr:uid="{00000000-0005-0000-0000-000024000000}"/>
    <cellStyle name="Comma 6" xfId="83" xr:uid="{00000000-0005-0000-0000-000025000000}"/>
    <cellStyle name="Currency" xfId="1" builtinId="4"/>
    <cellStyle name="Currency 2" xfId="8" xr:uid="{00000000-0005-0000-0000-000027000000}"/>
    <cellStyle name="Currency 2 2" xfId="31" xr:uid="{00000000-0005-0000-0000-000028000000}"/>
    <cellStyle name="Currency 3" xfId="7" xr:uid="{00000000-0005-0000-0000-000029000000}"/>
    <cellStyle name="Currency 3 2" xfId="30" xr:uid="{00000000-0005-0000-0000-00002A000000}"/>
    <cellStyle name="Currency 4" xfId="82" xr:uid="{00000000-0005-0000-0000-00002B000000}"/>
    <cellStyle name="Explanatory Text" xfId="53" builtinId="53" customBuiltin="1"/>
    <cellStyle name="Good" xfId="43" builtinId="26" customBuiltin="1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Hyperlink 2" xfId="20" xr:uid="{00000000-0005-0000-0000-000032000000}"/>
    <cellStyle name="Input" xfId="46" builtinId="20" customBuiltin="1"/>
    <cellStyle name="Linked Cell" xfId="49" builtinId="24" customBuiltin="1"/>
    <cellStyle name="Neutral" xfId="45" builtinId="28" customBuiltin="1"/>
    <cellStyle name="Normal" xfId="0" builtinId="0"/>
    <cellStyle name="Normal 10" xfId="25" xr:uid="{00000000-0005-0000-0000-000037000000}"/>
    <cellStyle name="Normal 10 2" xfId="26" xr:uid="{00000000-0005-0000-0000-000038000000}"/>
    <cellStyle name="Normal 11" xfId="4" xr:uid="{00000000-0005-0000-0000-000039000000}"/>
    <cellStyle name="Normal 12" xfId="27" xr:uid="{00000000-0005-0000-0000-00003A000000}"/>
    <cellStyle name="Normal 12 2" xfId="84" xr:uid="{00000000-0005-0000-0000-00003B000000}"/>
    <cellStyle name="Normal 13" xfId="81" xr:uid="{00000000-0005-0000-0000-00003C000000}"/>
    <cellStyle name="Normal 14" xfId="79" xr:uid="{00000000-0005-0000-0000-00003D000000}"/>
    <cellStyle name="Normal 2" xfId="9" xr:uid="{00000000-0005-0000-0000-00003E000000}"/>
    <cellStyle name="Normal 2 2" xfId="24" xr:uid="{00000000-0005-0000-0000-00003F000000}"/>
    <cellStyle name="Normal 3" xfId="10" xr:uid="{00000000-0005-0000-0000-000040000000}"/>
    <cellStyle name="Normal 3 2" xfId="11" xr:uid="{00000000-0005-0000-0000-000041000000}"/>
    <cellStyle name="Normal 3 2 2" xfId="32" xr:uid="{00000000-0005-0000-0000-000042000000}"/>
    <cellStyle name="Normal 4" xfId="16" xr:uid="{00000000-0005-0000-0000-000043000000}"/>
    <cellStyle name="Normal 4 2" xfId="37" xr:uid="{00000000-0005-0000-0000-000044000000}"/>
    <cellStyle name="Normal 5" xfId="17" xr:uid="{00000000-0005-0000-0000-000045000000}"/>
    <cellStyle name="Normal 6" xfId="18" xr:uid="{00000000-0005-0000-0000-000046000000}"/>
    <cellStyle name="Normal 7" xfId="19" xr:uid="{00000000-0005-0000-0000-000047000000}"/>
    <cellStyle name="Normal 8" xfId="22" xr:uid="{00000000-0005-0000-0000-000048000000}"/>
    <cellStyle name="Normal 9" xfId="23" xr:uid="{00000000-0005-0000-0000-000049000000}"/>
    <cellStyle name="Note" xfId="52" builtinId="10" customBuiltin="1"/>
    <cellStyle name="Output" xfId="47" builtinId="21" customBuiltin="1"/>
    <cellStyle name="Percent 2" xfId="13" xr:uid="{00000000-0005-0000-0000-00004C000000}"/>
    <cellStyle name="Percent 2 2" xfId="34" xr:uid="{00000000-0005-0000-0000-00004D000000}"/>
    <cellStyle name="Percent 3" xfId="15" xr:uid="{00000000-0005-0000-0000-00004E000000}"/>
    <cellStyle name="Percent 3 2" xfId="36" xr:uid="{00000000-0005-0000-0000-00004F000000}"/>
    <cellStyle name="Percent 4" xfId="12" xr:uid="{00000000-0005-0000-0000-000050000000}"/>
    <cellStyle name="Percent 4 2" xfId="33" xr:uid="{00000000-0005-0000-0000-000051000000}"/>
    <cellStyle name="Title 2" xfId="80" xr:uid="{00000000-0005-0000-0000-000052000000}"/>
    <cellStyle name="Total" xfId="54" builtinId="25" customBuiltin="1"/>
    <cellStyle name="Warning Text" xfId="51" builtinId="11" customBuiltin="1"/>
  </cellStyles>
  <dxfs count="0"/>
  <tableStyles count="0" defaultTableStyle="TableStyleMedium2" defaultPivotStyle="PivotStyleLight16"/>
  <colors>
    <mruColors>
      <color rgb="FF99CCFF"/>
      <color rgb="FFCCECFF"/>
      <color rgb="FF66CC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66FF"/>
    <pageSetUpPr fitToPage="1"/>
  </sheetPr>
  <dimension ref="A1:J225"/>
  <sheetViews>
    <sheetView tabSelected="1" zoomScale="85" zoomScaleNormal="85" workbookViewId="0">
      <pane ySplit="3" topLeftCell="A4" activePane="bottomLeft" state="frozen"/>
      <selection activeCell="G13" sqref="G13:G135"/>
      <selection pane="bottomLeft" activeCell="H18" sqref="H18"/>
    </sheetView>
  </sheetViews>
  <sheetFormatPr defaultColWidth="9.140625" defaultRowHeight="15" x14ac:dyDescent="0.25"/>
  <cols>
    <col min="1" max="1" width="9.140625" style="255"/>
    <col min="2" max="2" width="30.85546875" style="51" customWidth="1"/>
    <col min="3" max="3" width="20.42578125" style="51" customWidth="1"/>
    <col min="4" max="4" width="21.7109375" style="51" customWidth="1"/>
    <col min="5" max="5" width="24.42578125" style="51" customWidth="1"/>
    <col min="6" max="6" width="17.7109375" style="51" customWidth="1"/>
    <col min="7" max="7" width="15" style="51" customWidth="1"/>
    <col min="8" max="8" width="15.85546875" style="51" customWidth="1"/>
    <col min="9" max="9" width="19.85546875" style="51" customWidth="1"/>
    <col min="10" max="10" width="18.140625" style="51" customWidth="1"/>
    <col min="11" max="16384" width="9.140625" style="51"/>
  </cols>
  <sheetData>
    <row r="1" spans="1:10" ht="15.75" customHeight="1" x14ac:dyDescent="0.25">
      <c r="A1" s="294" t="s">
        <v>659</v>
      </c>
      <c r="B1" s="295"/>
      <c r="C1" s="295"/>
      <c r="D1" s="295"/>
      <c r="E1" s="295"/>
      <c r="F1" s="295"/>
      <c r="G1" s="295"/>
      <c r="H1" s="295"/>
      <c r="I1" s="296"/>
      <c r="J1" s="166"/>
    </row>
    <row r="2" spans="1:10" ht="15.75" customHeight="1" thickBot="1" x14ac:dyDescent="0.3">
      <c r="A2" s="297"/>
      <c r="B2" s="298"/>
      <c r="C2" s="298"/>
      <c r="D2" s="298"/>
      <c r="E2" s="298"/>
      <c r="F2" s="298"/>
      <c r="G2" s="298"/>
      <c r="H2" s="298"/>
      <c r="I2" s="299"/>
      <c r="J2" s="166"/>
    </row>
    <row r="3" spans="1:10" ht="19.5" thickBot="1" x14ac:dyDescent="0.35">
      <c r="A3" s="167" t="s">
        <v>365</v>
      </c>
      <c r="B3" s="168" t="s">
        <v>394</v>
      </c>
      <c r="C3" s="168" t="s">
        <v>5</v>
      </c>
      <c r="D3" s="168" t="s">
        <v>384</v>
      </c>
      <c r="E3" s="168" t="s">
        <v>619</v>
      </c>
      <c r="F3" s="168" t="s">
        <v>385</v>
      </c>
      <c r="G3" s="168" t="s">
        <v>620</v>
      </c>
      <c r="H3" s="168" t="s">
        <v>386</v>
      </c>
      <c r="I3" s="168" t="s">
        <v>621</v>
      </c>
      <c r="J3" s="169" t="s">
        <v>622</v>
      </c>
    </row>
    <row r="4" spans="1:10" ht="18.75" x14ac:dyDescent="0.3">
      <c r="A4" s="248" t="s">
        <v>6</v>
      </c>
      <c r="B4" s="53" t="s">
        <v>184</v>
      </c>
      <c r="C4" s="54">
        <f>VLOOKUP(A4,'ESSA Title I-A Formula'!A12:G194,7,FALSE)</f>
        <v>0</v>
      </c>
      <c r="D4" s="54">
        <v>0</v>
      </c>
      <c r="E4" s="134">
        <v>0</v>
      </c>
      <c r="F4" s="54">
        <f>VLOOKUP(A4,'ESSA Title II-A Formula'!A12:G194,7,FALSE)</f>
        <v>0</v>
      </c>
      <c r="G4" s="54">
        <f>VLOOKUP(A4,'ESSA Title III-ELL '!A12:G196,7,FALSE)</f>
        <v>0</v>
      </c>
      <c r="H4" s="54">
        <v>0</v>
      </c>
      <c r="I4" s="54">
        <f>VLOOKUP(A4,'ESSA Title IV'!A12:G194,7,FALSE)</f>
        <v>0</v>
      </c>
      <c r="J4" s="134">
        <v>0</v>
      </c>
    </row>
    <row r="5" spans="1:10" ht="18.75" x14ac:dyDescent="0.3">
      <c r="A5" s="249" t="s">
        <v>7</v>
      </c>
      <c r="B5" s="55" t="s">
        <v>185</v>
      </c>
      <c r="C5" s="134">
        <f>VLOOKUP(A5,'ESSA Title I-A Formula'!A13:G195,7,FALSE)</f>
        <v>0</v>
      </c>
      <c r="D5" s="134">
        <v>0</v>
      </c>
      <c r="E5" s="134">
        <v>0</v>
      </c>
      <c r="F5" s="134">
        <f>VLOOKUP(A5,'ESSA Title II-A Formula'!A13:G195,7,FALSE)</f>
        <v>0</v>
      </c>
      <c r="G5" s="134">
        <f>VLOOKUP(A5,'ESSA Title III-ELL '!A13:G197,7,FALSE)</f>
        <v>0</v>
      </c>
      <c r="H5" s="134">
        <f>'ESSA Title III SAI'!G12</f>
        <v>0</v>
      </c>
      <c r="I5" s="134">
        <f>VLOOKUP(A5,'ESSA Title IV'!A13:G195,7,FALSE)</f>
        <v>0</v>
      </c>
      <c r="J5" s="134">
        <v>0</v>
      </c>
    </row>
    <row r="6" spans="1:10" ht="18.75" x14ac:dyDescent="0.3">
      <c r="A6" s="249" t="s">
        <v>8</v>
      </c>
      <c r="B6" s="55" t="s">
        <v>186</v>
      </c>
      <c r="C6" s="134">
        <f>VLOOKUP(A6,'ESSA Title I-A Formula'!A14:G196,7,FALSE)</f>
        <v>0</v>
      </c>
      <c r="D6" s="134">
        <v>0</v>
      </c>
      <c r="E6" s="134">
        <v>0</v>
      </c>
      <c r="F6" s="134">
        <f>VLOOKUP(A6,'ESSA Title II-A Formula'!A14:G196,7,FALSE)</f>
        <v>0</v>
      </c>
      <c r="G6" s="134">
        <f>VLOOKUP(A6,'ESSA Title III-ELL '!A14:G198,7,FALSE)</f>
        <v>0</v>
      </c>
      <c r="H6" s="134">
        <f>'ESSA Title III SAI'!G13</f>
        <v>0</v>
      </c>
      <c r="I6" s="134">
        <f>VLOOKUP(A6,'ESSA Title IV'!A14:G196,7,FALSE)</f>
        <v>0</v>
      </c>
      <c r="J6" s="134">
        <v>0</v>
      </c>
    </row>
    <row r="7" spans="1:10" ht="18.75" x14ac:dyDescent="0.3">
      <c r="A7" s="249" t="s">
        <v>9</v>
      </c>
      <c r="B7" s="55" t="s">
        <v>187</v>
      </c>
      <c r="C7" s="134">
        <f>VLOOKUP(A7,'ESSA Title I-A Formula'!A15:G197,7,FALSE)</f>
        <v>0</v>
      </c>
      <c r="D7" s="134">
        <v>0</v>
      </c>
      <c r="E7" s="134">
        <v>0</v>
      </c>
      <c r="F7" s="134">
        <f>VLOOKUP(A7,'ESSA Title II-A Formula'!A15:G197,7,FALSE)</f>
        <v>0</v>
      </c>
      <c r="G7" s="134">
        <f>VLOOKUP(A7,'ESSA Title III-ELL '!A15:G199,7,FALSE)</f>
        <v>0</v>
      </c>
      <c r="H7" s="134">
        <v>0</v>
      </c>
      <c r="I7" s="134">
        <f>VLOOKUP(A7,'ESSA Title IV'!A15:G197,7,FALSE)</f>
        <v>0</v>
      </c>
      <c r="J7" s="134">
        <v>0</v>
      </c>
    </row>
    <row r="8" spans="1:10" ht="18.75" x14ac:dyDescent="0.3">
      <c r="A8" s="249" t="s">
        <v>10</v>
      </c>
      <c r="B8" s="55" t="s">
        <v>188</v>
      </c>
      <c r="C8" s="134">
        <f>VLOOKUP(A8,'ESSA Title I-A Formula'!A16:G198,7,FALSE)</f>
        <v>0</v>
      </c>
      <c r="D8" s="134">
        <v>0</v>
      </c>
      <c r="E8" s="134">
        <v>0</v>
      </c>
      <c r="F8" s="134">
        <f>VLOOKUP(A8,'ESSA Title II-A Formula'!A16:G198,7,FALSE)</f>
        <v>0</v>
      </c>
      <c r="G8" s="134">
        <f>VLOOKUP(A8,'ESSA Title III-ELL '!A16:G200,7,FALSE)</f>
        <v>0</v>
      </c>
      <c r="H8" s="134">
        <v>0</v>
      </c>
      <c r="I8" s="134">
        <f>VLOOKUP(A8,'ESSA Title IV'!A16:G198,7,FALSE)</f>
        <v>0</v>
      </c>
      <c r="J8" s="134">
        <v>0</v>
      </c>
    </row>
    <row r="9" spans="1:10" ht="18.75" x14ac:dyDescent="0.3">
      <c r="A9" s="249" t="s">
        <v>11</v>
      </c>
      <c r="B9" s="55" t="s">
        <v>189</v>
      </c>
      <c r="C9" s="134">
        <f>VLOOKUP(A9,'ESSA Title I-A Formula'!A17:G199,7,FALSE)</f>
        <v>0</v>
      </c>
      <c r="D9" s="134">
        <v>0</v>
      </c>
      <c r="E9" s="134">
        <v>0</v>
      </c>
      <c r="F9" s="134">
        <f>VLOOKUP(A9,'ESSA Title II-A Formula'!A17:G199,7,FALSE)</f>
        <v>0</v>
      </c>
      <c r="G9" s="134">
        <f>VLOOKUP(A9,'ESSA Title III-ELL '!A17:G201,7,FALSE)</f>
        <v>0</v>
      </c>
      <c r="H9" s="134">
        <v>0</v>
      </c>
      <c r="I9" s="134">
        <f>VLOOKUP(A9,'ESSA Title IV'!A17:G199,7,FALSE)</f>
        <v>0</v>
      </c>
      <c r="J9" s="134">
        <v>0</v>
      </c>
    </row>
    <row r="10" spans="1:10" ht="18.75" x14ac:dyDescent="0.3">
      <c r="A10" s="249" t="s">
        <v>12</v>
      </c>
      <c r="B10" s="55" t="s">
        <v>190</v>
      </c>
      <c r="C10" s="134">
        <f>VLOOKUP(A10,'ESSA Title I-A Formula'!A18:G200,7,FALSE)</f>
        <v>0</v>
      </c>
      <c r="D10" s="134">
        <v>0</v>
      </c>
      <c r="E10" s="134">
        <v>0</v>
      </c>
      <c r="F10" s="134">
        <f>VLOOKUP(A10,'ESSA Title II-A Formula'!A18:G200,7,FALSE)</f>
        <v>0</v>
      </c>
      <c r="G10" s="134">
        <f>VLOOKUP(A10,'ESSA Title III-ELL '!A18:G202,7,FALSE)</f>
        <v>0</v>
      </c>
      <c r="H10" s="134">
        <v>0</v>
      </c>
      <c r="I10" s="134">
        <f>VLOOKUP(A10,'ESSA Title IV'!A18:G200,7,FALSE)</f>
        <v>0</v>
      </c>
      <c r="J10" s="134">
        <v>0</v>
      </c>
    </row>
    <row r="11" spans="1:10" ht="18.75" x14ac:dyDescent="0.3">
      <c r="A11" s="249" t="s">
        <v>13</v>
      </c>
      <c r="B11" s="55" t="s">
        <v>191</v>
      </c>
      <c r="C11" s="134">
        <f>VLOOKUP(A11,'ESSA Title I-A Formula'!A19:G201,7,FALSE)</f>
        <v>0</v>
      </c>
      <c r="D11" s="134">
        <f>'ESSA Title I-Delinquent'!G12</f>
        <v>196.77999999999975</v>
      </c>
      <c r="E11" s="134">
        <v>0</v>
      </c>
      <c r="F11" s="134">
        <f>VLOOKUP(A11,'ESSA Title II-A Formula'!A19:G201,7,FALSE)</f>
        <v>0</v>
      </c>
      <c r="G11" s="134">
        <f>VLOOKUP(A11,'ESSA Title III-ELL '!A19:G203,7,FALSE)</f>
        <v>0</v>
      </c>
      <c r="H11" s="134">
        <v>0</v>
      </c>
      <c r="I11" s="134">
        <f>VLOOKUP(A11,'ESSA Title IV'!A19:G201,7,FALSE)</f>
        <v>0</v>
      </c>
      <c r="J11" s="134">
        <f>VLOOKUP(A11,'ESSA Title V-B'!$A$12:$G$31,7,FALSE)</f>
        <v>0</v>
      </c>
    </row>
    <row r="12" spans="1:10" ht="18.75" x14ac:dyDescent="0.3">
      <c r="A12" s="249" t="s">
        <v>14</v>
      </c>
      <c r="B12" s="55" t="s">
        <v>192</v>
      </c>
      <c r="C12" s="134">
        <f>VLOOKUP(A12,'ESSA Title I-A Formula'!A20:G202,7,FALSE)</f>
        <v>0</v>
      </c>
      <c r="D12" s="134">
        <v>0</v>
      </c>
      <c r="E12" s="134">
        <v>0</v>
      </c>
      <c r="F12" s="134">
        <f>VLOOKUP(A12,'ESSA Title II-A Formula'!A20:G202,7,FALSE)</f>
        <v>0</v>
      </c>
      <c r="G12" s="134">
        <f>VLOOKUP(A12,'ESSA Title III-ELL '!A20:G204,7,FALSE)</f>
        <v>0</v>
      </c>
      <c r="H12" s="134">
        <v>0</v>
      </c>
      <c r="I12" s="134">
        <f>VLOOKUP(A12,'ESSA Title IV'!A20:G202,7,FALSE)</f>
        <v>0</v>
      </c>
      <c r="J12" s="134">
        <v>0</v>
      </c>
    </row>
    <row r="13" spans="1:10" ht="18.75" x14ac:dyDescent="0.3">
      <c r="A13" s="249" t="s">
        <v>15</v>
      </c>
      <c r="B13" s="55" t="s">
        <v>193</v>
      </c>
      <c r="C13" s="134">
        <f>VLOOKUP(A13,'ESSA Title I-A Formula'!A21:G203,7,FALSE)</f>
        <v>0</v>
      </c>
      <c r="D13" s="134">
        <v>0</v>
      </c>
      <c r="E13" s="134">
        <v>0</v>
      </c>
      <c r="F13" s="134">
        <f>VLOOKUP(A13,'ESSA Title II-A Formula'!A21:G203,7,FALSE)</f>
        <v>0</v>
      </c>
      <c r="G13" s="134">
        <f>VLOOKUP(A13,'ESSA Title III-ELL '!A21:G205,7,FALSE)</f>
        <v>0</v>
      </c>
      <c r="H13" s="134">
        <v>0</v>
      </c>
      <c r="I13" s="134">
        <f>VLOOKUP(A13,'ESSA Title IV'!A21:G203,7,FALSE)</f>
        <v>0</v>
      </c>
      <c r="J13" s="134">
        <v>0</v>
      </c>
    </row>
    <row r="14" spans="1:10" ht="18.75" x14ac:dyDescent="0.3">
      <c r="A14" s="249" t="s">
        <v>16</v>
      </c>
      <c r="B14" s="55" t="s">
        <v>194</v>
      </c>
      <c r="C14" s="134">
        <f>VLOOKUP(A14,'ESSA Title I-A Formula'!A22:G204,7,FALSE)</f>
        <v>0</v>
      </c>
      <c r="D14" s="134">
        <v>0</v>
      </c>
      <c r="E14" s="134">
        <v>0</v>
      </c>
      <c r="F14" s="134">
        <f>VLOOKUP(A14,'ESSA Title II-A Formula'!A22:G204,7,FALSE)</f>
        <v>0</v>
      </c>
      <c r="G14" s="134">
        <f>VLOOKUP(A14,'ESSA Title III-ELL '!A22:G206,7,FALSE)</f>
        <v>0</v>
      </c>
      <c r="H14" s="134">
        <f>'ESSA Title III SAI'!G15</f>
        <v>0</v>
      </c>
      <c r="I14" s="134">
        <f>VLOOKUP(A14,'ESSA Title IV'!A22:G204,7,FALSE)</f>
        <v>0</v>
      </c>
      <c r="J14" s="134">
        <v>0</v>
      </c>
    </row>
    <row r="15" spans="1:10" ht="18.75" x14ac:dyDescent="0.3">
      <c r="A15" s="249" t="s">
        <v>17</v>
      </c>
      <c r="B15" s="55" t="s">
        <v>195</v>
      </c>
      <c r="C15" s="134">
        <f>VLOOKUP(A15,'ESSA Title I-A Formula'!A23:G205,7,FALSE)</f>
        <v>0</v>
      </c>
      <c r="D15" s="134">
        <v>0</v>
      </c>
      <c r="E15" s="134">
        <v>0</v>
      </c>
      <c r="F15" s="134">
        <f>VLOOKUP(A15,'ESSA Title II-A Formula'!A23:G205,7,FALSE)</f>
        <v>0</v>
      </c>
      <c r="G15" s="134">
        <f>VLOOKUP(A15,'ESSA Title III-ELL '!A23:G207,7,FALSE)</f>
        <v>0</v>
      </c>
      <c r="H15" s="134">
        <f>'ESSA Title III SAI'!G16</f>
        <v>0</v>
      </c>
      <c r="I15" s="134">
        <f>VLOOKUP(A15,'ESSA Title IV'!A23:G205,7,FALSE)</f>
        <v>0</v>
      </c>
      <c r="J15" s="134">
        <v>0</v>
      </c>
    </row>
    <row r="16" spans="1:10" ht="18.75" x14ac:dyDescent="0.3">
      <c r="A16" s="249" t="s">
        <v>18</v>
      </c>
      <c r="B16" s="55" t="s">
        <v>196</v>
      </c>
      <c r="C16" s="134">
        <f>VLOOKUP(A16,'ESSA Title I-A Formula'!A24:G206,7,FALSE)</f>
        <v>0</v>
      </c>
      <c r="D16" s="134">
        <v>0</v>
      </c>
      <c r="E16" s="134">
        <v>0</v>
      </c>
      <c r="F16" s="134">
        <f>VLOOKUP(A16,'ESSA Title II-A Formula'!A24:G206,7,FALSE)</f>
        <v>0</v>
      </c>
      <c r="G16" s="134">
        <f>VLOOKUP(A16,'ESSA Title III-ELL '!A24:G208,7,FALSE)</f>
        <v>0</v>
      </c>
      <c r="H16" s="134">
        <v>0</v>
      </c>
      <c r="I16" s="134">
        <f>VLOOKUP(A16,'ESSA Title IV'!A24:G206,7,FALSE)</f>
        <v>0</v>
      </c>
      <c r="J16" s="134">
        <v>0</v>
      </c>
    </row>
    <row r="17" spans="1:10" ht="18.75" x14ac:dyDescent="0.3">
      <c r="A17" s="249" t="s">
        <v>19</v>
      </c>
      <c r="B17" s="55" t="s">
        <v>197</v>
      </c>
      <c r="C17" s="134">
        <f>VLOOKUP(A17,'ESSA Title I-A Formula'!A25:G207,7,FALSE)</f>
        <v>0</v>
      </c>
      <c r="D17" s="134">
        <v>0</v>
      </c>
      <c r="E17" s="134">
        <v>0</v>
      </c>
      <c r="F17" s="134">
        <f>VLOOKUP(A17,'ESSA Title II-A Formula'!A25:G207,7,FALSE)</f>
        <v>0</v>
      </c>
      <c r="G17" s="134">
        <f>VLOOKUP(A17,'ESSA Title III-ELL '!A25:G209,7,FALSE)</f>
        <v>0</v>
      </c>
      <c r="H17" s="134">
        <v>0</v>
      </c>
      <c r="I17" s="134">
        <f>VLOOKUP(A17,'ESSA Title IV'!A25:G207,7,FALSE)</f>
        <v>0</v>
      </c>
      <c r="J17" s="134">
        <v>0</v>
      </c>
    </row>
    <row r="18" spans="1:10" ht="18.75" x14ac:dyDescent="0.3">
      <c r="A18" s="249" t="s">
        <v>20</v>
      </c>
      <c r="B18" s="55" t="s">
        <v>198</v>
      </c>
      <c r="C18" s="134">
        <f>VLOOKUP(A18,'ESSA Title I-A Formula'!A26:G208,7,FALSE)</f>
        <v>0</v>
      </c>
      <c r="D18" s="134">
        <f>'ESSA Title I-Delinquent'!G13</f>
        <v>4286.0299999999988</v>
      </c>
      <c r="E18" s="134">
        <v>0</v>
      </c>
      <c r="F18" s="134">
        <f>VLOOKUP(A18,'ESSA Title II-A Formula'!A26:G208,7,FALSE)</f>
        <v>0</v>
      </c>
      <c r="G18" s="134">
        <f>VLOOKUP(A18,'ESSA Title III-ELL '!A26:G210,7,FALSE)</f>
        <v>0</v>
      </c>
      <c r="H18" s="134">
        <f>'ESSA Title III SAI'!G17</f>
        <v>15888.720000000001</v>
      </c>
      <c r="I18" s="134">
        <f>VLOOKUP(A18,'ESSA Title IV'!A26:G208,7,FALSE)</f>
        <v>0</v>
      </c>
      <c r="J18" s="134">
        <v>0</v>
      </c>
    </row>
    <row r="19" spans="1:10" ht="18.75" x14ac:dyDescent="0.3">
      <c r="A19" s="249" t="s">
        <v>21</v>
      </c>
      <c r="B19" s="55" t="s">
        <v>199</v>
      </c>
      <c r="C19" s="134">
        <f>VLOOKUP(A19,'ESSA Title I-A Formula'!A27:G209,7,FALSE)</f>
        <v>0</v>
      </c>
      <c r="D19" s="134">
        <v>0</v>
      </c>
      <c r="E19" s="134">
        <v>0</v>
      </c>
      <c r="F19" s="134">
        <f>VLOOKUP(A19,'ESSA Title II-A Formula'!A27:G209,7,FALSE)</f>
        <v>0</v>
      </c>
      <c r="G19" s="134">
        <f>VLOOKUP(A19,'ESSA Title III-ELL '!A27:G211,7,FALSE)</f>
        <v>0</v>
      </c>
      <c r="H19" s="134">
        <v>0</v>
      </c>
      <c r="I19" s="134">
        <f>VLOOKUP(A19,'ESSA Title IV'!A27:G209,7,FALSE)</f>
        <v>0</v>
      </c>
      <c r="J19" s="134">
        <v>0</v>
      </c>
    </row>
    <row r="20" spans="1:10" ht="18.75" x14ac:dyDescent="0.3">
      <c r="A20" s="249" t="s">
        <v>22</v>
      </c>
      <c r="B20" s="55" t="s">
        <v>200</v>
      </c>
      <c r="C20" s="134">
        <f>VLOOKUP(A20,'ESSA Title I-A Formula'!A28:G210,7,FALSE)</f>
        <v>0</v>
      </c>
      <c r="D20" s="134">
        <v>0</v>
      </c>
      <c r="E20" s="134">
        <v>0</v>
      </c>
      <c r="F20" s="134">
        <f>VLOOKUP(A20,'ESSA Title II-A Formula'!A28:G210,7,FALSE)</f>
        <v>0</v>
      </c>
      <c r="G20" s="134">
        <f>VLOOKUP(A20,'ESSA Title III-ELL '!A28:G212,7,FALSE)</f>
        <v>0</v>
      </c>
      <c r="H20" s="134">
        <v>0</v>
      </c>
      <c r="I20" s="134">
        <f>VLOOKUP(A20,'ESSA Title IV'!A28:G210,7,FALSE)</f>
        <v>0</v>
      </c>
      <c r="J20" s="134">
        <f>VLOOKUP(A20,'ESSA Title V-B'!$A$12:$G$31,7,FALSE)</f>
        <v>0</v>
      </c>
    </row>
    <row r="21" spans="1:10" ht="18.75" x14ac:dyDescent="0.3">
      <c r="A21" s="249" t="s">
        <v>23</v>
      </c>
      <c r="B21" s="55" t="s">
        <v>201</v>
      </c>
      <c r="C21" s="134">
        <f>VLOOKUP(A21,'ESSA Title I-A Formula'!A29:G211,7,FALSE)</f>
        <v>0</v>
      </c>
      <c r="D21" s="134">
        <v>0</v>
      </c>
      <c r="E21" s="134">
        <v>0</v>
      </c>
      <c r="F21" s="134">
        <f>VLOOKUP(A21,'ESSA Title II-A Formula'!A29:G211,7,FALSE)</f>
        <v>0</v>
      </c>
      <c r="G21" s="134">
        <f>VLOOKUP(A21,'ESSA Title III-ELL '!A29:G213,7,FALSE)</f>
        <v>0</v>
      </c>
      <c r="H21" s="134">
        <v>0</v>
      </c>
      <c r="I21" s="134">
        <f>VLOOKUP(A21,'ESSA Title IV'!A29:G211,7,FALSE)</f>
        <v>0</v>
      </c>
      <c r="J21" s="134">
        <v>0</v>
      </c>
    </row>
    <row r="22" spans="1:10" ht="18.75" x14ac:dyDescent="0.3">
      <c r="A22" s="249" t="s">
        <v>24</v>
      </c>
      <c r="B22" s="55" t="s">
        <v>202</v>
      </c>
      <c r="C22" s="134">
        <f>VLOOKUP(A22,'ESSA Title I-A Formula'!A30:G212,7,FALSE)</f>
        <v>0</v>
      </c>
      <c r="D22" s="134">
        <v>0</v>
      </c>
      <c r="E22" s="134">
        <v>0</v>
      </c>
      <c r="F22" s="134">
        <f>VLOOKUP(A22,'ESSA Title II-A Formula'!A30:G212,7,FALSE)</f>
        <v>0</v>
      </c>
      <c r="G22" s="134">
        <f>VLOOKUP(A22,'ESSA Title III-ELL '!A30:G214,7,FALSE)</f>
        <v>0</v>
      </c>
      <c r="H22" s="134">
        <v>0</v>
      </c>
      <c r="I22" s="134">
        <f>VLOOKUP(A22,'ESSA Title IV'!A30:G212,7,FALSE)</f>
        <v>0</v>
      </c>
      <c r="J22" s="134">
        <v>0</v>
      </c>
    </row>
    <row r="23" spans="1:10" ht="18.75" x14ac:dyDescent="0.3">
      <c r="A23" s="249" t="s">
        <v>25</v>
      </c>
      <c r="B23" s="55" t="s">
        <v>203</v>
      </c>
      <c r="C23" s="134">
        <f>VLOOKUP(A23,'ESSA Title I-A Formula'!A31:G213,7,FALSE)</f>
        <v>0</v>
      </c>
      <c r="D23" s="134">
        <v>0</v>
      </c>
      <c r="E23" s="134">
        <v>0</v>
      </c>
      <c r="F23" s="134">
        <f>VLOOKUP(A23,'ESSA Title II-A Formula'!A31:G213,7,FALSE)</f>
        <v>0</v>
      </c>
      <c r="G23" s="134">
        <f>VLOOKUP(A23,'ESSA Title III-ELL '!A31:G215,7,FALSE)</f>
        <v>0</v>
      </c>
      <c r="H23" s="134">
        <v>0</v>
      </c>
      <c r="I23" s="134">
        <f>VLOOKUP(A23,'ESSA Title IV'!A31:G213,7,FALSE)</f>
        <v>0</v>
      </c>
      <c r="J23" s="134">
        <v>0</v>
      </c>
    </row>
    <row r="24" spans="1:10" ht="18.75" x14ac:dyDescent="0.3">
      <c r="A24" s="249" t="s">
        <v>26</v>
      </c>
      <c r="B24" s="55" t="s">
        <v>204</v>
      </c>
      <c r="C24" s="134">
        <f>VLOOKUP(A24,'ESSA Title I-A Formula'!A32:G214,7,FALSE)</f>
        <v>0</v>
      </c>
      <c r="D24" s="134">
        <v>0</v>
      </c>
      <c r="E24" s="134">
        <v>0</v>
      </c>
      <c r="F24" s="134">
        <f>VLOOKUP(A24,'ESSA Title II-A Formula'!A32:G214,7,FALSE)</f>
        <v>0</v>
      </c>
      <c r="G24" s="134">
        <f>VLOOKUP(A24,'ESSA Title III-ELL '!A32:G216,7,FALSE)</f>
        <v>0</v>
      </c>
      <c r="H24" s="134">
        <v>0</v>
      </c>
      <c r="I24" s="134">
        <f>VLOOKUP(A24,'ESSA Title IV'!A32:G214,7,FALSE)</f>
        <v>0</v>
      </c>
      <c r="J24" s="134">
        <v>0</v>
      </c>
    </row>
    <row r="25" spans="1:10" ht="18.75" x14ac:dyDescent="0.3">
      <c r="A25" s="249" t="s">
        <v>27</v>
      </c>
      <c r="B25" s="55" t="s">
        <v>205</v>
      </c>
      <c r="C25" s="134">
        <f>VLOOKUP(A25,'ESSA Title I-A Formula'!A33:G215,7,FALSE)</f>
        <v>0</v>
      </c>
      <c r="D25" s="134">
        <v>0</v>
      </c>
      <c r="E25" s="134">
        <v>0</v>
      </c>
      <c r="F25" s="134">
        <f>VLOOKUP(A25,'ESSA Title II-A Formula'!A33:G215,7,FALSE)</f>
        <v>0</v>
      </c>
      <c r="G25" s="134">
        <f>VLOOKUP(A25,'ESSA Title III-ELL '!A33:G217,7,FALSE)</f>
        <v>0</v>
      </c>
      <c r="H25" s="134">
        <v>0</v>
      </c>
      <c r="I25" s="134">
        <f>VLOOKUP(A25,'ESSA Title IV'!A33:G215,7,FALSE)</f>
        <v>0</v>
      </c>
      <c r="J25" s="134">
        <v>0</v>
      </c>
    </row>
    <row r="26" spans="1:10" ht="18.75" x14ac:dyDescent="0.3">
      <c r="A26" s="249" t="s">
        <v>28</v>
      </c>
      <c r="B26" s="55" t="s">
        <v>206</v>
      </c>
      <c r="C26" s="134">
        <f>VLOOKUP(A26,'ESSA Title I-A Formula'!A34:G216,7,FALSE)</f>
        <v>0</v>
      </c>
      <c r="D26" s="134">
        <v>0</v>
      </c>
      <c r="E26" s="134">
        <v>0</v>
      </c>
      <c r="F26" s="134">
        <f>VLOOKUP(A26,'ESSA Title II-A Formula'!A34:G216,7,FALSE)</f>
        <v>0</v>
      </c>
      <c r="G26" s="134">
        <f>VLOOKUP(A26,'ESSA Title III-ELL '!A34:G218,7,FALSE)</f>
        <v>0</v>
      </c>
      <c r="H26" s="134">
        <v>0</v>
      </c>
      <c r="I26" s="134">
        <f>VLOOKUP(A26,'ESSA Title IV'!A34:G216,7,FALSE)</f>
        <v>0</v>
      </c>
      <c r="J26" s="134">
        <f>VLOOKUP(A26,'ESSA Title V-B'!$A$12:$G$31,7,FALSE)</f>
        <v>0</v>
      </c>
    </row>
    <row r="27" spans="1:10" ht="18.75" x14ac:dyDescent="0.3">
      <c r="A27" s="249" t="s">
        <v>29</v>
      </c>
      <c r="B27" s="55" t="s">
        <v>207</v>
      </c>
      <c r="C27" s="134">
        <f>VLOOKUP(A27,'ESSA Title I-A Formula'!A35:G217,7,FALSE)</f>
        <v>0</v>
      </c>
      <c r="D27" s="134">
        <v>0</v>
      </c>
      <c r="E27" s="134">
        <v>0</v>
      </c>
      <c r="F27" s="134">
        <f>VLOOKUP(A27,'ESSA Title II-A Formula'!A35:G217,7,FALSE)</f>
        <v>0</v>
      </c>
      <c r="G27" s="134">
        <f>VLOOKUP(A27,'ESSA Title III-ELL '!A35:G219,7,FALSE)</f>
        <v>0</v>
      </c>
      <c r="H27" s="134">
        <v>0</v>
      </c>
      <c r="I27" s="134">
        <f>VLOOKUP(A27,'ESSA Title IV'!A35:G217,7,FALSE)</f>
        <v>0</v>
      </c>
      <c r="J27" s="134">
        <v>0</v>
      </c>
    </row>
    <row r="28" spans="1:10" ht="18.75" x14ac:dyDescent="0.3">
      <c r="A28" s="249" t="s">
        <v>30</v>
      </c>
      <c r="B28" s="55" t="s">
        <v>208</v>
      </c>
      <c r="C28" s="134">
        <f>VLOOKUP(A28,'ESSA Title I-A Formula'!A36:G218,7,FALSE)</f>
        <v>0</v>
      </c>
      <c r="D28" s="134">
        <v>0</v>
      </c>
      <c r="E28" s="134">
        <v>0</v>
      </c>
      <c r="F28" s="134">
        <f>VLOOKUP(A28,'ESSA Title II-A Formula'!A36:G218,7,FALSE)</f>
        <v>0</v>
      </c>
      <c r="G28" s="134">
        <f>VLOOKUP(A28,'ESSA Title III-ELL '!A36:G220,7,FALSE)</f>
        <v>0</v>
      </c>
      <c r="H28" s="134">
        <v>0</v>
      </c>
      <c r="I28" s="134">
        <f>VLOOKUP(A28,'ESSA Title IV'!A36:G218,7,FALSE)</f>
        <v>0</v>
      </c>
      <c r="J28" s="134">
        <v>0</v>
      </c>
    </row>
    <row r="29" spans="1:10" ht="18.75" x14ac:dyDescent="0.3">
      <c r="A29" s="249" t="s">
        <v>31</v>
      </c>
      <c r="B29" s="55" t="s">
        <v>209</v>
      </c>
      <c r="C29" s="134">
        <f>VLOOKUP(A29,'ESSA Title I-A Formula'!A37:G219,7,FALSE)</f>
        <v>0</v>
      </c>
      <c r="D29" s="134">
        <v>0</v>
      </c>
      <c r="E29" s="134">
        <v>0</v>
      </c>
      <c r="F29" s="134">
        <f>VLOOKUP(A29,'ESSA Title II-A Formula'!A37:G219,7,FALSE)</f>
        <v>0</v>
      </c>
      <c r="G29" s="134">
        <f>VLOOKUP(A29,'ESSA Title III-ELL '!A37:G221,7,FALSE)</f>
        <v>0</v>
      </c>
      <c r="H29" s="134">
        <v>0</v>
      </c>
      <c r="I29" s="134">
        <f>VLOOKUP(A29,'ESSA Title IV'!A37:G219,7,FALSE)</f>
        <v>0</v>
      </c>
      <c r="J29" s="134">
        <v>0</v>
      </c>
    </row>
    <row r="30" spans="1:10" ht="18.75" x14ac:dyDescent="0.3">
      <c r="A30" s="249" t="s">
        <v>32</v>
      </c>
      <c r="B30" s="55" t="s">
        <v>210</v>
      </c>
      <c r="C30" s="134">
        <f>VLOOKUP(A30,'ESSA Title I-A Formula'!A38:G220,7,FALSE)</f>
        <v>0</v>
      </c>
      <c r="D30" s="134">
        <v>0</v>
      </c>
      <c r="E30" s="134">
        <v>0</v>
      </c>
      <c r="F30" s="134">
        <f>VLOOKUP(A30,'ESSA Title II-A Formula'!A38:G220,7,FALSE)</f>
        <v>0</v>
      </c>
      <c r="G30" s="134">
        <f>VLOOKUP(A30,'ESSA Title III-ELL '!A38:G222,7,FALSE)</f>
        <v>0</v>
      </c>
      <c r="H30" s="134">
        <v>0</v>
      </c>
      <c r="I30" s="134">
        <f>VLOOKUP(A30,'ESSA Title IV'!A38:G220,7,FALSE)</f>
        <v>0</v>
      </c>
      <c r="J30" s="134">
        <v>0</v>
      </c>
    </row>
    <row r="31" spans="1:10" ht="18.75" x14ac:dyDescent="0.3">
      <c r="A31" s="249" t="s">
        <v>33</v>
      </c>
      <c r="B31" s="55" t="s">
        <v>211</v>
      </c>
      <c r="C31" s="134">
        <f>VLOOKUP(A31,'ESSA Title I-A Formula'!A39:G221,7,FALSE)</f>
        <v>0</v>
      </c>
      <c r="D31" s="134">
        <v>0</v>
      </c>
      <c r="E31" s="134">
        <v>0</v>
      </c>
      <c r="F31" s="134">
        <f>VLOOKUP(A31,'ESSA Title II-A Formula'!A39:G221,7,FALSE)</f>
        <v>0</v>
      </c>
      <c r="G31" s="134">
        <f>VLOOKUP(A31,'ESSA Title III-ELL '!A39:G223,7,FALSE)</f>
        <v>0</v>
      </c>
      <c r="H31" s="134">
        <v>0</v>
      </c>
      <c r="I31" s="134">
        <f>VLOOKUP(A31,'ESSA Title IV'!A39:G221,7,FALSE)</f>
        <v>0</v>
      </c>
      <c r="J31" s="134">
        <v>0</v>
      </c>
    </row>
    <row r="32" spans="1:10" ht="18.75" x14ac:dyDescent="0.3">
      <c r="A32" s="249" t="s">
        <v>34</v>
      </c>
      <c r="B32" s="55" t="s">
        <v>212</v>
      </c>
      <c r="C32" s="134">
        <f>VLOOKUP(A32,'ESSA Title I-A Formula'!A40:G222,7,FALSE)</f>
        <v>0</v>
      </c>
      <c r="D32" s="134">
        <v>0</v>
      </c>
      <c r="E32" s="134">
        <v>0</v>
      </c>
      <c r="F32" s="134">
        <f>VLOOKUP(A32,'ESSA Title II-A Formula'!A40:G222,7,FALSE)</f>
        <v>0</v>
      </c>
      <c r="G32" s="134">
        <f>VLOOKUP(A32,'ESSA Title III-ELL '!A40:G224,7,FALSE)</f>
        <v>0</v>
      </c>
      <c r="H32" s="134">
        <v>0</v>
      </c>
      <c r="I32" s="134">
        <f>VLOOKUP(A32,'ESSA Title IV'!A40:G222,7,FALSE)</f>
        <v>0</v>
      </c>
      <c r="J32" s="134">
        <v>0</v>
      </c>
    </row>
    <row r="33" spans="1:10" ht="18.75" x14ac:dyDescent="0.3">
      <c r="A33" s="249" t="s">
        <v>35</v>
      </c>
      <c r="B33" s="55" t="s">
        <v>213</v>
      </c>
      <c r="C33" s="134">
        <f>VLOOKUP(A33,'ESSA Title I-A Formula'!A41:G223,7,FALSE)</f>
        <v>0</v>
      </c>
      <c r="D33" s="134">
        <v>0</v>
      </c>
      <c r="E33" s="134">
        <v>0</v>
      </c>
      <c r="F33" s="134">
        <f>VLOOKUP(A33,'ESSA Title II-A Formula'!A41:G223,7,FALSE)</f>
        <v>0</v>
      </c>
      <c r="G33" s="134">
        <f>VLOOKUP(A33,'ESSA Title III-ELL '!A41:G225,7,FALSE)</f>
        <v>0</v>
      </c>
      <c r="H33" s="134">
        <v>0</v>
      </c>
      <c r="I33" s="134">
        <f>VLOOKUP(A33,'ESSA Title IV'!A41:G223,7,FALSE)</f>
        <v>0</v>
      </c>
      <c r="J33" s="134">
        <v>0</v>
      </c>
    </row>
    <row r="34" spans="1:10" ht="18.75" x14ac:dyDescent="0.3">
      <c r="A34" s="249" t="s">
        <v>36</v>
      </c>
      <c r="B34" s="55" t="s">
        <v>214</v>
      </c>
      <c r="C34" s="134">
        <f>VLOOKUP(A34,'ESSA Title I-A Formula'!A42:G224,7,FALSE)</f>
        <v>0</v>
      </c>
      <c r="D34" s="134">
        <v>0</v>
      </c>
      <c r="E34" s="134">
        <v>0</v>
      </c>
      <c r="F34" s="134">
        <f>VLOOKUP(A34,'ESSA Title II-A Formula'!A42:G224,7,FALSE)</f>
        <v>0</v>
      </c>
      <c r="G34" s="134">
        <f>VLOOKUP(A34,'ESSA Title III-ELL '!A42:G226,7,FALSE)</f>
        <v>0</v>
      </c>
      <c r="H34" s="134">
        <v>0</v>
      </c>
      <c r="I34" s="134">
        <f>VLOOKUP(A34,'ESSA Title IV'!A42:G224,7,FALSE)</f>
        <v>0</v>
      </c>
      <c r="J34" s="134">
        <v>0</v>
      </c>
    </row>
    <row r="35" spans="1:10" ht="18.75" x14ac:dyDescent="0.3">
      <c r="A35" s="249" t="s">
        <v>37</v>
      </c>
      <c r="B35" s="55" t="s">
        <v>215</v>
      </c>
      <c r="C35" s="134">
        <f>VLOOKUP(A35,'ESSA Title I-A Formula'!A43:G225,7,FALSE)</f>
        <v>0</v>
      </c>
      <c r="D35" s="134">
        <v>0</v>
      </c>
      <c r="E35" s="134">
        <v>0</v>
      </c>
      <c r="F35" s="134">
        <f>VLOOKUP(A35,'ESSA Title II-A Formula'!A43:G225,7,FALSE)</f>
        <v>0</v>
      </c>
      <c r="G35" s="134">
        <f>VLOOKUP(A35,'ESSA Title III-ELL '!A43:G227,7,FALSE)</f>
        <v>0</v>
      </c>
      <c r="H35" s="134">
        <v>0</v>
      </c>
      <c r="I35" s="134">
        <f>VLOOKUP(A35,'ESSA Title IV'!A43:G225,7,FALSE)</f>
        <v>0</v>
      </c>
      <c r="J35" s="134">
        <v>0</v>
      </c>
    </row>
    <row r="36" spans="1:10" ht="18.75" x14ac:dyDescent="0.3">
      <c r="A36" s="249" t="s">
        <v>38</v>
      </c>
      <c r="B36" s="55" t="s">
        <v>216</v>
      </c>
      <c r="C36" s="134">
        <f>VLOOKUP(A36,'ESSA Title I-A Formula'!A44:G226,7,FALSE)</f>
        <v>0</v>
      </c>
      <c r="D36" s="134">
        <v>0</v>
      </c>
      <c r="E36" s="134">
        <v>0</v>
      </c>
      <c r="F36" s="134">
        <f>VLOOKUP(A36,'ESSA Title II-A Formula'!A44:G226,7,FALSE)</f>
        <v>0</v>
      </c>
      <c r="G36" s="134">
        <f>VLOOKUP(A36,'ESSA Title III-ELL '!A44:G228,7,FALSE)</f>
        <v>0</v>
      </c>
      <c r="H36" s="134">
        <v>0</v>
      </c>
      <c r="I36" s="134">
        <f>VLOOKUP(A36,'ESSA Title IV'!A44:G226,7,FALSE)</f>
        <v>0</v>
      </c>
      <c r="J36" s="134">
        <v>0</v>
      </c>
    </row>
    <row r="37" spans="1:10" ht="18.75" x14ac:dyDescent="0.3">
      <c r="A37" s="249" t="s">
        <v>39</v>
      </c>
      <c r="B37" s="55" t="s">
        <v>217</v>
      </c>
      <c r="C37" s="134">
        <f>VLOOKUP(A37,'ESSA Title I-A Formula'!A45:G227,7,FALSE)</f>
        <v>0</v>
      </c>
      <c r="D37" s="134">
        <v>0</v>
      </c>
      <c r="E37" s="134">
        <v>0</v>
      </c>
      <c r="F37" s="134">
        <f>VLOOKUP(A37,'ESSA Title II-A Formula'!A45:G227,7,FALSE)</f>
        <v>0</v>
      </c>
      <c r="G37" s="134">
        <f>VLOOKUP(A37,'ESSA Title III-ELL '!A45:G229,7,FALSE)</f>
        <v>0</v>
      </c>
      <c r="H37" s="134">
        <v>0</v>
      </c>
      <c r="I37" s="134">
        <f>VLOOKUP(A37,'ESSA Title IV'!A45:G227,7,FALSE)</f>
        <v>0</v>
      </c>
      <c r="J37" s="134">
        <f>VLOOKUP(A37,'ESSA Title V-B'!$A$12:$G$31,7,FALSE)</f>
        <v>0</v>
      </c>
    </row>
    <row r="38" spans="1:10" ht="18.75" x14ac:dyDescent="0.3">
      <c r="A38" s="249" t="s">
        <v>40</v>
      </c>
      <c r="B38" s="55" t="s">
        <v>218</v>
      </c>
      <c r="C38" s="134">
        <f>VLOOKUP(A38,'ESSA Title I-A Formula'!A46:G228,7,FALSE)</f>
        <v>0</v>
      </c>
      <c r="D38" s="134">
        <v>0</v>
      </c>
      <c r="E38" s="134">
        <v>0</v>
      </c>
      <c r="F38" s="134">
        <f>VLOOKUP(A38,'ESSA Title II-A Formula'!A46:G228,7,FALSE)</f>
        <v>0</v>
      </c>
      <c r="G38" s="134">
        <f>VLOOKUP(A38,'ESSA Title III-ELL '!A46:G230,7,FALSE)</f>
        <v>0</v>
      </c>
      <c r="H38" s="134">
        <v>0</v>
      </c>
      <c r="I38" s="134">
        <f>VLOOKUP(A38,'ESSA Title IV'!A46:G228,7,FALSE)</f>
        <v>0</v>
      </c>
      <c r="J38" s="134">
        <f>VLOOKUP(A38,'ESSA Title V-B'!$A$12:$G$31,7,FALSE)</f>
        <v>0</v>
      </c>
    </row>
    <row r="39" spans="1:10" ht="18.75" x14ac:dyDescent="0.3">
      <c r="A39" s="249" t="s">
        <v>41</v>
      </c>
      <c r="B39" s="55" t="s">
        <v>219</v>
      </c>
      <c r="C39" s="134">
        <f>VLOOKUP(A39,'ESSA Title I-A Formula'!A47:G229,7,FALSE)</f>
        <v>0</v>
      </c>
      <c r="D39" s="134">
        <v>0</v>
      </c>
      <c r="E39" s="134">
        <v>0</v>
      </c>
      <c r="F39" s="134">
        <f>VLOOKUP(A39,'ESSA Title II-A Formula'!A47:G229,7,FALSE)</f>
        <v>0</v>
      </c>
      <c r="G39" s="134">
        <f>VLOOKUP(A39,'ESSA Title III-ELL '!A47:G231,7,FALSE)</f>
        <v>0</v>
      </c>
      <c r="H39" s="134">
        <v>0</v>
      </c>
      <c r="I39" s="134">
        <f>VLOOKUP(A39,'ESSA Title IV'!A47:G229,7,FALSE)</f>
        <v>0</v>
      </c>
      <c r="J39" s="134">
        <v>0</v>
      </c>
    </row>
    <row r="40" spans="1:10" ht="18.75" x14ac:dyDescent="0.3">
      <c r="A40" s="249" t="s">
        <v>42</v>
      </c>
      <c r="B40" s="55" t="s">
        <v>220</v>
      </c>
      <c r="C40" s="134">
        <f>VLOOKUP(A40,'ESSA Title I-A Formula'!A48:G230,7,FALSE)</f>
        <v>0</v>
      </c>
      <c r="D40" s="134">
        <v>0</v>
      </c>
      <c r="E40" s="134">
        <v>0</v>
      </c>
      <c r="F40" s="134">
        <f>VLOOKUP(A40,'ESSA Title II-A Formula'!A48:G230,7,FALSE)</f>
        <v>0</v>
      </c>
      <c r="G40" s="134">
        <f>VLOOKUP(A40,'ESSA Title III-ELL '!A48:G232,7,FALSE)</f>
        <v>0</v>
      </c>
      <c r="H40" s="134">
        <v>0</v>
      </c>
      <c r="I40" s="134">
        <f>VLOOKUP(A40,'ESSA Title IV'!A48:G230,7,FALSE)</f>
        <v>0</v>
      </c>
      <c r="J40" s="134">
        <v>0</v>
      </c>
    </row>
    <row r="41" spans="1:10" ht="18.75" x14ac:dyDescent="0.3">
      <c r="A41" s="249" t="s">
        <v>43</v>
      </c>
      <c r="B41" s="55" t="s">
        <v>221</v>
      </c>
      <c r="C41" s="134">
        <f>VLOOKUP(A41,'ESSA Title I-A Formula'!A49:G231,7,FALSE)</f>
        <v>0</v>
      </c>
      <c r="D41" s="134">
        <v>0</v>
      </c>
      <c r="E41" s="134">
        <v>0</v>
      </c>
      <c r="F41" s="134">
        <f>VLOOKUP(A41,'ESSA Title II-A Formula'!A49:G231,7,FALSE)</f>
        <v>0</v>
      </c>
      <c r="G41" s="134">
        <f>VLOOKUP(A41,'ESSA Title III-ELL '!A49:G233,7,FALSE)</f>
        <v>0</v>
      </c>
      <c r="H41" s="134">
        <v>0</v>
      </c>
      <c r="I41" s="134">
        <f>VLOOKUP(A41,'ESSA Title IV'!A49:G231,7,FALSE)</f>
        <v>0</v>
      </c>
      <c r="J41" s="134">
        <v>0</v>
      </c>
    </row>
    <row r="42" spans="1:10" ht="18.75" x14ac:dyDescent="0.3">
      <c r="A42" s="249" t="s">
        <v>44</v>
      </c>
      <c r="B42" s="55" t="s">
        <v>222</v>
      </c>
      <c r="C42" s="134">
        <f>VLOOKUP(A42,'ESSA Title I-A Formula'!A50:G232,7,FALSE)</f>
        <v>0</v>
      </c>
      <c r="D42" s="134">
        <v>0</v>
      </c>
      <c r="E42" s="134">
        <v>0</v>
      </c>
      <c r="F42" s="134">
        <f>VLOOKUP(A42,'ESSA Title II-A Formula'!A50:G232,7,FALSE)</f>
        <v>0</v>
      </c>
      <c r="G42" s="134">
        <f>VLOOKUP(A42,'ESSA Title III-ELL '!A50:G234,7,FALSE)</f>
        <v>0</v>
      </c>
      <c r="H42" s="134">
        <v>0</v>
      </c>
      <c r="I42" s="134">
        <f>VLOOKUP(A42,'ESSA Title IV'!A50:G232,7,FALSE)</f>
        <v>0</v>
      </c>
      <c r="J42" s="134">
        <f>VLOOKUP(A42,'ESSA Title V-B'!$A$12:$G$31,7,FALSE)</f>
        <v>0</v>
      </c>
    </row>
    <row r="43" spans="1:10" ht="18.75" x14ac:dyDescent="0.3">
      <c r="A43" s="249" t="s">
        <v>45</v>
      </c>
      <c r="B43" s="55" t="s">
        <v>223</v>
      </c>
      <c r="C43" s="134">
        <f>VLOOKUP(A43,'ESSA Title I-A Formula'!A51:G233,7,FALSE)</f>
        <v>0</v>
      </c>
      <c r="D43" s="134">
        <f>'ESSA Title I-Delinquent'!G14</f>
        <v>0</v>
      </c>
      <c r="E43" s="134">
        <v>0</v>
      </c>
      <c r="F43" s="134">
        <f>VLOOKUP(A43,'ESSA Title II-A Formula'!A51:G233,7,FALSE)</f>
        <v>0</v>
      </c>
      <c r="G43" s="134">
        <f>VLOOKUP(A43,'ESSA Title III-ELL '!A51:G235,7,FALSE)</f>
        <v>0</v>
      </c>
      <c r="H43" s="134">
        <f>'ESSA Title III SAI'!G19</f>
        <v>0</v>
      </c>
      <c r="I43" s="134">
        <f>VLOOKUP(A43,'ESSA Title IV'!A51:G233,7,FALSE)</f>
        <v>0</v>
      </c>
      <c r="J43" s="134">
        <v>0</v>
      </c>
    </row>
    <row r="44" spans="1:10" ht="18.75" x14ac:dyDescent="0.3">
      <c r="A44" s="249" t="s">
        <v>46</v>
      </c>
      <c r="B44" s="55" t="s">
        <v>224</v>
      </c>
      <c r="C44" s="134">
        <f>VLOOKUP(A44,'ESSA Title I-A Formula'!A52:G234,7,FALSE)</f>
        <v>0</v>
      </c>
      <c r="D44" s="134">
        <v>0</v>
      </c>
      <c r="E44" s="134">
        <v>0</v>
      </c>
      <c r="F44" s="134">
        <f>VLOOKUP(A44,'ESSA Title II-A Formula'!A52:G234,7,FALSE)</f>
        <v>0</v>
      </c>
      <c r="G44" s="134">
        <f>VLOOKUP(A44,'ESSA Title III-ELL '!A52:G236,7,FALSE)</f>
        <v>0</v>
      </c>
      <c r="H44" s="134">
        <v>0</v>
      </c>
      <c r="I44" s="134">
        <f>VLOOKUP(A44,'ESSA Title IV'!A52:G234,7,FALSE)</f>
        <v>0</v>
      </c>
      <c r="J44" s="134">
        <v>0</v>
      </c>
    </row>
    <row r="45" spans="1:10" ht="18.75" x14ac:dyDescent="0.3">
      <c r="A45" s="249" t="s">
        <v>47</v>
      </c>
      <c r="B45" s="55" t="s">
        <v>225</v>
      </c>
      <c r="C45" s="134">
        <f>VLOOKUP(A45,'ESSA Title I-A Formula'!A53:G235,7,FALSE)</f>
        <v>0</v>
      </c>
      <c r="D45" s="134">
        <v>0</v>
      </c>
      <c r="E45" s="134">
        <v>0</v>
      </c>
      <c r="F45" s="134">
        <f>VLOOKUP(A45,'ESSA Title II-A Formula'!A53:G235,7,FALSE)</f>
        <v>0</v>
      </c>
      <c r="G45" s="134">
        <f>VLOOKUP(A45,'ESSA Title III-ELL '!A53:G237,7,FALSE)</f>
        <v>0</v>
      </c>
      <c r="H45" s="134">
        <v>0</v>
      </c>
      <c r="I45" s="134">
        <f>VLOOKUP(A45,'ESSA Title IV'!A53:G235,7,FALSE)</f>
        <v>0</v>
      </c>
      <c r="J45" s="134">
        <v>0</v>
      </c>
    </row>
    <row r="46" spans="1:10" ht="18.75" x14ac:dyDescent="0.3">
      <c r="A46" s="249" t="s">
        <v>48</v>
      </c>
      <c r="B46" s="55" t="s">
        <v>226</v>
      </c>
      <c r="C46" s="134">
        <f>VLOOKUP(A46,'ESSA Title I-A Formula'!A54:G236,7,FALSE)</f>
        <v>0</v>
      </c>
      <c r="D46" s="134">
        <v>0</v>
      </c>
      <c r="E46" s="134">
        <v>0</v>
      </c>
      <c r="F46" s="134">
        <f>VLOOKUP(A46,'ESSA Title II-A Formula'!A54:G236,7,FALSE)</f>
        <v>0</v>
      </c>
      <c r="G46" s="134">
        <f>VLOOKUP(A46,'ESSA Title III-ELL '!A54:G238,7,FALSE)</f>
        <v>0</v>
      </c>
      <c r="H46" s="134">
        <f>'ESSA Title III SAI'!G20</f>
        <v>0</v>
      </c>
      <c r="I46" s="134">
        <f>VLOOKUP(A46,'ESSA Title IV'!A54:G236,7,FALSE)</f>
        <v>0</v>
      </c>
      <c r="J46" s="134">
        <v>0</v>
      </c>
    </row>
    <row r="47" spans="1:10" ht="18.75" x14ac:dyDescent="0.3">
      <c r="A47" s="249" t="s">
        <v>49</v>
      </c>
      <c r="B47" s="55" t="s">
        <v>227</v>
      </c>
      <c r="C47" s="134">
        <f>VLOOKUP(A47,'ESSA Title I-A Formula'!A55:G237,7,FALSE)</f>
        <v>0</v>
      </c>
      <c r="D47" s="134">
        <v>0</v>
      </c>
      <c r="E47" s="134">
        <v>0</v>
      </c>
      <c r="F47" s="134">
        <f>VLOOKUP(A47,'ESSA Title II-A Formula'!A55:G237,7,FALSE)</f>
        <v>0</v>
      </c>
      <c r="G47" s="134">
        <f>VLOOKUP(A47,'ESSA Title III-ELL '!A55:G239,7,FALSE)</f>
        <v>0</v>
      </c>
      <c r="H47" s="134">
        <v>0</v>
      </c>
      <c r="I47" s="134">
        <f>VLOOKUP(A47,'ESSA Title IV'!A55:G237,7,FALSE)</f>
        <v>0</v>
      </c>
      <c r="J47" s="134">
        <v>0</v>
      </c>
    </row>
    <row r="48" spans="1:10" ht="18.75" x14ac:dyDescent="0.3">
      <c r="A48" s="249" t="s">
        <v>50</v>
      </c>
      <c r="B48" s="55" t="s">
        <v>228</v>
      </c>
      <c r="C48" s="134">
        <f>VLOOKUP(A48,'ESSA Title I-A Formula'!A56:G238,7,FALSE)</f>
        <v>0</v>
      </c>
      <c r="D48" s="134">
        <v>0</v>
      </c>
      <c r="E48" s="134">
        <v>0</v>
      </c>
      <c r="F48" s="134">
        <f>VLOOKUP(A48,'ESSA Title II-A Formula'!A56:G238,7,FALSE)</f>
        <v>0</v>
      </c>
      <c r="G48" s="134">
        <f>VLOOKUP(A48,'ESSA Title III-ELL '!A56:G240,7,FALSE)</f>
        <v>0</v>
      </c>
      <c r="H48" s="134">
        <v>0</v>
      </c>
      <c r="I48" s="134">
        <f>VLOOKUP(A48,'ESSA Title IV'!A56:G238,7,FALSE)</f>
        <v>0</v>
      </c>
      <c r="J48" s="134">
        <v>0</v>
      </c>
    </row>
    <row r="49" spans="1:10" ht="18.75" x14ac:dyDescent="0.3">
      <c r="A49" s="249" t="s">
        <v>51</v>
      </c>
      <c r="B49" s="55" t="s">
        <v>229</v>
      </c>
      <c r="C49" s="134">
        <f>VLOOKUP(A49,'ESSA Title I-A Formula'!A57:G239,7,FALSE)</f>
        <v>0</v>
      </c>
      <c r="D49" s="134">
        <v>0</v>
      </c>
      <c r="E49" s="134">
        <v>0</v>
      </c>
      <c r="F49" s="134">
        <f>VLOOKUP(A49,'ESSA Title II-A Formula'!A57:G239,7,FALSE)</f>
        <v>0</v>
      </c>
      <c r="G49" s="134">
        <f>VLOOKUP(A49,'ESSA Title III-ELL '!A57:G241,7,FALSE)</f>
        <v>0</v>
      </c>
      <c r="H49" s="134">
        <v>0</v>
      </c>
      <c r="I49" s="134">
        <f>VLOOKUP(A49,'ESSA Title IV'!A57:G239,7,FALSE)</f>
        <v>0</v>
      </c>
      <c r="J49" s="134">
        <v>0</v>
      </c>
    </row>
    <row r="50" spans="1:10" ht="18.75" x14ac:dyDescent="0.3">
      <c r="A50" s="249" t="s">
        <v>52</v>
      </c>
      <c r="B50" s="55" t="s">
        <v>230</v>
      </c>
      <c r="C50" s="134">
        <f>VLOOKUP(A50,'ESSA Title I-A Formula'!A58:G240,7,FALSE)</f>
        <v>0</v>
      </c>
      <c r="D50" s="134">
        <v>0</v>
      </c>
      <c r="E50" s="134">
        <v>0</v>
      </c>
      <c r="F50" s="134">
        <f>VLOOKUP(A50,'ESSA Title II-A Formula'!A58:G240,7,FALSE)</f>
        <v>0</v>
      </c>
      <c r="G50" s="134">
        <f>VLOOKUP(A50,'ESSA Title III-ELL '!A58:G242,7,FALSE)</f>
        <v>0</v>
      </c>
      <c r="H50" s="134">
        <v>0</v>
      </c>
      <c r="I50" s="134">
        <f>VLOOKUP(A50,'ESSA Title IV'!A58:G240,7,FALSE)</f>
        <v>0</v>
      </c>
      <c r="J50" s="134">
        <v>0</v>
      </c>
    </row>
    <row r="51" spans="1:10" ht="18.75" x14ac:dyDescent="0.3">
      <c r="A51" s="249" t="s">
        <v>53</v>
      </c>
      <c r="B51" s="55" t="s">
        <v>231</v>
      </c>
      <c r="C51" s="134">
        <f>VLOOKUP(A51,'ESSA Title I-A Formula'!A59:G241,7,FALSE)</f>
        <v>0</v>
      </c>
      <c r="D51" s="134">
        <v>0</v>
      </c>
      <c r="E51" s="134">
        <v>0</v>
      </c>
      <c r="F51" s="134">
        <f>VLOOKUP(A51,'ESSA Title II-A Formula'!A59:G241,7,FALSE)</f>
        <v>0</v>
      </c>
      <c r="G51" s="134">
        <f>VLOOKUP(A51,'ESSA Title III-ELL '!A59:G243,7,FALSE)</f>
        <v>0</v>
      </c>
      <c r="H51" s="134">
        <v>0</v>
      </c>
      <c r="I51" s="134">
        <f>VLOOKUP(A51,'ESSA Title IV'!A59:G241,7,FALSE)</f>
        <v>0</v>
      </c>
      <c r="J51" s="134">
        <v>0</v>
      </c>
    </row>
    <row r="52" spans="1:10" ht="18.75" x14ac:dyDescent="0.3">
      <c r="A52" s="249" t="s">
        <v>54</v>
      </c>
      <c r="B52" s="55" t="s">
        <v>232</v>
      </c>
      <c r="C52" s="134">
        <f>VLOOKUP(A52,'ESSA Title I-A Formula'!A60:G242,7,FALSE)</f>
        <v>0</v>
      </c>
      <c r="D52" s="134">
        <v>0</v>
      </c>
      <c r="E52" s="134">
        <v>0</v>
      </c>
      <c r="F52" s="134">
        <f>VLOOKUP(A52,'ESSA Title II-A Formula'!A60:G242,7,FALSE)</f>
        <v>0</v>
      </c>
      <c r="G52" s="134">
        <f>VLOOKUP(A52,'ESSA Title III-ELL '!A60:G244,7,FALSE)</f>
        <v>0</v>
      </c>
      <c r="H52" s="134">
        <v>0</v>
      </c>
      <c r="I52" s="134">
        <f>VLOOKUP(A52,'ESSA Title IV'!A60:G242,7,FALSE)</f>
        <v>0</v>
      </c>
      <c r="J52" s="134">
        <v>0</v>
      </c>
    </row>
    <row r="53" spans="1:10" ht="18.75" x14ac:dyDescent="0.3">
      <c r="A53" s="249" t="s">
        <v>55</v>
      </c>
      <c r="B53" s="55" t="s">
        <v>233</v>
      </c>
      <c r="C53" s="134">
        <f>VLOOKUP(A53,'ESSA Title I-A Formula'!A61:G243,7,FALSE)</f>
        <v>0</v>
      </c>
      <c r="D53" s="134">
        <f>'ESSA Title I-Delinquent'!G15</f>
        <v>0</v>
      </c>
      <c r="E53" s="134">
        <v>0</v>
      </c>
      <c r="F53" s="134">
        <f>VLOOKUP(A53,'ESSA Title II-A Formula'!A61:G243,7,FALSE)</f>
        <v>0</v>
      </c>
      <c r="G53" s="134">
        <f>VLOOKUP(A53,'ESSA Title III-ELL '!A61:G245,7,FALSE)</f>
        <v>0</v>
      </c>
      <c r="H53" s="134">
        <f>'ESSA Title III SAI'!G21</f>
        <v>0</v>
      </c>
      <c r="I53" s="134">
        <f>VLOOKUP(A53,'ESSA Title IV'!A61:G243,7,FALSE)</f>
        <v>0</v>
      </c>
      <c r="J53" s="134">
        <v>0</v>
      </c>
    </row>
    <row r="54" spans="1:10" ht="18.75" x14ac:dyDescent="0.3">
      <c r="A54" s="249" t="s">
        <v>56</v>
      </c>
      <c r="B54" s="55" t="s">
        <v>234</v>
      </c>
      <c r="C54" s="134">
        <f>VLOOKUP(A54,'ESSA Title I-A Formula'!A62:G244,7,FALSE)</f>
        <v>0</v>
      </c>
      <c r="D54" s="134">
        <v>0</v>
      </c>
      <c r="E54" s="134">
        <v>0</v>
      </c>
      <c r="F54" s="134">
        <f>VLOOKUP(A54,'ESSA Title II-A Formula'!A62:G244,7,FALSE)</f>
        <v>0</v>
      </c>
      <c r="G54" s="134">
        <f>VLOOKUP(A54,'ESSA Title III-ELL '!A62:G246,7,FALSE)</f>
        <v>2802.4600000000009</v>
      </c>
      <c r="H54" s="134">
        <v>0</v>
      </c>
      <c r="I54" s="134">
        <f>VLOOKUP(A54,'ESSA Title IV'!A62:G244,7,FALSE)</f>
        <v>0</v>
      </c>
      <c r="J54" s="134">
        <v>0</v>
      </c>
    </row>
    <row r="55" spans="1:10" ht="18.75" x14ac:dyDescent="0.3">
      <c r="A55" s="249" t="s">
        <v>57</v>
      </c>
      <c r="B55" s="55" t="s">
        <v>235</v>
      </c>
      <c r="C55" s="134">
        <f>VLOOKUP(A55,'ESSA Title I-A Formula'!A63:G245,7,FALSE)</f>
        <v>0</v>
      </c>
      <c r="D55" s="134">
        <v>0</v>
      </c>
      <c r="E55" s="134">
        <v>0</v>
      </c>
      <c r="F55" s="134">
        <f>VLOOKUP(A55,'ESSA Title II-A Formula'!A63:G245,7,FALSE)</f>
        <v>0</v>
      </c>
      <c r="G55" s="134">
        <f>VLOOKUP(A55,'ESSA Title III-ELL '!A63:G247,7,FALSE)</f>
        <v>0</v>
      </c>
      <c r="H55" s="134">
        <v>0</v>
      </c>
      <c r="I55" s="134">
        <f>VLOOKUP(A55,'ESSA Title IV'!A63:G245,7,FALSE)</f>
        <v>0</v>
      </c>
      <c r="J55" s="134">
        <v>0</v>
      </c>
    </row>
    <row r="56" spans="1:10" ht="18.75" x14ac:dyDescent="0.3">
      <c r="A56" s="249" t="s">
        <v>58</v>
      </c>
      <c r="B56" s="55" t="s">
        <v>236</v>
      </c>
      <c r="C56" s="134">
        <f>VLOOKUP(A56,'ESSA Title I-A Formula'!A64:G246,7,FALSE)</f>
        <v>0</v>
      </c>
      <c r="D56" s="134">
        <f>'ESSA Title I-Delinquent'!G17</f>
        <v>0</v>
      </c>
      <c r="E56" s="134">
        <v>0</v>
      </c>
      <c r="F56" s="134">
        <f>VLOOKUP(A56,'ESSA Title II-A Formula'!A64:G246,7,FALSE)</f>
        <v>0</v>
      </c>
      <c r="G56" s="134">
        <f>VLOOKUP(A56,'ESSA Title III-ELL '!A64:G248,7,FALSE)</f>
        <v>0</v>
      </c>
      <c r="H56" s="134">
        <v>0</v>
      </c>
      <c r="I56" s="134">
        <f>VLOOKUP(A56,'ESSA Title IV'!A64:G246,7,FALSE)</f>
        <v>0</v>
      </c>
      <c r="J56" s="134">
        <v>0</v>
      </c>
    </row>
    <row r="57" spans="1:10" ht="18.75" x14ac:dyDescent="0.3">
      <c r="A57" s="249" t="s">
        <v>59</v>
      </c>
      <c r="B57" s="55" t="s">
        <v>237</v>
      </c>
      <c r="C57" s="134">
        <f>VLOOKUP(A57,'ESSA Title I-A Formula'!A65:G247,7,FALSE)</f>
        <v>0</v>
      </c>
      <c r="D57" s="134">
        <f>'ESSA Title I-Delinquent'!G16</f>
        <v>0</v>
      </c>
      <c r="E57" s="134">
        <v>0</v>
      </c>
      <c r="F57" s="134">
        <f>VLOOKUP(A57,'ESSA Title II-A Formula'!A65:G247,7,FALSE)</f>
        <v>0</v>
      </c>
      <c r="G57" s="134">
        <f>VLOOKUP(A57,'ESSA Title III-ELL '!A65:G249,7,FALSE)</f>
        <v>0</v>
      </c>
      <c r="H57" s="134">
        <v>0</v>
      </c>
      <c r="I57" s="134">
        <f>VLOOKUP(A57,'ESSA Title IV'!A65:G247,7,FALSE)</f>
        <v>0</v>
      </c>
      <c r="J57" s="134">
        <v>0</v>
      </c>
    </row>
    <row r="58" spans="1:10" ht="18.75" x14ac:dyDescent="0.3">
      <c r="A58" s="249" t="s">
        <v>60</v>
      </c>
      <c r="B58" s="55" t="s">
        <v>238</v>
      </c>
      <c r="C58" s="134">
        <f>VLOOKUP(A58,'ESSA Title I-A Formula'!A66:G248,7,FALSE)</f>
        <v>0</v>
      </c>
      <c r="D58" s="134">
        <v>0</v>
      </c>
      <c r="E58" s="134">
        <v>0</v>
      </c>
      <c r="F58" s="134">
        <f>VLOOKUP(A58,'ESSA Title II-A Formula'!A66:G248,7,FALSE)</f>
        <v>0</v>
      </c>
      <c r="G58" s="134">
        <f>VLOOKUP(A58,'ESSA Title III-ELL '!A66:G250,7,FALSE)</f>
        <v>0</v>
      </c>
      <c r="H58" s="134">
        <v>0</v>
      </c>
      <c r="I58" s="134">
        <f>VLOOKUP(A58,'ESSA Title IV'!A66:G248,7,FALSE)</f>
        <v>0</v>
      </c>
      <c r="J58" s="134">
        <v>0</v>
      </c>
    </row>
    <row r="59" spans="1:10" ht="18.75" x14ac:dyDescent="0.3">
      <c r="A59" s="249" t="s">
        <v>61</v>
      </c>
      <c r="B59" s="55" t="s">
        <v>239</v>
      </c>
      <c r="C59" s="134">
        <f>VLOOKUP(A59,'ESSA Title I-A Formula'!A67:G249,7,FALSE)</f>
        <v>0</v>
      </c>
      <c r="D59" s="134">
        <v>0</v>
      </c>
      <c r="E59" s="134">
        <v>0</v>
      </c>
      <c r="F59" s="134">
        <f>VLOOKUP(A59,'ESSA Title II-A Formula'!A67:G249,7,FALSE)</f>
        <v>0</v>
      </c>
      <c r="G59" s="134">
        <f>VLOOKUP(A59,'ESSA Title III-ELL '!A67:G251,7,FALSE)</f>
        <v>0</v>
      </c>
      <c r="H59" s="134">
        <v>0</v>
      </c>
      <c r="I59" s="134">
        <f>VLOOKUP(A59,'ESSA Title IV'!A67:G249,7,FALSE)</f>
        <v>0</v>
      </c>
      <c r="J59" s="134">
        <v>0</v>
      </c>
    </row>
    <row r="60" spans="1:10" ht="18.75" x14ac:dyDescent="0.3">
      <c r="A60" s="249" t="s">
        <v>62</v>
      </c>
      <c r="B60" s="55" t="s">
        <v>240</v>
      </c>
      <c r="C60" s="134">
        <f>VLOOKUP(A60,'ESSA Title I-A Formula'!A68:G250,7,FALSE)</f>
        <v>0</v>
      </c>
      <c r="D60" s="134">
        <v>0</v>
      </c>
      <c r="E60" s="134">
        <v>0</v>
      </c>
      <c r="F60" s="134">
        <f>VLOOKUP(A60,'ESSA Title II-A Formula'!A68:G250,7,FALSE)</f>
        <v>0</v>
      </c>
      <c r="G60" s="134">
        <f>VLOOKUP(A60,'ESSA Title III-ELL '!A68:G252,7,FALSE)</f>
        <v>0</v>
      </c>
      <c r="H60" s="134">
        <v>0</v>
      </c>
      <c r="I60" s="134">
        <f>VLOOKUP(A60,'ESSA Title IV'!A68:G250,7,FALSE)</f>
        <v>0</v>
      </c>
      <c r="J60" s="134">
        <v>0</v>
      </c>
    </row>
    <row r="61" spans="1:10" ht="18.75" x14ac:dyDescent="0.3">
      <c r="A61" s="249" t="s">
        <v>63</v>
      </c>
      <c r="B61" s="55" t="s">
        <v>241</v>
      </c>
      <c r="C61" s="134">
        <f>VLOOKUP(A61,'ESSA Title I-A Formula'!A69:G251,7,FALSE)</f>
        <v>0</v>
      </c>
      <c r="D61" s="134">
        <v>0</v>
      </c>
      <c r="E61" s="134">
        <v>0</v>
      </c>
      <c r="F61" s="134">
        <f>VLOOKUP(A61,'ESSA Title II-A Formula'!A69:G251,7,FALSE)</f>
        <v>0</v>
      </c>
      <c r="G61" s="134">
        <f>VLOOKUP(A61,'ESSA Title III-ELL '!A69:G253,7,FALSE)</f>
        <v>0</v>
      </c>
      <c r="H61" s="134">
        <v>0</v>
      </c>
      <c r="I61" s="134">
        <f>VLOOKUP(A61,'ESSA Title IV'!A69:G251,7,FALSE)</f>
        <v>0</v>
      </c>
      <c r="J61" s="134">
        <v>0</v>
      </c>
    </row>
    <row r="62" spans="1:10" ht="18.75" x14ac:dyDescent="0.3">
      <c r="A62" s="249" t="s">
        <v>64</v>
      </c>
      <c r="B62" s="55" t="s">
        <v>242</v>
      </c>
      <c r="C62" s="134">
        <f>VLOOKUP(A62,'ESSA Title I-A Formula'!A70:G252,7,FALSE)</f>
        <v>0</v>
      </c>
      <c r="D62" s="134">
        <v>0</v>
      </c>
      <c r="E62" s="134">
        <v>0</v>
      </c>
      <c r="F62" s="134">
        <f>VLOOKUP(A62,'ESSA Title II-A Formula'!A70:G252,7,FALSE)</f>
        <v>0</v>
      </c>
      <c r="G62" s="134">
        <f>VLOOKUP(A62,'ESSA Title III-ELL '!A70:G254,7,FALSE)</f>
        <v>0</v>
      </c>
      <c r="H62" s="134">
        <v>0</v>
      </c>
      <c r="I62" s="134">
        <f>VLOOKUP(A62,'ESSA Title IV'!A70:G252,7,FALSE)</f>
        <v>0</v>
      </c>
      <c r="J62" s="134">
        <v>0</v>
      </c>
    </row>
    <row r="63" spans="1:10" ht="18.75" x14ac:dyDescent="0.3">
      <c r="A63" s="249" t="s">
        <v>65</v>
      </c>
      <c r="B63" s="55" t="s">
        <v>243</v>
      </c>
      <c r="C63" s="134">
        <f>VLOOKUP(A63,'ESSA Title I-A Formula'!A71:G253,7,FALSE)</f>
        <v>0</v>
      </c>
      <c r="D63" s="134">
        <v>0</v>
      </c>
      <c r="E63" s="134">
        <v>0</v>
      </c>
      <c r="F63" s="134">
        <f>VLOOKUP(A63,'ESSA Title II-A Formula'!A71:G253,7,FALSE)</f>
        <v>0</v>
      </c>
      <c r="G63" s="134">
        <f>VLOOKUP(A63,'ESSA Title III-ELL '!A71:G255,7,FALSE)</f>
        <v>0</v>
      </c>
      <c r="H63" s="134">
        <f>'ESSA Title III SAI'!G23</f>
        <v>0</v>
      </c>
      <c r="I63" s="134">
        <f>VLOOKUP(A63,'ESSA Title IV'!A71:G253,7,FALSE)</f>
        <v>0</v>
      </c>
      <c r="J63" s="134">
        <v>0</v>
      </c>
    </row>
    <row r="64" spans="1:10" ht="18.75" x14ac:dyDescent="0.3">
      <c r="A64" s="249" t="s">
        <v>66</v>
      </c>
      <c r="B64" s="55" t="s">
        <v>244</v>
      </c>
      <c r="C64" s="134">
        <f>VLOOKUP(A64,'ESSA Title I-A Formula'!A72:G254,7,FALSE)</f>
        <v>0</v>
      </c>
      <c r="D64" s="134">
        <v>0</v>
      </c>
      <c r="E64" s="134">
        <v>0</v>
      </c>
      <c r="F64" s="134">
        <f>VLOOKUP(A64,'ESSA Title II-A Formula'!A72:G254,7,FALSE)</f>
        <v>0</v>
      </c>
      <c r="G64" s="134">
        <f>VLOOKUP(A64,'ESSA Title III-ELL '!A72:G256,7,FALSE)</f>
        <v>0</v>
      </c>
      <c r="H64" s="134">
        <f>'ESSA Title III SAI'!G24</f>
        <v>0</v>
      </c>
      <c r="I64" s="134">
        <f>VLOOKUP(A64,'ESSA Title IV'!A72:G254,7,FALSE)</f>
        <v>0</v>
      </c>
      <c r="J64" s="134">
        <v>0</v>
      </c>
    </row>
    <row r="65" spans="1:10" ht="18.75" x14ac:dyDescent="0.3">
      <c r="A65" s="249" t="s">
        <v>67</v>
      </c>
      <c r="B65" s="55" t="s">
        <v>245</v>
      </c>
      <c r="C65" s="134">
        <f>VLOOKUP(A65,'ESSA Title I-A Formula'!A73:G255,7,FALSE)</f>
        <v>0</v>
      </c>
      <c r="D65" s="134">
        <v>0</v>
      </c>
      <c r="E65" s="134">
        <v>0</v>
      </c>
      <c r="F65" s="134">
        <f>VLOOKUP(A65,'ESSA Title II-A Formula'!A73:G255,7,FALSE)</f>
        <v>0</v>
      </c>
      <c r="G65" s="134">
        <f>VLOOKUP(A65,'ESSA Title III-ELL '!A73:G257,7,FALSE)</f>
        <v>0</v>
      </c>
      <c r="H65" s="134">
        <v>0</v>
      </c>
      <c r="I65" s="134">
        <f>VLOOKUP(A65,'ESSA Title IV'!A73:G255,7,FALSE)</f>
        <v>0</v>
      </c>
      <c r="J65" s="134">
        <v>0</v>
      </c>
    </row>
    <row r="66" spans="1:10" ht="18.75" x14ac:dyDescent="0.3">
      <c r="A66" s="249" t="s">
        <v>68</v>
      </c>
      <c r="B66" s="55" t="s">
        <v>246</v>
      </c>
      <c r="C66" s="134">
        <f>VLOOKUP(A66,'ESSA Title I-A Formula'!A74:G256,7,FALSE)</f>
        <v>0</v>
      </c>
      <c r="D66" s="134">
        <v>0</v>
      </c>
      <c r="E66" s="134">
        <v>0</v>
      </c>
      <c r="F66" s="134">
        <f>VLOOKUP(A66,'ESSA Title II-A Formula'!A74:G256,7,FALSE)</f>
        <v>0</v>
      </c>
      <c r="G66" s="134">
        <f>VLOOKUP(A66,'ESSA Title III-ELL '!A74:G258,7,FALSE)</f>
        <v>0</v>
      </c>
      <c r="H66" s="134">
        <v>0</v>
      </c>
      <c r="I66" s="134">
        <f>VLOOKUP(A66,'ESSA Title IV'!A74:G256,7,FALSE)</f>
        <v>0</v>
      </c>
      <c r="J66" s="134">
        <v>0</v>
      </c>
    </row>
    <row r="67" spans="1:10" ht="18.75" x14ac:dyDescent="0.3">
      <c r="A67" s="249" t="s">
        <v>69</v>
      </c>
      <c r="B67" s="55" t="s">
        <v>247</v>
      </c>
      <c r="C67" s="134">
        <f>VLOOKUP(A67,'ESSA Title I-A Formula'!A75:G257,7,FALSE)</f>
        <v>0</v>
      </c>
      <c r="D67" s="134">
        <f>'ESSA Title I-Delinquent'!G18</f>
        <v>0</v>
      </c>
      <c r="E67" s="134">
        <v>0</v>
      </c>
      <c r="F67" s="134">
        <f>VLOOKUP(A67,'ESSA Title II-A Formula'!A75:G257,7,FALSE)</f>
        <v>0</v>
      </c>
      <c r="G67" s="134">
        <f>VLOOKUP(A67,'ESSA Title III-ELL '!A75:G259,7,FALSE)</f>
        <v>0</v>
      </c>
      <c r="H67" s="134">
        <v>0</v>
      </c>
      <c r="I67" s="134">
        <f>VLOOKUP(A67,'ESSA Title IV'!A75:G257,7,FALSE)</f>
        <v>0</v>
      </c>
      <c r="J67" s="134">
        <f>VLOOKUP(A67,'ESSA Title V-B'!$A$12:$G$31,7,FALSE)</f>
        <v>0</v>
      </c>
    </row>
    <row r="68" spans="1:10" ht="18.75" x14ac:dyDescent="0.3">
      <c r="A68" s="249" t="s">
        <v>70</v>
      </c>
      <c r="B68" s="55" t="s">
        <v>248</v>
      </c>
      <c r="C68" s="134">
        <f>VLOOKUP(A68,'ESSA Title I-A Formula'!A76:G258,7,FALSE)</f>
        <v>0</v>
      </c>
      <c r="D68" s="134">
        <v>0</v>
      </c>
      <c r="E68" s="134">
        <v>0</v>
      </c>
      <c r="F68" s="134">
        <f>VLOOKUP(A68,'ESSA Title II-A Formula'!A76:G258,7,FALSE)</f>
        <v>0</v>
      </c>
      <c r="G68" s="134">
        <f>VLOOKUP(A68,'ESSA Title III-ELL '!A76:G260,7,FALSE)</f>
        <v>0</v>
      </c>
      <c r="H68" s="134">
        <v>0</v>
      </c>
      <c r="I68" s="134">
        <f>VLOOKUP(A68,'ESSA Title IV'!A76:G258,7,FALSE)</f>
        <v>0</v>
      </c>
      <c r="J68" s="134">
        <v>0</v>
      </c>
    </row>
    <row r="69" spans="1:10" ht="18.75" x14ac:dyDescent="0.3">
      <c r="A69" s="249" t="s">
        <v>71</v>
      </c>
      <c r="B69" s="55" t="s">
        <v>249</v>
      </c>
      <c r="C69" s="134">
        <f>VLOOKUP(A69,'ESSA Title I-A Formula'!A77:G259,7,FALSE)</f>
        <v>0</v>
      </c>
      <c r="D69" s="134">
        <v>0</v>
      </c>
      <c r="E69" s="134">
        <v>0</v>
      </c>
      <c r="F69" s="134">
        <f>VLOOKUP(A69,'ESSA Title II-A Formula'!A77:G259,7,FALSE)</f>
        <v>0</v>
      </c>
      <c r="G69" s="134">
        <f>VLOOKUP(A69,'ESSA Title III-ELL '!A77:G261,7,FALSE)</f>
        <v>0</v>
      </c>
      <c r="H69" s="134">
        <v>0</v>
      </c>
      <c r="I69" s="134">
        <f>VLOOKUP(A69,'ESSA Title IV'!A77:G259,7,FALSE)</f>
        <v>0</v>
      </c>
      <c r="J69" s="134">
        <v>0</v>
      </c>
    </row>
    <row r="70" spans="1:10" ht="18.75" x14ac:dyDescent="0.3">
      <c r="A70" s="249" t="s">
        <v>72</v>
      </c>
      <c r="B70" s="55" t="s">
        <v>250</v>
      </c>
      <c r="C70" s="134">
        <f>VLOOKUP(A70,'ESSA Title I-A Formula'!A78:G260,7,FALSE)</f>
        <v>0</v>
      </c>
      <c r="D70" s="134">
        <v>0</v>
      </c>
      <c r="E70" s="134">
        <v>0</v>
      </c>
      <c r="F70" s="134">
        <f>VLOOKUP(A70,'ESSA Title II-A Formula'!A78:G260,7,FALSE)</f>
        <v>0</v>
      </c>
      <c r="G70" s="134">
        <f>VLOOKUP(A70,'ESSA Title III-ELL '!A78:G262,7,FALSE)</f>
        <v>0</v>
      </c>
      <c r="H70" s="134">
        <f>'ESSA Title III SAI'!G25</f>
        <v>0</v>
      </c>
      <c r="I70" s="134">
        <f>VLOOKUP(A70,'ESSA Title IV'!A78:G260,7,FALSE)</f>
        <v>0</v>
      </c>
      <c r="J70" s="134">
        <v>0</v>
      </c>
    </row>
    <row r="71" spans="1:10" ht="18.75" x14ac:dyDescent="0.3">
      <c r="A71" s="249" t="s">
        <v>73</v>
      </c>
      <c r="B71" s="55" t="s">
        <v>251</v>
      </c>
      <c r="C71" s="134">
        <f>VLOOKUP(A71,'ESSA Title I-A Formula'!A79:G261,7,FALSE)</f>
        <v>0</v>
      </c>
      <c r="D71" s="134">
        <v>0</v>
      </c>
      <c r="E71" s="134">
        <v>0</v>
      </c>
      <c r="F71" s="134">
        <f>VLOOKUP(A71,'ESSA Title II-A Formula'!A79:G261,7,FALSE)</f>
        <v>0</v>
      </c>
      <c r="G71" s="134">
        <f>VLOOKUP(A71,'ESSA Title III-ELL '!A79:G263,7,FALSE)</f>
        <v>0</v>
      </c>
      <c r="H71" s="134">
        <v>0</v>
      </c>
      <c r="I71" s="134">
        <f>VLOOKUP(A71,'ESSA Title IV'!A79:G261,7,FALSE)</f>
        <v>0</v>
      </c>
      <c r="J71" s="134">
        <v>0</v>
      </c>
    </row>
    <row r="72" spans="1:10" ht="18.75" x14ac:dyDescent="0.3">
      <c r="A72" s="249" t="s">
        <v>74</v>
      </c>
      <c r="B72" s="55" t="s">
        <v>252</v>
      </c>
      <c r="C72" s="134">
        <f>VLOOKUP(A72,'ESSA Title I-A Formula'!A80:G262,7,FALSE)</f>
        <v>0</v>
      </c>
      <c r="D72" s="134">
        <v>0</v>
      </c>
      <c r="E72" s="134">
        <v>0</v>
      </c>
      <c r="F72" s="134">
        <f>VLOOKUP(A72,'ESSA Title II-A Formula'!A80:G262,7,FALSE)</f>
        <v>0</v>
      </c>
      <c r="G72" s="134">
        <f>VLOOKUP(A72,'ESSA Title III-ELL '!A80:G264,7,FALSE)</f>
        <v>0</v>
      </c>
      <c r="H72" s="134">
        <f>'ESSA Title III SAI'!G26</f>
        <v>0</v>
      </c>
      <c r="I72" s="134">
        <f>VLOOKUP(A72,'ESSA Title IV'!A80:G262,7,FALSE)</f>
        <v>0</v>
      </c>
      <c r="J72" s="134">
        <v>0</v>
      </c>
    </row>
    <row r="73" spans="1:10" ht="18.75" x14ac:dyDescent="0.3">
      <c r="A73" s="249" t="s">
        <v>75</v>
      </c>
      <c r="B73" s="55" t="s">
        <v>253</v>
      </c>
      <c r="C73" s="134">
        <f>VLOOKUP(A73,'ESSA Title I-A Formula'!A81:G263,7,FALSE)</f>
        <v>0</v>
      </c>
      <c r="D73" s="134">
        <v>0</v>
      </c>
      <c r="E73" s="134">
        <v>0</v>
      </c>
      <c r="F73" s="134">
        <f>VLOOKUP(A73,'ESSA Title II-A Formula'!A81:G263,7,FALSE)</f>
        <v>0</v>
      </c>
      <c r="G73" s="134">
        <f>VLOOKUP(A73,'ESSA Title III-ELL '!A81:G265,7,FALSE)</f>
        <v>0</v>
      </c>
      <c r="H73" s="134">
        <v>0</v>
      </c>
      <c r="I73" s="134">
        <f>VLOOKUP(A73,'ESSA Title IV'!A81:G263,7,FALSE)</f>
        <v>0</v>
      </c>
      <c r="J73" s="134">
        <v>0</v>
      </c>
    </row>
    <row r="74" spans="1:10" ht="18.75" x14ac:dyDescent="0.3">
      <c r="A74" s="249" t="s">
        <v>76</v>
      </c>
      <c r="B74" s="55" t="s">
        <v>254</v>
      </c>
      <c r="C74" s="134">
        <f>VLOOKUP(A74,'ESSA Title I-A Formula'!A82:G264,7,FALSE)</f>
        <v>0</v>
      </c>
      <c r="D74" s="134">
        <v>0</v>
      </c>
      <c r="E74" s="134">
        <v>0</v>
      </c>
      <c r="F74" s="134">
        <f>VLOOKUP(A74,'ESSA Title II-A Formula'!A82:G264,7,FALSE)</f>
        <v>0</v>
      </c>
      <c r="G74" s="134">
        <f>VLOOKUP(A74,'ESSA Title III-ELL '!A82:G266,7,FALSE)</f>
        <v>0</v>
      </c>
      <c r="H74" s="134">
        <v>0</v>
      </c>
      <c r="I74" s="134">
        <f>VLOOKUP(A74,'ESSA Title IV'!A82:G264,7,FALSE)</f>
        <v>0</v>
      </c>
      <c r="J74" s="134">
        <v>0</v>
      </c>
    </row>
    <row r="75" spans="1:10" ht="18.75" x14ac:dyDescent="0.3">
      <c r="A75" s="249" t="s">
        <v>77</v>
      </c>
      <c r="B75" s="55" t="s">
        <v>255</v>
      </c>
      <c r="C75" s="134">
        <f>VLOOKUP(A75,'ESSA Title I-A Formula'!A83:G265,7,FALSE)</f>
        <v>0</v>
      </c>
      <c r="D75" s="134">
        <v>0</v>
      </c>
      <c r="E75" s="134">
        <v>0</v>
      </c>
      <c r="F75" s="134">
        <f>VLOOKUP(A75,'ESSA Title II-A Formula'!A83:G265,7,FALSE)</f>
        <v>0</v>
      </c>
      <c r="G75" s="134">
        <f>VLOOKUP(A75,'ESSA Title III-ELL '!A83:G267,7,FALSE)</f>
        <v>0</v>
      </c>
      <c r="H75" s="134">
        <v>0</v>
      </c>
      <c r="I75" s="134">
        <f>VLOOKUP(A75,'ESSA Title IV'!A83:G265,7,FALSE)</f>
        <v>0</v>
      </c>
      <c r="J75" s="134">
        <v>0</v>
      </c>
    </row>
    <row r="76" spans="1:10" ht="18.75" x14ac:dyDescent="0.3">
      <c r="A76" s="249" t="s">
        <v>78</v>
      </c>
      <c r="B76" s="55" t="s">
        <v>256</v>
      </c>
      <c r="C76" s="134">
        <f>VLOOKUP(A76,'ESSA Title I-A Formula'!A84:G266,7,FALSE)</f>
        <v>0</v>
      </c>
      <c r="D76" s="134">
        <v>0</v>
      </c>
      <c r="E76" s="134">
        <v>0</v>
      </c>
      <c r="F76" s="134">
        <f>VLOOKUP(A76,'ESSA Title II-A Formula'!A84:G266,7,FALSE)</f>
        <v>0</v>
      </c>
      <c r="G76" s="134">
        <f>VLOOKUP(A76,'ESSA Title III-ELL '!A84:G268,7,FALSE)</f>
        <v>0</v>
      </c>
      <c r="H76" s="134">
        <v>0</v>
      </c>
      <c r="I76" s="134">
        <f>VLOOKUP(A76,'ESSA Title IV'!A84:G266,7,FALSE)</f>
        <v>0</v>
      </c>
      <c r="J76" s="134">
        <v>0</v>
      </c>
    </row>
    <row r="77" spans="1:10" ht="18.75" x14ac:dyDescent="0.3">
      <c r="A77" s="249" t="s">
        <v>79</v>
      </c>
      <c r="B77" s="55" t="s">
        <v>257</v>
      </c>
      <c r="C77" s="134">
        <f>VLOOKUP(A77,'ESSA Title I-A Formula'!A85:G267,7,FALSE)</f>
        <v>0</v>
      </c>
      <c r="D77" s="134">
        <v>0</v>
      </c>
      <c r="E77" s="134">
        <v>0</v>
      </c>
      <c r="F77" s="134">
        <f>VLOOKUP(A77,'ESSA Title II-A Formula'!A85:G267,7,FALSE)</f>
        <v>0</v>
      </c>
      <c r="G77" s="134">
        <f>VLOOKUP(A77,'ESSA Title III-ELL '!A85:G269,7,FALSE)</f>
        <v>0</v>
      </c>
      <c r="H77" s="134">
        <v>0</v>
      </c>
      <c r="I77" s="134">
        <f>VLOOKUP(A77,'ESSA Title IV'!A85:G267,7,FALSE)</f>
        <v>0</v>
      </c>
      <c r="J77" s="134">
        <v>0</v>
      </c>
    </row>
    <row r="78" spans="1:10" ht="18.75" x14ac:dyDescent="0.3">
      <c r="A78" s="249" t="s">
        <v>80</v>
      </c>
      <c r="B78" s="55" t="s">
        <v>258</v>
      </c>
      <c r="C78" s="134">
        <f>VLOOKUP(A78,'ESSA Title I-A Formula'!A86:G268,7,FALSE)</f>
        <v>0</v>
      </c>
      <c r="D78" s="134">
        <v>0</v>
      </c>
      <c r="E78" s="134">
        <v>0</v>
      </c>
      <c r="F78" s="134">
        <f>VLOOKUP(A78,'ESSA Title II-A Formula'!A86:G268,7,FALSE)</f>
        <v>0</v>
      </c>
      <c r="G78" s="134">
        <f>VLOOKUP(A78,'ESSA Title III-ELL '!A86:G270,7,FALSE)</f>
        <v>0</v>
      </c>
      <c r="H78" s="134">
        <v>0</v>
      </c>
      <c r="I78" s="134">
        <f>VLOOKUP(A78,'ESSA Title IV'!A86:G268,7,FALSE)</f>
        <v>3272.5199999999986</v>
      </c>
      <c r="J78" s="134">
        <f>VLOOKUP(A78,'ESSA Title V-B'!$A$12:$G$31,7,FALSE)</f>
        <v>0</v>
      </c>
    </row>
    <row r="79" spans="1:10" ht="18.75" x14ac:dyDescent="0.3">
      <c r="A79" s="249" t="s">
        <v>81</v>
      </c>
      <c r="B79" s="55" t="s">
        <v>259</v>
      </c>
      <c r="C79" s="134">
        <f>VLOOKUP(A79,'ESSA Title I-A Formula'!A87:G269,7,FALSE)</f>
        <v>0</v>
      </c>
      <c r="D79" s="134">
        <v>0</v>
      </c>
      <c r="E79" s="134">
        <v>0</v>
      </c>
      <c r="F79" s="134">
        <f>VLOOKUP(A79,'ESSA Title II-A Formula'!A87:G269,7,FALSE)</f>
        <v>0</v>
      </c>
      <c r="G79" s="134">
        <f>VLOOKUP(A79,'ESSA Title III-ELL '!A87:G271,7,FALSE)</f>
        <v>0</v>
      </c>
      <c r="H79" s="134">
        <v>0</v>
      </c>
      <c r="I79" s="134">
        <f>VLOOKUP(A79,'ESSA Title IV'!A87:G269,7,FALSE)</f>
        <v>0</v>
      </c>
      <c r="J79" s="134">
        <v>0</v>
      </c>
    </row>
    <row r="80" spans="1:10" ht="18.75" x14ac:dyDescent="0.3">
      <c r="A80" s="249" t="s">
        <v>82</v>
      </c>
      <c r="B80" s="55" t="s">
        <v>260</v>
      </c>
      <c r="C80" s="134">
        <f>VLOOKUP(A80,'ESSA Title I-A Formula'!A88:G270,7,FALSE)</f>
        <v>0</v>
      </c>
      <c r="D80" s="134">
        <v>0</v>
      </c>
      <c r="E80" s="134">
        <v>0</v>
      </c>
      <c r="F80" s="134">
        <f>VLOOKUP(A80,'ESSA Title II-A Formula'!A88:G270,7,FALSE)</f>
        <v>0</v>
      </c>
      <c r="G80" s="134">
        <f>VLOOKUP(A80,'ESSA Title III-ELL '!A88:G272,7,FALSE)</f>
        <v>0</v>
      </c>
      <c r="H80" s="134">
        <v>0</v>
      </c>
      <c r="I80" s="134">
        <f>VLOOKUP(A80,'ESSA Title IV'!A88:G270,7,FALSE)</f>
        <v>0</v>
      </c>
      <c r="J80" s="134">
        <v>0</v>
      </c>
    </row>
    <row r="81" spans="1:10" ht="18.75" x14ac:dyDescent="0.3">
      <c r="A81" s="249" t="s">
        <v>83</v>
      </c>
      <c r="B81" s="55" t="s">
        <v>261</v>
      </c>
      <c r="C81" s="134">
        <f>VLOOKUP(A81,'ESSA Title I-A Formula'!A89:G271,7,FALSE)</f>
        <v>0</v>
      </c>
      <c r="D81" s="134">
        <f>'ESSA Title I-Delinquent'!G19</f>
        <v>0</v>
      </c>
      <c r="E81" s="134">
        <v>0</v>
      </c>
      <c r="F81" s="134">
        <f>VLOOKUP(A81,'ESSA Title II-A Formula'!A89:G271,7,FALSE)</f>
        <v>0</v>
      </c>
      <c r="G81" s="134">
        <f>VLOOKUP(A81,'ESSA Title III-ELL '!A89:G273,7,FALSE)</f>
        <v>0</v>
      </c>
      <c r="H81" s="134">
        <f>'ESSA Title III SAI'!G27</f>
        <v>0</v>
      </c>
      <c r="I81" s="134">
        <f>VLOOKUP(A81,'ESSA Title IV'!A89:G271,7,FALSE)</f>
        <v>0</v>
      </c>
      <c r="J81" s="134">
        <v>0</v>
      </c>
    </row>
    <row r="82" spans="1:10" ht="18.75" x14ac:dyDescent="0.3">
      <c r="A82" s="249" t="s">
        <v>84</v>
      </c>
      <c r="B82" s="55" t="s">
        <v>262</v>
      </c>
      <c r="C82" s="134">
        <f>VLOOKUP(A82,'ESSA Title I-A Formula'!A90:G272,7,FALSE)</f>
        <v>0</v>
      </c>
      <c r="D82" s="134">
        <v>0</v>
      </c>
      <c r="E82" s="134">
        <v>0</v>
      </c>
      <c r="F82" s="134">
        <f>VLOOKUP(A82,'ESSA Title II-A Formula'!A90:G272,7,FALSE)</f>
        <v>0</v>
      </c>
      <c r="G82" s="134">
        <f>VLOOKUP(A82,'ESSA Title III-ELL '!A90:G274,7,FALSE)</f>
        <v>0</v>
      </c>
      <c r="H82" s="134">
        <v>0</v>
      </c>
      <c r="I82" s="134">
        <f>VLOOKUP(A82,'ESSA Title IV'!A90:G272,7,FALSE)</f>
        <v>0</v>
      </c>
      <c r="J82" s="134">
        <v>0</v>
      </c>
    </row>
    <row r="83" spans="1:10" ht="18.75" x14ac:dyDescent="0.3">
      <c r="A83" s="249" t="s">
        <v>85</v>
      </c>
      <c r="B83" s="55" t="s">
        <v>263</v>
      </c>
      <c r="C83" s="134">
        <f>VLOOKUP(A83,'ESSA Title I-A Formula'!A91:G273,7,FALSE)</f>
        <v>0</v>
      </c>
      <c r="D83" s="134">
        <v>0</v>
      </c>
      <c r="E83" s="134">
        <v>0</v>
      </c>
      <c r="F83" s="134">
        <f>VLOOKUP(A83,'ESSA Title II-A Formula'!A91:G273,7,FALSE)</f>
        <v>0</v>
      </c>
      <c r="G83" s="134">
        <f>VLOOKUP(A83,'ESSA Title III-ELL '!A91:G275,7,FALSE)</f>
        <v>0</v>
      </c>
      <c r="H83" s="134">
        <v>0</v>
      </c>
      <c r="I83" s="134">
        <f>VLOOKUP(A83,'ESSA Title IV'!A91:G273,7,FALSE)</f>
        <v>0</v>
      </c>
      <c r="J83" s="134">
        <v>0</v>
      </c>
    </row>
    <row r="84" spans="1:10" ht="18.75" x14ac:dyDescent="0.3">
      <c r="A84" s="249" t="s">
        <v>86</v>
      </c>
      <c r="B84" s="55" t="s">
        <v>264</v>
      </c>
      <c r="C84" s="134">
        <f>VLOOKUP(A84,'ESSA Title I-A Formula'!A92:G274,7,FALSE)</f>
        <v>0</v>
      </c>
      <c r="D84" s="134">
        <v>0</v>
      </c>
      <c r="E84" s="134">
        <v>0</v>
      </c>
      <c r="F84" s="134">
        <f>VLOOKUP(A84,'ESSA Title II-A Formula'!A92:G274,7,FALSE)</f>
        <v>0</v>
      </c>
      <c r="G84" s="134">
        <f>VLOOKUP(A84,'ESSA Title III-ELL '!A92:G276,7,FALSE)</f>
        <v>0</v>
      </c>
      <c r="H84" s="134">
        <v>0</v>
      </c>
      <c r="I84" s="134">
        <f>VLOOKUP(A84,'ESSA Title IV'!A92:G274,7,FALSE)</f>
        <v>0</v>
      </c>
      <c r="J84" s="134">
        <v>0</v>
      </c>
    </row>
    <row r="85" spans="1:10" ht="18.75" x14ac:dyDescent="0.3">
      <c r="A85" s="249" t="s">
        <v>87</v>
      </c>
      <c r="B85" s="55" t="s">
        <v>265</v>
      </c>
      <c r="C85" s="134">
        <f>VLOOKUP(A85,'ESSA Title I-A Formula'!A93:G275,7,FALSE)</f>
        <v>0</v>
      </c>
      <c r="D85" s="134">
        <v>0</v>
      </c>
      <c r="E85" s="134">
        <v>0</v>
      </c>
      <c r="F85" s="134">
        <f>VLOOKUP(A85,'ESSA Title II-A Formula'!A93:G275,7,FALSE)</f>
        <v>0</v>
      </c>
      <c r="G85" s="134">
        <f>VLOOKUP(A85,'ESSA Title III-ELL '!A93:G277,7,FALSE)</f>
        <v>0</v>
      </c>
      <c r="H85" s="134">
        <v>0</v>
      </c>
      <c r="I85" s="134">
        <f>VLOOKUP(A85,'ESSA Title IV'!A93:G275,7,FALSE)</f>
        <v>0</v>
      </c>
      <c r="J85" s="134">
        <v>0</v>
      </c>
    </row>
    <row r="86" spans="1:10" ht="18.75" x14ac:dyDescent="0.3">
      <c r="A86" s="249" t="s">
        <v>88</v>
      </c>
      <c r="B86" s="55" t="s">
        <v>266</v>
      </c>
      <c r="C86" s="134">
        <f>VLOOKUP(A86,'ESSA Title I-A Formula'!A94:G276,7,FALSE)</f>
        <v>0</v>
      </c>
      <c r="D86" s="134">
        <v>0</v>
      </c>
      <c r="E86" s="134">
        <v>0</v>
      </c>
      <c r="F86" s="134">
        <f>VLOOKUP(A86,'ESSA Title II-A Formula'!A94:G276,7,FALSE)</f>
        <v>0</v>
      </c>
      <c r="G86" s="134">
        <f>VLOOKUP(A86,'ESSA Title III-ELL '!A94:G278,7,FALSE)</f>
        <v>0</v>
      </c>
      <c r="H86" s="134">
        <v>0</v>
      </c>
      <c r="I86" s="134">
        <f>VLOOKUP(A86,'ESSA Title IV'!A94:G276,7,FALSE)</f>
        <v>0</v>
      </c>
      <c r="J86" s="134">
        <v>0</v>
      </c>
    </row>
    <row r="87" spans="1:10" ht="18.75" x14ac:dyDescent="0.3">
      <c r="A87" s="249" t="s">
        <v>89</v>
      </c>
      <c r="B87" s="55" t="s">
        <v>267</v>
      </c>
      <c r="C87" s="134">
        <f>VLOOKUP(A87,'ESSA Title I-A Formula'!A95:G277,7,FALSE)</f>
        <v>0</v>
      </c>
      <c r="D87" s="134">
        <v>0</v>
      </c>
      <c r="E87" s="134">
        <v>0</v>
      </c>
      <c r="F87" s="134">
        <f>VLOOKUP(A87,'ESSA Title II-A Formula'!A95:G277,7,FALSE)</f>
        <v>0</v>
      </c>
      <c r="G87" s="134">
        <f>VLOOKUP(A87,'ESSA Title III-ELL '!A95:G279,7,FALSE)</f>
        <v>0</v>
      </c>
      <c r="H87" s="134">
        <v>0</v>
      </c>
      <c r="I87" s="134">
        <f>VLOOKUP(A87,'ESSA Title IV'!A95:G277,7,FALSE)</f>
        <v>0</v>
      </c>
      <c r="J87" s="134">
        <v>0</v>
      </c>
    </row>
    <row r="88" spans="1:10" ht="18.75" x14ac:dyDescent="0.3">
      <c r="A88" s="249" t="s">
        <v>90</v>
      </c>
      <c r="B88" s="55" t="s">
        <v>268</v>
      </c>
      <c r="C88" s="134">
        <f>VLOOKUP(A88,'ESSA Title I-A Formula'!A96:G278,7,FALSE)</f>
        <v>0</v>
      </c>
      <c r="D88" s="134">
        <v>0</v>
      </c>
      <c r="E88" s="134">
        <v>0</v>
      </c>
      <c r="F88" s="134">
        <f>VLOOKUP(A88,'ESSA Title II-A Formula'!A96:G278,7,FALSE)</f>
        <v>0</v>
      </c>
      <c r="G88" s="134">
        <f>VLOOKUP(A88,'ESSA Title III-ELL '!A96:G280,7,FALSE)</f>
        <v>0</v>
      </c>
      <c r="H88" s="134">
        <v>0</v>
      </c>
      <c r="I88" s="134">
        <f>VLOOKUP(A88,'ESSA Title IV'!A96:G278,7,FALSE)</f>
        <v>0</v>
      </c>
      <c r="J88" s="134">
        <f>VLOOKUP(A88,'ESSA Title V-B'!$A$12:$G$31,7,FALSE)</f>
        <v>0</v>
      </c>
    </row>
    <row r="89" spans="1:10" ht="18.75" x14ac:dyDescent="0.3">
      <c r="A89" s="249" t="s">
        <v>91</v>
      </c>
      <c r="B89" s="55" t="s">
        <v>269</v>
      </c>
      <c r="C89" s="134">
        <f>VLOOKUP(A89,'ESSA Title I-A Formula'!A97:G279,7,FALSE)</f>
        <v>0</v>
      </c>
      <c r="D89" s="134">
        <v>0</v>
      </c>
      <c r="E89" s="134">
        <v>0</v>
      </c>
      <c r="F89" s="134">
        <f>VLOOKUP(A89,'ESSA Title II-A Formula'!A97:G279,7,FALSE)</f>
        <v>0</v>
      </c>
      <c r="G89" s="134">
        <f>VLOOKUP(A89,'ESSA Title III-ELL '!A97:G281,7,FALSE)</f>
        <v>0</v>
      </c>
      <c r="H89" s="134">
        <v>0</v>
      </c>
      <c r="I89" s="134">
        <f>VLOOKUP(A89,'ESSA Title IV'!A97:G279,7,FALSE)</f>
        <v>0</v>
      </c>
      <c r="J89" s="134">
        <v>0</v>
      </c>
    </row>
    <row r="90" spans="1:10" ht="18.75" x14ac:dyDescent="0.3">
      <c r="A90" s="249" t="s">
        <v>92</v>
      </c>
      <c r="B90" s="55" t="s">
        <v>270</v>
      </c>
      <c r="C90" s="134">
        <f>VLOOKUP(A90,'ESSA Title I-A Formula'!A98:G280,7,FALSE)</f>
        <v>0</v>
      </c>
      <c r="D90" s="134">
        <v>0</v>
      </c>
      <c r="E90" s="134">
        <v>0</v>
      </c>
      <c r="F90" s="134">
        <f>VLOOKUP(A90,'ESSA Title II-A Formula'!A98:G280,7,FALSE)</f>
        <v>0</v>
      </c>
      <c r="G90" s="134">
        <f>VLOOKUP(A90,'ESSA Title III-ELL '!A98:G282,7,FALSE)</f>
        <v>0</v>
      </c>
      <c r="H90" s="134">
        <v>0</v>
      </c>
      <c r="I90" s="134">
        <f>VLOOKUP(A90,'ESSA Title IV'!A98:G280,7,FALSE)</f>
        <v>0</v>
      </c>
      <c r="J90" s="134">
        <v>0</v>
      </c>
    </row>
    <row r="91" spans="1:10" ht="18.75" x14ac:dyDescent="0.3">
      <c r="A91" s="249" t="s">
        <v>93</v>
      </c>
      <c r="B91" s="55" t="s">
        <v>271</v>
      </c>
      <c r="C91" s="134">
        <f>VLOOKUP(A91,'ESSA Title I-A Formula'!A99:G281,7,FALSE)</f>
        <v>0</v>
      </c>
      <c r="D91" s="134">
        <v>0</v>
      </c>
      <c r="E91" s="134">
        <v>0</v>
      </c>
      <c r="F91" s="134">
        <f>VLOOKUP(A91,'ESSA Title II-A Formula'!A99:G281,7,FALSE)</f>
        <v>0</v>
      </c>
      <c r="G91" s="134">
        <f>VLOOKUP(A91,'ESSA Title III-ELL '!A99:G283,7,FALSE)</f>
        <v>0</v>
      </c>
      <c r="H91" s="134">
        <v>0</v>
      </c>
      <c r="I91" s="134">
        <f>VLOOKUP(A91,'ESSA Title IV'!A99:G281,7,FALSE)</f>
        <v>0</v>
      </c>
      <c r="J91" s="134">
        <v>0</v>
      </c>
    </row>
    <row r="92" spans="1:10" ht="18.75" x14ac:dyDescent="0.3">
      <c r="A92" s="249" t="s">
        <v>94</v>
      </c>
      <c r="B92" s="55" t="s">
        <v>272</v>
      </c>
      <c r="C92" s="134">
        <f>VLOOKUP(A92,'ESSA Title I-A Formula'!A100:G282,7,FALSE)</f>
        <v>0</v>
      </c>
      <c r="D92" s="134">
        <v>0</v>
      </c>
      <c r="E92" s="134">
        <v>0</v>
      </c>
      <c r="F92" s="134">
        <f>VLOOKUP(A92,'ESSA Title II-A Formula'!A100:G282,7,FALSE)</f>
        <v>0</v>
      </c>
      <c r="G92" s="134">
        <f>VLOOKUP(A92,'ESSA Title III-ELL '!A100:G284,7,FALSE)</f>
        <v>0</v>
      </c>
      <c r="H92" s="134">
        <v>0</v>
      </c>
      <c r="I92" s="134">
        <f>VLOOKUP(A92,'ESSA Title IV'!A100:G282,7,FALSE)</f>
        <v>0</v>
      </c>
      <c r="J92" s="134">
        <v>0</v>
      </c>
    </row>
    <row r="93" spans="1:10" ht="18.75" x14ac:dyDescent="0.3">
      <c r="A93" s="249" t="s">
        <v>95</v>
      </c>
      <c r="B93" s="55" t="s">
        <v>273</v>
      </c>
      <c r="C93" s="134">
        <f>VLOOKUP(A93,'ESSA Title I-A Formula'!A101:G283,7,FALSE)</f>
        <v>0</v>
      </c>
      <c r="D93" s="134">
        <f>'ESSA Title I-Delinquent'!G20</f>
        <v>0</v>
      </c>
      <c r="E93" s="134">
        <v>0</v>
      </c>
      <c r="F93" s="134">
        <f>VLOOKUP(A93,'ESSA Title II-A Formula'!A101:G283,7,FALSE)</f>
        <v>0</v>
      </c>
      <c r="G93" s="134">
        <f>VLOOKUP(A93,'ESSA Title III-ELL '!A101:G285,7,FALSE)</f>
        <v>0</v>
      </c>
      <c r="H93" s="134">
        <v>0</v>
      </c>
      <c r="I93" s="134">
        <f>VLOOKUP(A93,'ESSA Title IV'!A101:G283,7,FALSE)</f>
        <v>0</v>
      </c>
      <c r="J93" s="134">
        <v>0</v>
      </c>
    </row>
    <row r="94" spans="1:10" ht="18.75" x14ac:dyDescent="0.3">
      <c r="A94" s="249" t="s">
        <v>96</v>
      </c>
      <c r="B94" s="55" t="s">
        <v>274</v>
      </c>
      <c r="C94" s="134">
        <f>VLOOKUP(A94,'ESSA Title I-A Formula'!A102:G284,7,FALSE)</f>
        <v>0</v>
      </c>
      <c r="D94" s="134">
        <v>0</v>
      </c>
      <c r="E94" s="134">
        <v>0</v>
      </c>
      <c r="F94" s="134">
        <f>VLOOKUP(A94,'ESSA Title II-A Formula'!A102:G284,7,FALSE)</f>
        <v>0</v>
      </c>
      <c r="G94" s="134">
        <f>VLOOKUP(A94,'ESSA Title III-ELL '!A102:G286,7,FALSE)</f>
        <v>0</v>
      </c>
      <c r="H94" s="134">
        <f>'ESSA Title III SAI'!G29</f>
        <v>234</v>
      </c>
      <c r="I94" s="134">
        <f>VLOOKUP(A94,'ESSA Title IV'!A102:G284,7,FALSE)</f>
        <v>0</v>
      </c>
      <c r="J94" s="134">
        <v>0</v>
      </c>
    </row>
    <row r="95" spans="1:10" ht="18.75" x14ac:dyDescent="0.3">
      <c r="A95" s="249" t="s">
        <v>97</v>
      </c>
      <c r="B95" s="55" t="s">
        <v>275</v>
      </c>
      <c r="C95" s="134">
        <f>VLOOKUP(A95,'ESSA Title I-A Formula'!A103:G285,7,FALSE)</f>
        <v>0</v>
      </c>
      <c r="D95" s="134">
        <v>0</v>
      </c>
      <c r="E95" s="134">
        <v>0</v>
      </c>
      <c r="F95" s="134">
        <f>VLOOKUP(A95,'ESSA Title II-A Formula'!A103:G285,7,FALSE)</f>
        <v>0</v>
      </c>
      <c r="G95" s="134">
        <f>VLOOKUP(A95,'ESSA Title III-ELL '!A103:G287,7,FALSE)</f>
        <v>0</v>
      </c>
      <c r="H95" s="134">
        <v>0</v>
      </c>
      <c r="I95" s="134">
        <f>VLOOKUP(A95,'ESSA Title IV'!A103:G285,7,FALSE)</f>
        <v>20973</v>
      </c>
      <c r="J95" s="134">
        <f>VLOOKUP(A95,'ESSA Title V-B'!$A$12:$G$31,7,FALSE)</f>
        <v>22394</v>
      </c>
    </row>
    <row r="96" spans="1:10" ht="18.75" x14ac:dyDescent="0.3">
      <c r="A96" s="249" t="s">
        <v>98</v>
      </c>
      <c r="B96" s="55" t="s">
        <v>276</v>
      </c>
      <c r="C96" s="134">
        <f>VLOOKUP(A96,'ESSA Title I-A Formula'!A104:G286,7,FALSE)</f>
        <v>0</v>
      </c>
      <c r="D96" s="134">
        <v>0</v>
      </c>
      <c r="E96" s="134">
        <v>0</v>
      </c>
      <c r="F96" s="134">
        <f>VLOOKUP(A96,'ESSA Title II-A Formula'!A104:G286,7,FALSE)</f>
        <v>0</v>
      </c>
      <c r="G96" s="134">
        <f>VLOOKUP(A96,'ESSA Title III-ELL '!A104:G288,7,FALSE)</f>
        <v>0</v>
      </c>
      <c r="H96" s="134">
        <v>0</v>
      </c>
      <c r="I96" s="134">
        <f>VLOOKUP(A96,'ESSA Title IV'!A104:G286,7,FALSE)</f>
        <v>0</v>
      </c>
      <c r="J96" s="134">
        <f>VLOOKUP(A96,'ESSA Title V-B'!$A$12:$G$31,7,FALSE)</f>
        <v>0</v>
      </c>
    </row>
    <row r="97" spans="1:10" ht="18.75" x14ac:dyDescent="0.3">
      <c r="A97" s="249" t="s">
        <v>99</v>
      </c>
      <c r="B97" s="55" t="s">
        <v>277</v>
      </c>
      <c r="C97" s="134">
        <f>VLOOKUP(A97,'ESSA Title I-A Formula'!A105:G287,7,FALSE)</f>
        <v>0</v>
      </c>
      <c r="D97" s="134">
        <v>0</v>
      </c>
      <c r="E97" s="134">
        <v>0</v>
      </c>
      <c r="F97" s="134">
        <f>VLOOKUP(A97,'ESSA Title II-A Formula'!A105:G287,7,FALSE)</f>
        <v>0</v>
      </c>
      <c r="G97" s="134">
        <f>VLOOKUP(A97,'ESSA Title III-ELL '!A105:G289,7,FALSE)</f>
        <v>0</v>
      </c>
      <c r="H97" s="134">
        <v>0</v>
      </c>
      <c r="I97" s="134">
        <f>VLOOKUP(A97,'ESSA Title IV'!A105:G287,7,FALSE)</f>
        <v>0</v>
      </c>
      <c r="J97" s="134">
        <v>0</v>
      </c>
    </row>
    <row r="98" spans="1:10" ht="18.75" x14ac:dyDescent="0.3">
      <c r="A98" s="249" t="s">
        <v>100</v>
      </c>
      <c r="B98" s="55" t="s">
        <v>278</v>
      </c>
      <c r="C98" s="134">
        <f>VLOOKUP(A98,'ESSA Title I-A Formula'!A106:G288,7,FALSE)</f>
        <v>0</v>
      </c>
      <c r="D98" s="134">
        <v>0</v>
      </c>
      <c r="E98" s="134">
        <v>0</v>
      </c>
      <c r="F98" s="134">
        <f>VLOOKUP(A98,'ESSA Title II-A Formula'!A106:G288,7,FALSE)</f>
        <v>0</v>
      </c>
      <c r="G98" s="134">
        <f>VLOOKUP(A98,'ESSA Title III-ELL '!A106:G290,7,FALSE)</f>
        <v>0</v>
      </c>
      <c r="H98" s="134">
        <v>0</v>
      </c>
      <c r="I98" s="134">
        <f>VLOOKUP(A98,'ESSA Title IV'!A106:G288,7,FALSE)</f>
        <v>0</v>
      </c>
      <c r="J98" s="134">
        <v>0</v>
      </c>
    </row>
    <row r="99" spans="1:10" ht="18.75" x14ac:dyDescent="0.3">
      <c r="A99" s="249" t="s">
        <v>101</v>
      </c>
      <c r="B99" s="55" t="s">
        <v>279</v>
      </c>
      <c r="C99" s="134">
        <f>VLOOKUP(A99,'ESSA Title I-A Formula'!A107:G289,7,FALSE)</f>
        <v>0</v>
      </c>
      <c r="D99" s="134">
        <v>0</v>
      </c>
      <c r="E99" s="134">
        <v>0</v>
      </c>
      <c r="F99" s="134">
        <f>VLOOKUP(A99,'ESSA Title II-A Formula'!A107:G289,7,FALSE)</f>
        <v>0</v>
      </c>
      <c r="G99" s="134">
        <f>VLOOKUP(A99,'ESSA Title III-ELL '!A107:G291,7,FALSE)</f>
        <v>0</v>
      </c>
      <c r="H99" s="134">
        <v>0</v>
      </c>
      <c r="I99" s="134">
        <f>VLOOKUP(A99,'ESSA Title IV'!A107:G289,7,FALSE)</f>
        <v>0</v>
      </c>
      <c r="J99" s="134">
        <f>VLOOKUP(A99,'ESSA Title V-B'!$A$12:$G$31,7,FALSE)</f>
        <v>2213</v>
      </c>
    </row>
    <row r="100" spans="1:10" ht="18.75" x14ac:dyDescent="0.3">
      <c r="A100" s="249" t="s">
        <v>102</v>
      </c>
      <c r="B100" s="55" t="s">
        <v>280</v>
      </c>
      <c r="C100" s="134">
        <f>VLOOKUP(A100,'ESSA Title I-A Formula'!A108:G290,7,FALSE)</f>
        <v>0</v>
      </c>
      <c r="D100" s="134">
        <v>0</v>
      </c>
      <c r="E100" s="134">
        <v>0</v>
      </c>
      <c r="F100" s="134">
        <f>VLOOKUP(A100,'ESSA Title II-A Formula'!A108:G290,7,FALSE)</f>
        <v>0</v>
      </c>
      <c r="G100" s="134">
        <f>VLOOKUP(A100,'ESSA Title III-ELL '!A108:G292,7,FALSE)</f>
        <v>0</v>
      </c>
      <c r="H100" s="134">
        <v>0</v>
      </c>
      <c r="I100" s="134">
        <f>VLOOKUP(A100,'ESSA Title IV'!A108:G290,7,FALSE)</f>
        <v>0</v>
      </c>
      <c r="J100" s="134">
        <v>0</v>
      </c>
    </row>
    <row r="101" spans="1:10" ht="18.75" x14ac:dyDescent="0.3">
      <c r="A101" s="249" t="s">
        <v>103</v>
      </c>
      <c r="B101" s="55" t="s">
        <v>281</v>
      </c>
      <c r="C101" s="134">
        <f>VLOOKUP(A101,'ESSA Title I-A Formula'!A109:G291,7,FALSE)</f>
        <v>-2</v>
      </c>
      <c r="D101" s="134">
        <v>0</v>
      </c>
      <c r="E101" s="134">
        <v>0</v>
      </c>
      <c r="F101" s="134">
        <f>VLOOKUP(A101,'ESSA Title II-A Formula'!A109:G291,7,FALSE)</f>
        <v>0</v>
      </c>
      <c r="G101" s="134">
        <f>VLOOKUP(A101,'ESSA Title III-ELL '!A109:G293,7,FALSE)</f>
        <v>0</v>
      </c>
      <c r="H101" s="134">
        <v>0</v>
      </c>
      <c r="I101" s="134">
        <f>VLOOKUP(A101,'ESSA Title IV'!A109:G291,7,FALSE)</f>
        <v>0</v>
      </c>
      <c r="J101" s="134">
        <v>0</v>
      </c>
    </row>
    <row r="102" spans="1:10" ht="18.75" x14ac:dyDescent="0.3">
      <c r="A102" s="249" t="s">
        <v>104</v>
      </c>
      <c r="B102" s="55" t="s">
        <v>282</v>
      </c>
      <c r="C102" s="134">
        <f>VLOOKUP(A102,'ESSA Title I-A Formula'!A110:G292,7,FALSE)</f>
        <v>0</v>
      </c>
      <c r="D102" s="134">
        <v>0</v>
      </c>
      <c r="E102" s="134">
        <v>0</v>
      </c>
      <c r="F102" s="134">
        <f>VLOOKUP(A102,'ESSA Title II-A Formula'!A110:G292,7,FALSE)</f>
        <v>0</v>
      </c>
      <c r="G102" s="134">
        <f>VLOOKUP(A102,'ESSA Title III-ELL '!A110:G294,7,FALSE)</f>
        <v>0</v>
      </c>
      <c r="H102" s="134">
        <v>0</v>
      </c>
      <c r="I102" s="134">
        <f>VLOOKUP(A102,'ESSA Title IV'!A110:G292,7,FALSE)</f>
        <v>0</v>
      </c>
      <c r="J102" s="134">
        <v>0</v>
      </c>
    </row>
    <row r="103" spans="1:10" ht="18.75" x14ac:dyDescent="0.3">
      <c r="A103" s="249" t="s">
        <v>105</v>
      </c>
      <c r="B103" s="55" t="s">
        <v>283</v>
      </c>
      <c r="C103" s="134">
        <f>VLOOKUP(A103,'ESSA Title I-A Formula'!A111:G293,7,FALSE)</f>
        <v>0</v>
      </c>
      <c r="D103" s="134">
        <v>0</v>
      </c>
      <c r="E103" s="134">
        <v>0</v>
      </c>
      <c r="F103" s="134">
        <f>VLOOKUP(A103,'ESSA Title II-A Formula'!A111:G293,7,FALSE)</f>
        <v>0</v>
      </c>
      <c r="G103" s="134">
        <f>VLOOKUP(A103,'ESSA Title III-ELL '!A111:G295,7,FALSE)</f>
        <v>0</v>
      </c>
      <c r="H103" s="134">
        <v>0</v>
      </c>
      <c r="I103" s="134">
        <f>VLOOKUP(A103,'ESSA Title IV'!A111:G293,7,FALSE)</f>
        <v>0</v>
      </c>
      <c r="J103" s="134">
        <v>0</v>
      </c>
    </row>
    <row r="104" spans="1:10" ht="18.75" x14ac:dyDescent="0.3">
      <c r="A104" s="249" t="s">
        <v>106</v>
      </c>
      <c r="B104" s="55" t="s">
        <v>284</v>
      </c>
      <c r="C104" s="134">
        <f>VLOOKUP(A104,'ESSA Title I-A Formula'!A112:G294,7,FALSE)</f>
        <v>0</v>
      </c>
      <c r="D104" s="134">
        <v>0</v>
      </c>
      <c r="E104" s="134">
        <v>0</v>
      </c>
      <c r="F104" s="134">
        <f>VLOOKUP(A104,'ESSA Title II-A Formula'!A112:G294,7,FALSE)</f>
        <v>0</v>
      </c>
      <c r="G104" s="134">
        <f>VLOOKUP(A104,'ESSA Title III-ELL '!A112:G296,7,FALSE)</f>
        <v>0</v>
      </c>
      <c r="H104" s="134">
        <v>0</v>
      </c>
      <c r="I104" s="134">
        <f>VLOOKUP(A104,'ESSA Title IV'!A112:G294,7,FALSE)</f>
        <v>0</v>
      </c>
      <c r="J104" s="134">
        <v>0</v>
      </c>
    </row>
    <row r="105" spans="1:10" ht="18.75" x14ac:dyDescent="0.3">
      <c r="A105" s="249" t="s">
        <v>107</v>
      </c>
      <c r="B105" s="55" t="s">
        <v>285</v>
      </c>
      <c r="C105" s="134">
        <f>VLOOKUP(A105,'ESSA Title I-A Formula'!A113:G295,7,FALSE)</f>
        <v>0</v>
      </c>
      <c r="D105" s="134">
        <v>0</v>
      </c>
      <c r="E105" s="134">
        <v>0</v>
      </c>
      <c r="F105" s="134">
        <f>VLOOKUP(A105,'ESSA Title II-A Formula'!A113:G295,7,FALSE)</f>
        <v>0</v>
      </c>
      <c r="G105" s="134">
        <f>VLOOKUP(A105,'ESSA Title III-ELL '!A113:G297,7,FALSE)</f>
        <v>0</v>
      </c>
      <c r="H105" s="134">
        <v>0</v>
      </c>
      <c r="I105" s="134">
        <f>VLOOKUP(A105,'ESSA Title IV'!A113:G295,7,FALSE)</f>
        <v>0</v>
      </c>
      <c r="J105" s="134">
        <v>0</v>
      </c>
    </row>
    <row r="106" spans="1:10" ht="18.75" x14ac:dyDescent="0.3">
      <c r="A106" s="249" t="s">
        <v>108</v>
      </c>
      <c r="B106" s="55" t="s">
        <v>286</v>
      </c>
      <c r="C106" s="134">
        <f>VLOOKUP(A106,'ESSA Title I-A Formula'!A114:G296,7,FALSE)</f>
        <v>0</v>
      </c>
      <c r="D106" s="134">
        <v>0</v>
      </c>
      <c r="E106" s="134">
        <v>0</v>
      </c>
      <c r="F106" s="134">
        <f>VLOOKUP(A106,'ESSA Title II-A Formula'!A114:G296,7,FALSE)</f>
        <v>0</v>
      </c>
      <c r="G106" s="134">
        <f>VLOOKUP(A106,'ESSA Title III-ELL '!A114:G298,7,FALSE)</f>
        <v>0</v>
      </c>
      <c r="H106" s="134">
        <v>0</v>
      </c>
      <c r="I106" s="134">
        <f>VLOOKUP(A106,'ESSA Title IV'!A114:G296,7,FALSE)</f>
        <v>0</v>
      </c>
      <c r="J106" s="134">
        <v>0</v>
      </c>
    </row>
    <row r="107" spans="1:10" ht="18.75" x14ac:dyDescent="0.3">
      <c r="A107" s="249" t="s">
        <v>109</v>
      </c>
      <c r="B107" s="55" t="s">
        <v>287</v>
      </c>
      <c r="C107" s="134">
        <f>VLOOKUP(A107,'ESSA Title I-A Formula'!A115:G297,7,FALSE)</f>
        <v>0</v>
      </c>
      <c r="D107" s="134">
        <v>0</v>
      </c>
      <c r="E107" s="134">
        <v>0</v>
      </c>
      <c r="F107" s="134">
        <f>VLOOKUP(A107,'ESSA Title II-A Formula'!A115:G297,7,FALSE)</f>
        <v>0</v>
      </c>
      <c r="G107" s="134">
        <f>VLOOKUP(A107,'ESSA Title III-ELL '!A115:G299,7,FALSE)</f>
        <v>0</v>
      </c>
      <c r="H107" s="134">
        <v>0</v>
      </c>
      <c r="I107" s="134">
        <f>VLOOKUP(A107,'ESSA Title IV'!A115:G297,7,FALSE)</f>
        <v>0</v>
      </c>
      <c r="J107" s="134">
        <v>0</v>
      </c>
    </row>
    <row r="108" spans="1:10" ht="18.75" x14ac:dyDescent="0.3">
      <c r="A108" s="249" t="s">
        <v>110</v>
      </c>
      <c r="B108" s="55" t="s">
        <v>288</v>
      </c>
      <c r="C108" s="134">
        <f>VLOOKUP(A108,'ESSA Title I-A Formula'!A116:G298,7,FALSE)</f>
        <v>0</v>
      </c>
      <c r="D108" s="134">
        <v>0</v>
      </c>
      <c r="E108" s="134">
        <v>0</v>
      </c>
      <c r="F108" s="134">
        <f>VLOOKUP(A108,'ESSA Title II-A Formula'!A116:G298,7,FALSE)</f>
        <v>0</v>
      </c>
      <c r="G108" s="134">
        <f>VLOOKUP(A108,'ESSA Title III-ELL '!A116:G300,7,FALSE)</f>
        <v>0</v>
      </c>
      <c r="H108" s="134">
        <v>0</v>
      </c>
      <c r="I108" s="134">
        <f>VLOOKUP(A108,'ESSA Title IV'!A116:G298,7,FALSE)</f>
        <v>0</v>
      </c>
      <c r="J108" s="134">
        <v>0</v>
      </c>
    </row>
    <row r="109" spans="1:10" ht="18.75" x14ac:dyDescent="0.3">
      <c r="A109" s="249" t="s">
        <v>111</v>
      </c>
      <c r="B109" s="55" t="s">
        <v>289</v>
      </c>
      <c r="C109" s="134">
        <f>VLOOKUP(A109,'ESSA Title I-A Formula'!A117:G299,7,FALSE)</f>
        <v>0</v>
      </c>
      <c r="D109" s="134">
        <v>0</v>
      </c>
      <c r="E109" s="134">
        <v>0</v>
      </c>
      <c r="F109" s="134">
        <f>VLOOKUP(A109,'ESSA Title II-A Formula'!A117:G299,7,FALSE)</f>
        <v>0</v>
      </c>
      <c r="G109" s="134">
        <f>VLOOKUP(A109,'ESSA Title III-ELL '!A117:G301,7,FALSE)</f>
        <v>0</v>
      </c>
      <c r="H109" s="134">
        <v>0</v>
      </c>
      <c r="I109" s="134">
        <f>VLOOKUP(A109,'ESSA Title IV'!A117:G299,7,FALSE)</f>
        <v>0</v>
      </c>
      <c r="J109" s="134">
        <v>0</v>
      </c>
    </row>
    <row r="110" spans="1:10" ht="18.75" x14ac:dyDescent="0.3">
      <c r="A110" s="249" t="s">
        <v>112</v>
      </c>
      <c r="B110" s="55" t="s">
        <v>290</v>
      </c>
      <c r="C110" s="134">
        <f>VLOOKUP(A110,'ESSA Title I-A Formula'!A118:G300,7,FALSE)</f>
        <v>0</v>
      </c>
      <c r="D110" s="134">
        <v>0</v>
      </c>
      <c r="E110" s="134">
        <v>0</v>
      </c>
      <c r="F110" s="134">
        <f>VLOOKUP(A110,'ESSA Title II-A Formula'!A118:G300,7,FALSE)</f>
        <v>0</v>
      </c>
      <c r="G110" s="134">
        <f>VLOOKUP(A110,'ESSA Title III-ELL '!A118:G302,7,FALSE)</f>
        <v>0</v>
      </c>
      <c r="H110" s="134">
        <v>0</v>
      </c>
      <c r="I110" s="134">
        <f>VLOOKUP(A110,'ESSA Title IV'!A118:G300,7,FALSE)</f>
        <v>0</v>
      </c>
      <c r="J110" s="134">
        <v>0</v>
      </c>
    </row>
    <row r="111" spans="1:10" ht="18.75" x14ac:dyDescent="0.3">
      <c r="A111" s="249" t="s">
        <v>113</v>
      </c>
      <c r="B111" s="55" t="s">
        <v>291</v>
      </c>
      <c r="C111" s="134">
        <f>VLOOKUP(A111,'ESSA Title I-A Formula'!A119:G301,7,FALSE)</f>
        <v>0</v>
      </c>
      <c r="D111" s="134">
        <f>'ESSA Title I-Delinquent'!G21</f>
        <v>0</v>
      </c>
      <c r="E111" s="134">
        <v>0</v>
      </c>
      <c r="F111" s="134">
        <f>VLOOKUP(A111,'ESSA Title II-A Formula'!A119:G301,7,FALSE)</f>
        <v>0</v>
      </c>
      <c r="G111" s="134">
        <f>VLOOKUP(A111,'ESSA Title III-ELL '!A119:G303,7,FALSE)</f>
        <v>0</v>
      </c>
      <c r="H111" s="134">
        <v>0</v>
      </c>
      <c r="I111" s="134">
        <f>VLOOKUP(A111,'ESSA Title IV'!A119:G301,7,FALSE)</f>
        <v>0</v>
      </c>
      <c r="J111" s="134">
        <v>0</v>
      </c>
    </row>
    <row r="112" spans="1:10" ht="18.75" x14ac:dyDescent="0.3">
      <c r="A112" s="249" t="s">
        <v>114</v>
      </c>
      <c r="B112" s="55" t="s">
        <v>292</v>
      </c>
      <c r="C112" s="134">
        <f>VLOOKUP(A112,'ESSA Title I-A Formula'!A120:G302,7,FALSE)</f>
        <v>0</v>
      </c>
      <c r="D112" s="134">
        <v>0</v>
      </c>
      <c r="E112" s="134">
        <v>0</v>
      </c>
      <c r="F112" s="134">
        <f>VLOOKUP(A112,'ESSA Title II-A Formula'!A120:G302,7,FALSE)</f>
        <v>0</v>
      </c>
      <c r="G112" s="134">
        <f>VLOOKUP(A112,'ESSA Title III-ELL '!A120:G304,7,FALSE)</f>
        <v>0</v>
      </c>
      <c r="H112" s="134">
        <v>0</v>
      </c>
      <c r="I112" s="134">
        <f>VLOOKUP(A112,'ESSA Title IV'!A120:G302,7,FALSE)</f>
        <v>0</v>
      </c>
      <c r="J112" s="134">
        <v>0</v>
      </c>
    </row>
    <row r="113" spans="1:10" ht="18.75" x14ac:dyDescent="0.3">
      <c r="A113" s="249" t="s">
        <v>115</v>
      </c>
      <c r="B113" s="55" t="s">
        <v>293</v>
      </c>
      <c r="C113" s="134">
        <f>VLOOKUP(A113,'ESSA Title I-A Formula'!A121:G303,7,FALSE)</f>
        <v>0</v>
      </c>
      <c r="D113" s="134">
        <v>0</v>
      </c>
      <c r="E113" s="134">
        <v>0</v>
      </c>
      <c r="F113" s="134">
        <f>VLOOKUP(A113,'ESSA Title II-A Formula'!A121:G303,7,FALSE)</f>
        <v>0</v>
      </c>
      <c r="G113" s="134">
        <f>VLOOKUP(A113,'ESSA Title III-ELL '!A121:G305,7,FALSE)</f>
        <v>0</v>
      </c>
      <c r="H113" s="134">
        <v>0</v>
      </c>
      <c r="I113" s="134">
        <f>VLOOKUP(A113,'ESSA Title IV'!A121:G303,7,FALSE)</f>
        <v>0</v>
      </c>
      <c r="J113" s="134">
        <v>0</v>
      </c>
    </row>
    <row r="114" spans="1:10" ht="18.75" x14ac:dyDescent="0.3">
      <c r="A114" s="249" t="s">
        <v>116</v>
      </c>
      <c r="B114" s="55" t="s">
        <v>294</v>
      </c>
      <c r="C114" s="134">
        <f>VLOOKUP(A114,'ESSA Title I-A Formula'!A122:G304,7,FALSE)</f>
        <v>0</v>
      </c>
      <c r="D114" s="134">
        <v>0</v>
      </c>
      <c r="E114" s="134">
        <v>0</v>
      </c>
      <c r="F114" s="134">
        <f>VLOOKUP(A114,'ESSA Title II-A Formula'!A122:G304,7,FALSE)</f>
        <v>0</v>
      </c>
      <c r="G114" s="134">
        <f>VLOOKUP(A114,'ESSA Title III-ELL '!A122:G306,7,FALSE)</f>
        <v>0</v>
      </c>
      <c r="H114" s="134">
        <v>0</v>
      </c>
      <c r="I114" s="134">
        <f>VLOOKUP(A114,'ESSA Title IV'!A122:G304,7,FALSE)</f>
        <v>0</v>
      </c>
      <c r="J114" s="134">
        <f>VLOOKUP(A114,'ESSA Title V-B'!$A$12:$G$31,7,FALSE)</f>
        <v>0</v>
      </c>
    </row>
    <row r="115" spans="1:10" ht="18.75" x14ac:dyDescent="0.3">
      <c r="A115" s="249" t="s">
        <v>117</v>
      </c>
      <c r="B115" s="55" t="s">
        <v>295</v>
      </c>
      <c r="C115" s="134">
        <f>VLOOKUP(A115,'ESSA Title I-A Formula'!A123:G305,7,FALSE)</f>
        <v>0</v>
      </c>
      <c r="D115" s="134">
        <v>0</v>
      </c>
      <c r="E115" s="134">
        <v>0</v>
      </c>
      <c r="F115" s="134">
        <f>VLOOKUP(A115,'ESSA Title II-A Formula'!A123:G305,7,FALSE)</f>
        <v>0</v>
      </c>
      <c r="G115" s="134">
        <f>VLOOKUP(A115,'ESSA Title III-ELL '!A123:G307,7,FALSE)</f>
        <v>0</v>
      </c>
      <c r="H115" s="134">
        <v>0</v>
      </c>
      <c r="I115" s="134">
        <f>VLOOKUP(A115,'ESSA Title IV'!A123:G305,7,FALSE)</f>
        <v>0</v>
      </c>
      <c r="J115" s="134">
        <v>0</v>
      </c>
    </row>
    <row r="116" spans="1:10" ht="18.75" x14ac:dyDescent="0.3">
      <c r="A116" s="249" t="s">
        <v>118</v>
      </c>
      <c r="B116" s="55" t="s">
        <v>296</v>
      </c>
      <c r="C116" s="134">
        <f>VLOOKUP(A116,'ESSA Title I-A Formula'!A124:G306,7,FALSE)</f>
        <v>0</v>
      </c>
      <c r="D116" s="134">
        <v>0</v>
      </c>
      <c r="E116" s="134">
        <v>0</v>
      </c>
      <c r="F116" s="134">
        <f>VLOOKUP(A116,'ESSA Title II-A Formula'!A124:G306,7,FALSE)</f>
        <v>0</v>
      </c>
      <c r="G116" s="134">
        <f>VLOOKUP(A116,'ESSA Title III-ELL '!A124:G308,7,FALSE)</f>
        <v>0</v>
      </c>
      <c r="H116" s="134">
        <v>0</v>
      </c>
      <c r="I116" s="134">
        <f>VLOOKUP(A116,'ESSA Title IV'!A124:G306,7,FALSE)</f>
        <v>0</v>
      </c>
      <c r="J116" s="134">
        <v>0</v>
      </c>
    </row>
    <row r="117" spans="1:10" ht="18.75" x14ac:dyDescent="0.3">
      <c r="A117" s="249" t="s">
        <v>119</v>
      </c>
      <c r="B117" s="55" t="s">
        <v>297</v>
      </c>
      <c r="C117" s="134">
        <f>VLOOKUP(A117,'ESSA Title I-A Formula'!A125:G307,7,FALSE)</f>
        <v>0</v>
      </c>
      <c r="D117" s="134">
        <v>0</v>
      </c>
      <c r="E117" s="134">
        <v>0</v>
      </c>
      <c r="F117" s="134">
        <f>VLOOKUP(A117,'ESSA Title II-A Formula'!A125:G307,7,FALSE)</f>
        <v>0</v>
      </c>
      <c r="G117" s="134">
        <f>VLOOKUP(A117,'ESSA Title III-ELL '!A125:G309,7,FALSE)</f>
        <v>0</v>
      </c>
      <c r="H117" s="134">
        <f>'ESSA Title III SAI'!G32</f>
        <v>234</v>
      </c>
      <c r="I117" s="134">
        <f>VLOOKUP(A117,'ESSA Title IV'!A125:G307,7,FALSE)</f>
        <v>0</v>
      </c>
      <c r="J117" s="134">
        <v>0</v>
      </c>
    </row>
    <row r="118" spans="1:10" ht="18.75" x14ac:dyDescent="0.3">
      <c r="A118" s="249" t="s">
        <v>120</v>
      </c>
      <c r="B118" s="55" t="s">
        <v>298</v>
      </c>
      <c r="C118" s="134">
        <f>VLOOKUP(A118,'ESSA Title I-A Formula'!A126:G308,7,FALSE)</f>
        <v>0</v>
      </c>
      <c r="D118" s="134">
        <v>0</v>
      </c>
      <c r="E118" s="134">
        <v>0</v>
      </c>
      <c r="F118" s="134">
        <f>VLOOKUP(A118,'ESSA Title II-A Formula'!A126:G308,7,FALSE)</f>
        <v>0</v>
      </c>
      <c r="G118" s="134">
        <f>VLOOKUP(A118,'ESSA Title III-ELL '!A126:G310,7,FALSE)</f>
        <v>0</v>
      </c>
      <c r="H118" s="134">
        <v>0</v>
      </c>
      <c r="I118" s="134">
        <f>VLOOKUP(A118,'ESSA Title IV'!A126:G308,7,FALSE)</f>
        <v>0</v>
      </c>
      <c r="J118" s="134">
        <v>0</v>
      </c>
    </row>
    <row r="119" spans="1:10" ht="18.75" x14ac:dyDescent="0.3">
      <c r="A119" s="249" t="s">
        <v>121</v>
      </c>
      <c r="B119" s="55" t="s">
        <v>299</v>
      </c>
      <c r="C119" s="134">
        <f>VLOOKUP(A119,'ESSA Title I-A Formula'!A127:G309,7,FALSE)</f>
        <v>0</v>
      </c>
      <c r="D119" s="134">
        <v>0</v>
      </c>
      <c r="E119" s="134">
        <v>0</v>
      </c>
      <c r="F119" s="134">
        <f>VLOOKUP(A119,'ESSA Title II-A Formula'!A127:G309,7,FALSE)</f>
        <v>0</v>
      </c>
      <c r="G119" s="134">
        <f>VLOOKUP(A119,'ESSA Title III-ELL '!A127:G311,7,FALSE)</f>
        <v>0</v>
      </c>
      <c r="H119" s="134">
        <v>0</v>
      </c>
      <c r="I119" s="134">
        <f>VLOOKUP(A119,'ESSA Title IV'!A127:G309,7,FALSE)</f>
        <v>0</v>
      </c>
      <c r="J119" s="134">
        <v>0</v>
      </c>
    </row>
    <row r="120" spans="1:10" ht="18.75" x14ac:dyDescent="0.3">
      <c r="A120" s="249" t="s">
        <v>122</v>
      </c>
      <c r="B120" s="55" t="s">
        <v>300</v>
      </c>
      <c r="C120" s="134">
        <f>VLOOKUP(A120,'ESSA Title I-A Formula'!A128:G310,7,FALSE)</f>
        <v>0</v>
      </c>
      <c r="D120" s="134">
        <v>0</v>
      </c>
      <c r="E120" s="134">
        <v>0</v>
      </c>
      <c r="F120" s="134">
        <f>VLOOKUP(A120,'ESSA Title II-A Formula'!A128:G310,7,FALSE)</f>
        <v>0</v>
      </c>
      <c r="G120" s="134">
        <f>VLOOKUP(A120,'ESSA Title III-ELL '!A128:G312,7,FALSE)</f>
        <v>0</v>
      </c>
      <c r="H120" s="134">
        <f>'ESSA Title III SAI'!G33</f>
        <v>0</v>
      </c>
      <c r="I120" s="134">
        <f>VLOOKUP(A120,'ESSA Title IV'!A128:G310,7,FALSE)</f>
        <v>0</v>
      </c>
      <c r="J120" s="134">
        <v>0</v>
      </c>
    </row>
    <row r="121" spans="1:10" ht="18.75" x14ac:dyDescent="0.3">
      <c r="A121" s="249" t="s">
        <v>123</v>
      </c>
      <c r="B121" s="55" t="s">
        <v>301</v>
      </c>
      <c r="C121" s="134">
        <f>VLOOKUP(A121,'ESSA Title I-A Formula'!A129:G311,7,FALSE)</f>
        <v>0</v>
      </c>
      <c r="D121" s="134">
        <v>0</v>
      </c>
      <c r="E121" s="134">
        <v>0</v>
      </c>
      <c r="F121" s="134">
        <f>VLOOKUP(A121,'ESSA Title II-A Formula'!A129:G311,7,FALSE)</f>
        <v>0</v>
      </c>
      <c r="G121" s="134">
        <f>VLOOKUP(A121,'ESSA Title III-ELL '!A129:G313,7,FALSE)</f>
        <v>0</v>
      </c>
      <c r="H121" s="134">
        <v>0</v>
      </c>
      <c r="I121" s="134">
        <f>VLOOKUP(A121,'ESSA Title IV'!A129:G311,7,FALSE)</f>
        <v>0</v>
      </c>
      <c r="J121" s="134">
        <v>0</v>
      </c>
    </row>
    <row r="122" spans="1:10" ht="18.75" x14ac:dyDescent="0.3">
      <c r="A122" s="249" t="s">
        <v>124</v>
      </c>
      <c r="B122" s="55" t="s">
        <v>302</v>
      </c>
      <c r="C122" s="134">
        <f>VLOOKUP(A122,'ESSA Title I-A Formula'!A130:G312,7,FALSE)</f>
        <v>0</v>
      </c>
      <c r="D122" s="134">
        <v>0</v>
      </c>
      <c r="E122" s="134">
        <v>0</v>
      </c>
      <c r="F122" s="134">
        <f>VLOOKUP(A122,'ESSA Title II-A Formula'!A130:G312,7,FALSE)</f>
        <v>0</v>
      </c>
      <c r="G122" s="134">
        <f>VLOOKUP(A122,'ESSA Title III-ELL '!A130:G314,7,FALSE)</f>
        <v>0</v>
      </c>
      <c r="H122" s="134">
        <v>0</v>
      </c>
      <c r="I122" s="134">
        <f>VLOOKUP(A122,'ESSA Title IV'!A130:G312,7,FALSE)</f>
        <v>0</v>
      </c>
      <c r="J122" s="134">
        <v>0</v>
      </c>
    </row>
    <row r="123" spans="1:10" ht="18.75" x14ac:dyDescent="0.3">
      <c r="A123" s="249" t="s">
        <v>125</v>
      </c>
      <c r="B123" s="55" t="s">
        <v>303</v>
      </c>
      <c r="C123" s="134">
        <f>VLOOKUP(A123,'ESSA Title I-A Formula'!A131:G313,7,FALSE)</f>
        <v>0</v>
      </c>
      <c r="D123" s="134">
        <v>0</v>
      </c>
      <c r="E123" s="134">
        <v>0</v>
      </c>
      <c r="F123" s="134">
        <f>VLOOKUP(A123,'ESSA Title II-A Formula'!A131:G313,7,FALSE)</f>
        <v>0</v>
      </c>
      <c r="G123" s="134">
        <f>VLOOKUP(A123,'ESSA Title III-ELL '!A131:G315,7,FALSE)</f>
        <v>0</v>
      </c>
      <c r="H123" s="134">
        <v>0</v>
      </c>
      <c r="I123" s="134">
        <f>VLOOKUP(A123,'ESSA Title IV'!A131:G313,7,FALSE)</f>
        <v>0</v>
      </c>
      <c r="J123" s="134">
        <f>VLOOKUP(A123,'ESSA Title V-B'!$A$12:$G$31,7,FALSE)</f>
        <v>0.25999999999839929</v>
      </c>
    </row>
    <row r="124" spans="1:10" ht="18.75" x14ac:dyDescent="0.3">
      <c r="A124" s="249" t="s">
        <v>126</v>
      </c>
      <c r="B124" s="55" t="s">
        <v>304</v>
      </c>
      <c r="C124" s="134">
        <f>VLOOKUP(A124,'ESSA Title I-A Formula'!A132:G314,7,FALSE)</f>
        <v>0</v>
      </c>
      <c r="D124" s="134">
        <v>0</v>
      </c>
      <c r="E124" s="134">
        <v>0</v>
      </c>
      <c r="F124" s="134">
        <f>VLOOKUP(A124,'ESSA Title II-A Formula'!A132:G314,7,FALSE)</f>
        <v>0</v>
      </c>
      <c r="G124" s="134">
        <f>VLOOKUP(A124,'ESSA Title III-ELL '!A132:G316,7,FALSE)</f>
        <v>0</v>
      </c>
      <c r="H124" s="134">
        <v>0</v>
      </c>
      <c r="I124" s="134">
        <f>VLOOKUP(A124,'ESSA Title IV'!A132:G314,7,FALSE)</f>
        <v>0</v>
      </c>
      <c r="J124" s="134">
        <f>VLOOKUP(A124,'ESSA Title V-B'!$A$12:$G$31,7,FALSE)</f>
        <v>0</v>
      </c>
    </row>
    <row r="125" spans="1:10" ht="18.75" x14ac:dyDescent="0.3">
      <c r="A125" s="249" t="s">
        <v>127</v>
      </c>
      <c r="B125" s="55" t="s">
        <v>305</v>
      </c>
      <c r="C125" s="134">
        <f>VLOOKUP(A125,'ESSA Title I-A Formula'!A133:G315,7,FALSE)</f>
        <v>0</v>
      </c>
      <c r="D125" s="134">
        <v>0</v>
      </c>
      <c r="E125" s="134">
        <v>0</v>
      </c>
      <c r="F125" s="134">
        <f>VLOOKUP(A125,'ESSA Title II-A Formula'!A133:G315,7,FALSE)</f>
        <v>0</v>
      </c>
      <c r="G125" s="134">
        <f>VLOOKUP(A125,'ESSA Title III-ELL '!A133:G317,7,FALSE)</f>
        <v>0</v>
      </c>
      <c r="H125" s="134">
        <v>0</v>
      </c>
      <c r="I125" s="134">
        <f>VLOOKUP(A125,'ESSA Title IV'!A133:G315,7,FALSE)</f>
        <v>0</v>
      </c>
      <c r="J125" s="134">
        <v>0</v>
      </c>
    </row>
    <row r="126" spans="1:10" ht="18.75" x14ac:dyDescent="0.3">
      <c r="A126" s="249" t="s">
        <v>128</v>
      </c>
      <c r="B126" s="55" t="s">
        <v>306</v>
      </c>
      <c r="C126" s="134">
        <f>VLOOKUP(A126,'ESSA Title I-A Formula'!A134:G316,7,FALSE)</f>
        <v>0</v>
      </c>
      <c r="D126" s="134">
        <v>0</v>
      </c>
      <c r="E126" s="134">
        <v>0</v>
      </c>
      <c r="F126" s="134">
        <f>VLOOKUP(A126,'ESSA Title II-A Formula'!A134:G316,7,FALSE)</f>
        <v>0</v>
      </c>
      <c r="G126" s="134">
        <f>VLOOKUP(A126,'ESSA Title III-ELL '!A134:G318,7,FALSE)</f>
        <v>0</v>
      </c>
      <c r="H126" s="134">
        <v>0</v>
      </c>
      <c r="I126" s="134">
        <f>VLOOKUP(A126,'ESSA Title IV'!A134:G316,7,FALSE)</f>
        <v>0</v>
      </c>
      <c r="J126" s="134">
        <v>0</v>
      </c>
    </row>
    <row r="127" spans="1:10" ht="18.75" x14ac:dyDescent="0.3">
      <c r="A127" s="249" t="s">
        <v>129</v>
      </c>
      <c r="B127" s="55" t="s">
        <v>307</v>
      </c>
      <c r="C127" s="134">
        <f>VLOOKUP(A127,'ESSA Title I-A Formula'!A135:G317,7,FALSE)</f>
        <v>3</v>
      </c>
      <c r="D127" s="134">
        <v>0</v>
      </c>
      <c r="E127" s="134">
        <v>0</v>
      </c>
      <c r="F127" s="134">
        <f>VLOOKUP(A127,'ESSA Title II-A Formula'!A135:G317,7,FALSE)</f>
        <v>0</v>
      </c>
      <c r="G127" s="134">
        <f>VLOOKUP(A127,'ESSA Title III-ELL '!A135:G319,7,FALSE)</f>
        <v>0</v>
      </c>
      <c r="H127" s="134">
        <v>0</v>
      </c>
      <c r="I127" s="134">
        <f>VLOOKUP(A127,'ESSA Title IV'!A135:G317,7,FALSE)</f>
        <v>0</v>
      </c>
      <c r="J127" s="134">
        <v>0</v>
      </c>
    </row>
    <row r="128" spans="1:10" ht="18.75" x14ac:dyDescent="0.3">
      <c r="A128" s="249" t="s">
        <v>130</v>
      </c>
      <c r="B128" s="55" t="s">
        <v>308</v>
      </c>
      <c r="C128" s="134">
        <f>VLOOKUP(A128,'ESSA Title I-A Formula'!A136:G318,7,FALSE)</f>
        <v>0</v>
      </c>
      <c r="D128" s="134">
        <v>0</v>
      </c>
      <c r="E128" s="134">
        <v>0</v>
      </c>
      <c r="F128" s="134">
        <f>VLOOKUP(A128,'ESSA Title II-A Formula'!A136:G318,7,FALSE)</f>
        <v>0</v>
      </c>
      <c r="G128" s="134">
        <f>VLOOKUP(A128,'ESSA Title III-ELL '!A136:G320,7,FALSE)</f>
        <v>0</v>
      </c>
      <c r="H128" s="134">
        <v>0</v>
      </c>
      <c r="I128" s="134">
        <f>VLOOKUP(A128,'ESSA Title IV'!A136:G318,7,FALSE)</f>
        <v>0</v>
      </c>
      <c r="J128" s="134">
        <v>0</v>
      </c>
    </row>
    <row r="129" spans="1:10" ht="18.75" x14ac:dyDescent="0.3">
      <c r="A129" s="249" t="s">
        <v>131</v>
      </c>
      <c r="B129" s="55" t="s">
        <v>309</v>
      </c>
      <c r="C129" s="134">
        <f>VLOOKUP(A129,'ESSA Title I-A Formula'!A137:G319,7,FALSE)</f>
        <v>0</v>
      </c>
      <c r="D129" s="134">
        <v>0</v>
      </c>
      <c r="E129" s="134">
        <v>0</v>
      </c>
      <c r="F129" s="134">
        <f>VLOOKUP(A129,'ESSA Title II-A Formula'!A137:G319,7,FALSE)</f>
        <v>0</v>
      </c>
      <c r="G129" s="134">
        <f>VLOOKUP(A129,'ESSA Title III-ELL '!A137:G321,7,FALSE)</f>
        <v>0</v>
      </c>
      <c r="H129" s="134">
        <v>0</v>
      </c>
      <c r="I129" s="134">
        <f>VLOOKUP(A129,'ESSA Title IV'!A137:G319,7,FALSE)</f>
        <v>0</v>
      </c>
      <c r="J129" s="134">
        <v>0</v>
      </c>
    </row>
    <row r="130" spans="1:10" ht="18.75" x14ac:dyDescent="0.3">
      <c r="A130" s="249" t="s">
        <v>132</v>
      </c>
      <c r="B130" s="55" t="s">
        <v>310</v>
      </c>
      <c r="C130" s="134">
        <f>VLOOKUP(A130,'ESSA Title I-A Formula'!A138:G320,7,FALSE)</f>
        <v>0</v>
      </c>
      <c r="D130" s="134">
        <v>0</v>
      </c>
      <c r="E130" s="134">
        <v>0</v>
      </c>
      <c r="F130" s="134">
        <f>VLOOKUP(A130,'ESSA Title II-A Formula'!A138:G320,7,FALSE)</f>
        <v>0</v>
      </c>
      <c r="G130" s="134">
        <f>VLOOKUP(A130,'ESSA Title III-ELL '!A138:G322,7,FALSE)</f>
        <v>0</v>
      </c>
      <c r="H130" s="134">
        <v>0</v>
      </c>
      <c r="I130" s="134">
        <f>VLOOKUP(A130,'ESSA Title IV'!A138:G320,7,FALSE)</f>
        <v>0</v>
      </c>
      <c r="J130" s="134">
        <v>0</v>
      </c>
    </row>
    <row r="131" spans="1:10" ht="18.75" x14ac:dyDescent="0.3">
      <c r="A131" s="249" t="s">
        <v>133</v>
      </c>
      <c r="B131" s="55" t="s">
        <v>311</v>
      </c>
      <c r="C131" s="134">
        <f>VLOOKUP(A131,'ESSA Title I-A Formula'!A139:G321,7,FALSE)</f>
        <v>0</v>
      </c>
      <c r="D131" s="134">
        <v>0</v>
      </c>
      <c r="E131" s="134">
        <v>0</v>
      </c>
      <c r="F131" s="134">
        <f>VLOOKUP(A131,'ESSA Title II-A Formula'!A139:G321,7,FALSE)</f>
        <v>0</v>
      </c>
      <c r="G131" s="134">
        <f>VLOOKUP(A131,'ESSA Title III-ELL '!A139:G323,7,FALSE)</f>
        <v>0</v>
      </c>
      <c r="H131" s="134">
        <v>0</v>
      </c>
      <c r="I131" s="134">
        <f>VLOOKUP(A131,'ESSA Title IV'!A139:G321,7,FALSE)</f>
        <v>0</v>
      </c>
      <c r="J131" s="134">
        <v>0</v>
      </c>
    </row>
    <row r="132" spans="1:10" ht="18.75" x14ac:dyDescent="0.3">
      <c r="A132" s="249" t="s">
        <v>134</v>
      </c>
      <c r="B132" s="55" t="s">
        <v>312</v>
      </c>
      <c r="C132" s="134">
        <f>VLOOKUP(A132,'ESSA Title I-A Formula'!A140:G322,7,FALSE)</f>
        <v>0</v>
      </c>
      <c r="D132" s="134">
        <v>0</v>
      </c>
      <c r="E132" s="134">
        <v>0</v>
      </c>
      <c r="F132" s="134">
        <f>VLOOKUP(A132,'ESSA Title II-A Formula'!A140:G322,7,FALSE)</f>
        <v>0</v>
      </c>
      <c r="G132" s="134">
        <f>VLOOKUP(A132,'ESSA Title III-ELL '!A140:G324,7,FALSE)</f>
        <v>0</v>
      </c>
      <c r="H132" s="134">
        <v>0</v>
      </c>
      <c r="I132" s="134">
        <f>VLOOKUP(A132,'ESSA Title IV'!A140:G322,7,FALSE)</f>
        <v>0</v>
      </c>
      <c r="J132" s="134">
        <v>0</v>
      </c>
    </row>
    <row r="133" spans="1:10" ht="18.75" x14ac:dyDescent="0.3">
      <c r="A133" s="249" t="s">
        <v>135</v>
      </c>
      <c r="B133" s="55" t="s">
        <v>313</v>
      </c>
      <c r="C133" s="134">
        <f>VLOOKUP(A133,'ESSA Title I-A Formula'!A141:G323,7,FALSE)</f>
        <v>0</v>
      </c>
      <c r="D133" s="134">
        <v>0</v>
      </c>
      <c r="E133" s="134">
        <v>0</v>
      </c>
      <c r="F133" s="134">
        <f>VLOOKUP(A133,'ESSA Title II-A Formula'!A141:G323,7,FALSE)</f>
        <v>0</v>
      </c>
      <c r="G133" s="134">
        <f>VLOOKUP(A133,'ESSA Title III-ELL '!A141:G325,7,FALSE)</f>
        <v>0</v>
      </c>
      <c r="H133" s="134">
        <v>0</v>
      </c>
      <c r="I133" s="134">
        <f>VLOOKUP(A133,'ESSA Title IV'!A141:G323,7,FALSE)</f>
        <v>0</v>
      </c>
      <c r="J133" s="134">
        <v>0</v>
      </c>
    </row>
    <row r="134" spans="1:10" ht="18.75" x14ac:dyDescent="0.3">
      <c r="A134" s="249" t="s">
        <v>136</v>
      </c>
      <c r="B134" s="55" t="s">
        <v>314</v>
      </c>
      <c r="C134" s="134">
        <f>VLOOKUP(A134,'ESSA Title I-A Formula'!A142:G324,7,FALSE)</f>
        <v>0</v>
      </c>
      <c r="D134" s="134">
        <v>0</v>
      </c>
      <c r="E134" s="134">
        <v>0</v>
      </c>
      <c r="F134" s="134">
        <f>VLOOKUP(A134,'ESSA Title II-A Formula'!A142:G324,7,FALSE)</f>
        <v>0</v>
      </c>
      <c r="G134" s="134">
        <f>VLOOKUP(A134,'ESSA Title III-ELL '!A142:G326,7,FALSE)</f>
        <v>0</v>
      </c>
      <c r="H134" s="134">
        <v>0</v>
      </c>
      <c r="I134" s="134">
        <f>VLOOKUP(A134,'ESSA Title IV'!A142:G324,7,FALSE)</f>
        <v>0</v>
      </c>
      <c r="J134" s="134">
        <v>0</v>
      </c>
    </row>
    <row r="135" spans="1:10" ht="18.75" x14ac:dyDescent="0.3">
      <c r="A135" s="249" t="s">
        <v>137</v>
      </c>
      <c r="B135" s="55" t="s">
        <v>315</v>
      </c>
      <c r="C135" s="134">
        <f>VLOOKUP(A135,'ESSA Title I-A Formula'!A143:G325,7,FALSE)</f>
        <v>0</v>
      </c>
      <c r="D135" s="134">
        <v>0</v>
      </c>
      <c r="E135" s="134">
        <v>0</v>
      </c>
      <c r="F135" s="134">
        <f>VLOOKUP(A135,'ESSA Title II-A Formula'!A143:G325,7,FALSE)</f>
        <v>0</v>
      </c>
      <c r="G135" s="134">
        <f>VLOOKUP(A135,'ESSA Title III-ELL '!A143:G327,7,FALSE)</f>
        <v>0</v>
      </c>
      <c r="H135" s="134">
        <f>'ESSA Title III SAI'!G35</f>
        <v>703</v>
      </c>
      <c r="I135" s="134">
        <f>VLOOKUP(A135,'ESSA Title IV'!A143:G325,7,FALSE)</f>
        <v>0</v>
      </c>
      <c r="J135" s="134">
        <v>0</v>
      </c>
    </row>
    <row r="136" spans="1:10" ht="18.75" x14ac:dyDescent="0.3">
      <c r="A136" s="249" t="s">
        <v>138</v>
      </c>
      <c r="B136" s="55" t="s">
        <v>316</v>
      </c>
      <c r="C136" s="134">
        <f>VLOOKUP(A136,'ESSA Title I-A Formula'!A144:G326,7,FALSE)</f>
        <v>0</v>
      </c>
      <c r="D136" s="134">
        <v>0</v>
      </c>
      <c r="E136" s="134">
        <v>0</v>
      </c>
      <c r="F136" s="134">
        <f>VLOOKUP(A136,'ESSA Title II-A Formula'!A144:G326,7,FALSE)</f>
        <v>0</v>
      </c>
      <c r="G136" s="134">
        <f>VLOOKUP(A136,'ESSA Title III-ELL '!A144:G328,7,FALSE)</f>
        <v>0</v>
      </c>
      <c r="H136" s="134">
        <v>0</v>
      </c>
      <c r="I136" s="134">
        <f>VLOOKUP(A136,'ESSA Title IV'!A144:G326,7,FALSE)</f>
        <v>0</v>
      </c>
      <c r="J136" s="134">
        <f>VLOOKUP(A136,'ESSA Title V-B'!$A$12:$G$31,7,FALSE)</f>
        <v>0</v>
      </c>
    </row>
    <row r="137" spans="1:10" ht="18.75" x14ac:dyDescent="0.3">
      <c r="A137" s="249" t="s">
        <v>139</v>
      </c>
      <c r="B137" s="55" t="s">
        <v>317</v>
      </c>
      <c r="C137" s="134">
        <f>VLOOKUP(A137,'ESSA Title I-A Formula'!A145:G327,7,FALSE)</f>
        <v>0</v>
      </c>
      <c r="D137" s="134">
        <v>0</v>
      </c>
      <c r="E137" s="134">
        <v>0</v>
      </c>
      <c r="F137" s="134">
        <f>VLOOKUP(A137,'ESSA Title II-A Formula'!A145:G327,7,FALSE)</f>
        <v>0</v>
      </c>
      <c r="G137" s="134">
        <f>VLOOKUP(A137,'ESSA Title III-ELL '!A145:G329,7,FALSE)</f>
        <v>0</v>
      </c>
      <c r="H137" s="134">
        <v>0</v>
      </c>
      <c r="I137" s="134">
        <f>VLOOKUP(A137,'ESSA Title IV'!A145:G327,7,FALSE)</f>
        <v>0</v>
      </c>
      <c r="J137" s="134">
        <f>VLOOKUP(A137,'ESSA Title V-B'!$A$12:$G$31,7,FALSE)</f>
        <v>0</v>
      </c>
    </row>
    <row r="138" spans="1:10" ht="18.75" x14ac:dyDescent="0.3">
      <c r="A138" s="249" t="s">
        <v>140</v>
      </c>
      <c r="B138" s="55" t="s">
        <v>318</v>
      </c>
      <c r="C138" s="134">
        <f>VLOOKUP(A138,'ESSA Title I-A Formula'!A146:G328,7,FALSE)</f>
        <v>0</v>
      </c>
      <c r="D138" s="134">
        <v>0</v>
      </c>
      <c r="E138" s="134">
        <v>0</v>
      </c>
      <c r="F138" s="134">
        <f>VLOOKUP(A138,'ESSA Title II-A Formula'!A146:G328,7,FALSE)</f>
        <v>0</v>
      </c>
      <c r="G138" s="134">
        <f>VLOOKUP(A138,'ESSA Title III-ELL '!A146:G330,7,FALSE)</f>
        <v>0</v>
      </c>
      <c r="H138" s="134">
        <v>0</v>
      </c>
      <c r="I138" s="134">
        <f>VLOOKUP(A138,'ESSA Title IV'!A146:G328,7,FALSE)</f>
        <v>0</v>
      </c>
      <c r="J138" s="134">
        <v>0</v>
      </c>
    </row>
    <row r="139" spans="1:10" ht="18.75" x14ac:dyDescent="0.3">
      <c r="A139" s="249" t="s">
        <v>141</v>
      </c>
      <c r="B139" s="55" t="s">
        <v>319</v>
      </c>
      <c r="C139" s="134">
        <f>VLOOKUP(A139,'ESSA Title I-A Formula'!A147:G329,7,FALSE)</f>
        <v>0</v>
      </c>
      <c r="D139" s="134">
        <v>0</v>
      </c>
      <c r="E139" s="134">
        <v>0</v>
      </c>
      <c r="F139" s="134">
        <f>VLOOKUP(A139,'ESSA Title II-A Formula'!A147:G329,7,FALSE)</f>
        <v>0</v>
      </c>
      <c r="G139" s="134">
        <f>VLOOKUP(A139,'ESSA Title III-ELL '!A147:G331,7,FALSE)</f>
        <v>0</v>
      </c>
      <c r="H139" s="134">
        <v>0</v>
      </c>
      <c r="I139" s="134">
        <f>VLOOKUP(A139,'ESSA Title IV'!A147:G329,7,FALSE)</f>
        <v>0</v>
      </c>
      <c r="J139" s="134">
        <v>0</v>
      </c>
    </row>
    <row r="140" spans="1:10" ht="18.75" x14ac:dyDescent="0.3">
      <c r="A140" s="249" t="s">
        <v>142</v>
      </c>
      <c r="B140" s="55" t="s">
        <v>320</v>
      </c>
      <c r="C140" s="134">
        <f>VLOOKUP(A140,'ESSA Title I-A Formula'!A148:G330,7,FALSE)</f>
        <v>0</v>
      </c>
      <c r="D140" s="134">
        <v>0</v>
      </c>
      <c r="E140" s="134">
        <v>0</v>
      </c>
      <c r="F140" s="134">
        <f>VLOOKUP(A140,'ESSA Title II-A Formula'!A148:G330,7,FALSE)</f>
        <v>0</v>
      </c>
      <c r="G140" s="134">
        <f>VLOOKUP(A140,'ESSA Title III-ELL '!A148:G332,7,FALSE)</f>
        <v>0</v>
      </c>
      <c r="H140" s="134">
        <v>0</v>
      </c>
      <c r="I140" s="134">
        <f>VLOOKUP(A140,'ESSA Title IV'!A148:G330,7,FALSE)</f>
        <v>0</v>
      </c>
      <c r="J140" s="134">
        <v>0</v>
      </c>
    </row>
    <row r="141" spans="1:10" ht="18.75" x14ac:dyDescent="0.3">
      <c r="A141" s="249" t="s">
        <v>143</v>
      </c>
      <c r="B141" s="55" t="s">
        <v>321</v>
      </c>
      <c r="C141" s="134">
        <f>VLOOKUP(A141,'ESSA Title I-A Formula'!A149:G331,7,FALSE)</f>
        <v>0</v>
      </c>
      <c r="D141" s="134">
        <v>0</v>
      </c>
      <c r="E141" s="134">
        <v>0</v>
      </c>
      <c r="F141" s="134">
        <f>VLOOKUP(A141,'ESSA Title II-A Formula'!A149:G331,7,FALSE)</f>
        <v>0</v>
      </c>
      <c r="G141" s="134">
        <f>VLOOKUP(A141,'ESSA Title III-ELL '!A149:G333,7,FALSE)</f>
        <v>0</v>
      </c>
      <c r="H141" s="134">
        <v>0</v>
      </c>
      <c r="I141" s="134">
        <f>VLOOKUP(A141,'ESSA Title IV'!A149:G331,7,FALSE)</f>
        <v>0</v>
      </c>
      <c r="J141" s="134">
        <v>0</v>
      </c>
    </row>
    <row r="142" spans="1:10" ht="18.75" x14ac:dyDescent="0.3">
      <c r="A142" s="249" t="s">
        <v>144</v>
      </c>
      <c r="B142" s="55" t="s">
        <v>322</v>
      </c>
      <c r="C142" s="134">
        <f>VLOOKUP(A142,'ESSA Title I-A Formula'!A150:G332,7,FALSE)</f>
        <v>0</v>
      </c>
      <c r="D142" s="134">
        <v>0</v>
      </c>
      <c r="E142" s="134">
        <v>0</v>
      </c>
      <c r="F142" s="134">
        <f>VLOOKUP(A142,'ESSA Title II-A Formula'!A150:G332,7,FALSE)</f>
        <v>0</v>
      </c>
      <c r="G142" s="134">
        <f>VLOOKUP(A142,'ESSA Title III-ELL '!A150:G334,7,FALSE)</f>
        <v>0</v>
      </c>
      <c r="H142" s="134">
        <v>0</v>
      </c>
      <c r="I142" s="134">
        <f>VLOOKUP(A142,'ESSA Title IV'!A150:G332,7,FALSE)</f>
        <v>0</v>
      </c>
      <c r="J142" s="134">
        <v>0</v>
      </c>
    </row>
    <row r="143" spans="1:10" ht="18.75" x14ac:dyDescent="0.3">
      <c r="A143" s="249" t="s">
        <v>145</v>
      </c>
      <c r="B143" s="55" t="s">
        <v>323</v>
      </c>
      <c r="C143" s="134">
        <f>VLOOKUP(A143,'ESSA Title I-A Formula'!A151:G333,7,FALSE)</f>
        <v>0</v>
      </c>
      <c r="D143" s="134">
        <v>0</v>
      </c>
      <c r="E143" s="134">
        <v>0</v>
      </c>
      <c r="F143" s="134">
        <f>VLOOKUP(A143,'ESSA Title II-A Formula'!A151:G333,7,FALSE)</f>
        <v>0</v>
      </c>
      <c r="G143" s="134">
        <f>VLOOKUP(A143,'ESSA Title III-ELL '!A151:G335,7,FALSE)</f>
        <v>0</v>
      </c>
      <c r="H143" s="134">
        <v>0</v>
      </c>
      <c r="I143" s="134">
        <f>VLOOKUP(A143,'ESSA Title IV'!A151:G333,7,FALSE)</f>
        <v>0</v>
      </c>
      <c r="J143" s="134">
        <v>0</v>
      </c>
    </row>
    <row r="144" spans="1:10" ht="18.75" x14ac:dyDescent="0.3">
      <c r="A144" s="249" t="s">
        <v>146</v>
      </c>
      <c r="B144" s="55" t="s">
        <v>324</v>
      </c>
      <c r="C144" s="134">
        <f>VLOOKUP(A144,'ESSA Title I-A Formula'!A152:G334,7,FALSE)</f>
        <v>0</v>
      </c>
      <c r="D144" s="134">
        <v>0</v>
      </c>
      <c r="E144" s="134">
        <v>0</v>
      </c>
      <c r="F144" s="134">
        <f>VLOOKUP(A144,'ESSA Title II-A Formula'!A152:G334,7,FALSE)</f>
        <v>0</v>
      </c>
      <c r="G144" s="134">
        <f>VLOOKUP(A144,'ESSA Title III-ELL '!A152:G336,7,FALSE)</f>
        <v>0</v>
      </c>
      <c r="H144" s="134">
        <v>0</v>
      </c>
      <c r="I144" s="134">
        <f>VLOOKUP(A144,'ESSA Title IV'!A152:G334,7,FALSE)</f>
        <v>0</v>
      </c>
      <c r="J144" s="134">
        <v>0</v>
      </c>
    </row>
    <row r="145" spans="1:10" ht="18.75" x14ac:dyDescent="0.3">
      <c r="A145" s="249" t="s">
        <v>147</v>
      </c>
      <c r="B145" s="55" t="s">
        <v>325</v>
      </c>
      <c r="C145" s="134">
        <f>VLOOKUP(A145,'ESSA Title I-A Formula'!A153:G335,7,FALSE)</f>
        <v>0</v>
      </c>
      <c r="D145" s="134">
        <v>0</v>
      </c>
      <c r="E145" s="134">
        <v>0</v>
      </c>
      <c r="F145" s="134">
        <f>VLOOKUP(A145,'ESSA Title II-A Formula'!A153:G335,7,FALSE)</f>
        <v>0</v>
      </c>
      <c r="G145" s="134">
        <f>VLOOKUP(A145,'ESSA Title III-ELL '!A153:G337,7,FALSE)</f>
        <v>0</v>
      </c>
      <c r="H145" s="134">
        <v>0</v>
      </c>
      <c r="I145" s="134">
        <f>VLOOKUP(A145,'ESSA Title IV'!A153:G335,7,FALSE)</f>
        <v>0</v>
      </c>
      <c r="J145" s="134">
        <f>VLOOKUP(A145,'ESSA Title V-B'!$A$12:$G$31,7,FALSE)</f>
        <v>0</v>
      </c>
    </row>
    <row r="146" spans="1:10" ht="18.75" x14ac:dyDescent="0.3">
      <c r="A146" s="249" t="s">
        <v>148</v>
      </c>
      <c r="B146" s="55" t="s">
        <v>326</v>
      </c>
      <c r="C146" s="134">
        <f>VLOOKUP(A146,'ESSA Title I-A Formula'!A154:G336,7,FALSE)</f>
        <v>0</v>
      </c>
      <c r="D146" s="134">
        <v>0</v>
      </c>
      <c r="E146" s="134">
        <v>0</v>
      </c>
      <c r="F146" s="134">
        <f>VLOOKUP(A146,'ESSA Title II-A Formula'!A154:G336,7,FALSE)</f>
        <v>0</v>
      </c>
      <c r="G146" s="134">
        <f>VLOOKUP(A146,'ESSA Title III-ELL '!A154:G338,7,FALSE)</f>
        <v>0</v>
      </c>
      <c r="H146" s="134">
        <v>0</v>
      </c>
      <c r="I146" s="134">
        <f>VLOOKUP(A146,'ESSA Title IV'!A154:G336,7,FALSE)</f>
        <v>0</v>
      </c>
      <c r="J146" s="134">
        <v>0</v>
      </c>
    </row>
    <row r="147" spans="1:10" ht="18.75" x14ac:dyDescent="0.3">
      <c r="A147" s="249" t="s">
        <v>149</v>
      </c>
      <c r="B147" s="55" t="s">
        <v>327</v>
      </c>
      <c r="C147" s="134">
        <f>VLOOKUP(A147,'ESSA Title I-A Formula'!A155:G337,7,FALSE)</f>
        <v>0</v>
      </c>
      <c r="D147" s="134">
        <v>0</v>
      </c>
      <c r="E147" s="134">
        <v>0</v>
      </c>
      <c r="F147" s="134">
        <f>VLOOKUP(A147,'ESSA Title II-A Formula'!A155:G337,7,FALSE)</f>
        <v>0</v>
      </c>
      <c r="G147" s="134">
        <f>VLOOKUP(A147,'ESSA Title III-ELL '!A155:G339,7,FALSE)</f>
        <v>0</v>
      </c>
      <c r="H147" s="134">
        <v>0</v>
      </c>
      <c r="I147" s="134">
        <f>VLOOKUP(A147,'ESSA Title IV'!A155:G337,7,FALSE)</f>
        <v>0</v>
      </c>
      <c r="J147" s="134">
        <v>0</v>
      </c>
    </row>
    <row r="148" spans="1:10" ht="18.75" x14ac:dyDescent="0.3">
      <c r="A148" s="249" t="s">
        <v>150</v>
      </c>
      <c r="B148" s="55" t="s">
        <v>328</v>
      </c>
      <c r="C148" s="134">
        <f>VLOOKUP(A148,'ESSA Title I-A Formula'!A156:G338,7,FALSE)</f>
        <v>0</v>
      </c>
      <c r="D148" s="134">
        <v>0</v>
      </c>
      <c r="E148" s="134">
        <v>0</v>
      </c>
      <c r="F148" s="134">
        <f>VLOOKUP(A148,'ESSA Title II-A Formula'!A156:G338,7,FALSE)</f>
        <v>0</v>
      </c>
      <c r="G148" s="134">
        <f>VLOOKUP(A148,'ESSA Title III-ELL '!A156:G340,7,FALSE)</f>
        <v>0</v>
      </c>
      <c r="H148" s="134">
        <v>0</v>
      </c>
      <c r="I148" s="134">
        <f>VLOOKUP(A148,'ESSA Title IV'!A156:G338,7,FALSE)</f>
        <v>0</v>
      </c>
      <c r="J148" s="134">
        <v>0</v>
      </c>
    </row>
    <row r="149" spans="1:10" ht="18.75" x14ac:dyDescent="0.3">
      <c r="A149" s="249" t="s">
        <v>151</v>
      </c>
      <c r="B149" s="55" t="s">
        <v>329</v>
      </c>
      <c r="C149" s="134">
        <f>VLOOKUP(A149,'ESSA Title I-A Formula'!A157:G339,7,FALSE)</f>
        <v>0</v>
      </c>
      <c r="D149" s="134">
        <v>0</v>
      </c>
      <c r="E149" s="134">
        <v>0</v>
      </c>
      <c r="F149" s="134">
        <f>VLOOKUP(A149,'ESSA Title II-A Formula'!A157:G339,7,FALSE)</f>
        <v>0</v>
      </c>
      <c r="G149" s="134">
        <f>VLOOKUP(A149,'ESSA Title III-ELL '!A157:G341,7,FALSE)</f>
        <v>0</v>
      </c>
      <c r="H149" s="134">
        <v>0</v>
      </c>
      <c r="I149" s="134">
        <f>VLOOKUP(A149,'ESSA Title IV'!A157:G339,7,FALSE)</f>
        <v>0</v>
      </c>
      <c r="J149" s="134">
        <v>0</v>
      </c>
    </row>
    <row r="150" spans="1:10" ht="18.75" x14ac:dyDescent="0.3">
      <c r="A150" s="249" t="s">
        <v>152</v>
      </c>
      <c r="B150" s="55" t="s">
        <v>330</v>
      </c>
      <c r="C150" s="134">
        <f>VLOOKUP(A150,'ESSA Title I-A Formula'!A158:G340,7,FALSE)</f>
        <v>0</v>
      </c>
      <c r="D150" s="134">
        <v>0</v>
      </c>
      <c r="E150" s="134">
        <v>0</v>
      </c>
      <c r="F150" s="134">
        <f>VLOOKUP(A150,'ESSA Title II-A Formula'!A158:G340,7,FALSE)</f>
        <v>0</v>
      </c>
      <c r="G150" s="134">
        <f>VLOOKUP(A150,'ESSA Title III-ELL '!A158:G342,7,FALSE)</f>
        <v>0</v>
      </c>
      <c r="H150" s="134">
        <v>0</v>
      </c>
      <c r="I150" s="134">
        <f>VLOOKUP(A150,'ESSA Title IV'!A158:G340,7,FALSE)</f>
        <v>0</v>
      </c>
      <c r="J150" s="134">
        <v>0</v>
      </c>
    </row>
    <row r="151" spans="1:10" ht="18.75" x14ac:dyDescent="0.3">
      <c r="A151" s="249" t="s">
        <v>153</v>
      </c>
      <c r="B151" s="55" t="s">
        <v>331</v>
      </c>
      <c r="C151" s="134">
        <f>VLOOKUP(A151,'ESSA Title I-A Formula'!A159:G341,7,FALSE)</f>
        <v>0</v>
      </c>
      <c r="D151" s="134">
        <v>0</v>
      </c>
      <c r="E151" s="134">
        <v>0</v>
      </c>
      <c r="F151" s="134">
        <f>VLOOKUP(A151,'ESSA Title II-A Formula'!A159:G341,7,FALSE)</f>
        <v>0</v>
      </c>
      <c r="G151" s="134">
        <f>VLOOKUP(A151,'ESSA Title III-ELL '!A159:G343,7,FALSE)</f>
        <v>0</v>
      </c>
      <c r="H151" s="134">
        <v>0</v>
      </c>
      <c r="I151" s="134">
        <f>VLOOKUP(A151,'ESSA Title IV'!A159:G341,7,FALSE)</f>
        <v>0</v>
      </c>
      <c r="J151" s="134">
        <v>0</v>
      </c>
    </row>
    <row r="152" spans="1:10" ht="18.75" x14ac:dyDescent="0.3">
      <c r="A152" s="249" t="s">
        <v>154</v>
      </c>
      <c r="B152" s="55" t="s">
        <v>332</v>
      </c>
      <c r="C152" s="134">
        <f>VLOOKUP(A152,'ESSA Title I-A Formula'!A160:G342,7,FALSE)</f>
        <v>0</v>
      </c>
      <c r="D152" s="134">
        <v>0</v>
      </c>
      <c r="E152" s="134">
        <v>0</v>
      </c>
      <c r="F152" s="134">
        <f>VLOOKUP(A152,'ESSA Title II-A Formula'!A160:G342,7,FALSE)</f>
        <v>0</v>
      </c>
      <c r="G152" s="134">
        <f>VLOOKUP(A152,'ESSA Title III-ELL '!A160:G344,7,FALSE)</f>
        <v>0</v>
      </c>
      <c r="H152" s="134">
        <v>0</v>
      </c>
      <c r="I152" s="134">
        <f>VLOOKUP(A152,'ESSA Title IV'!A160:G342,7,FALSE)</f>
        <v>0</v>
      </c>
      <c r="J152" s="134">
        <f>VLOOKUP(A152,'ESSA Title V-B'!$A$12:$G$31,7,FALSE)</f>
        <v>0</v>
      </c>
    </row>
    <row r="153" spans="1:10" ht="18.75" x14ac:dyDescent="0.3">
      <c r="A153" s="249" t="s">
        <v>155</v>
      </c>
      <c r="B153" s="55" t="s">
        <v>333</v>
      </c>
      <c r="C153" s="134">
        <f>VLOOKUP(A153,'ESSA Title I-A Formula'!A161:G343,7,FALSE)</f>
        <v>0</v>
      </c>
      <c r="D153" s="134">
        <v>0</v>
      </c>
      <c r="E153" s="134">
        <v>0</v>
      </c>
      <c r="F153" s="134">
        <f>VLOOKUP(A153,'ESSA Title II-A Formula'!A161:G343,7,FALSE)</f>
        <v>0</v>
      </c>
      <c r="G153" s="134">
        <f>VLOOKUP(A153,'ESSA Title III-ELL '!A161:G345,7,FALSE)</f>
        <v>0</v>
      </c>
      <c r="H153" s="134">
        <f>'ESSA Title III SAI'!G37</f>
        <v>0</v>
      </c>
      <c r="I153" s="134">
        <f>VLOOKUP(A153,'ESSA Title IV'!A161:G343,7,FALSE)</f>
        <v>0</v>
      </c>
      <c r="J153" s="134">
        <v>0</v>
      </c>
    </row>
    <row r="154" spans="1:10" ht="18.75" x14ac:dyDescent="0.3">
      <c r="A154" s="249" t="s">
        <v>156</v>
      </c>
      <c r="B154" s="55" t="s">
        <v>334</v>
      </c>
      <c r="C154" s="134">
        <f>VLOOKUP(A154,'ESSA Title I-A Formula'!A162:G344,7,FALSE)</f>
        <v>0</v>
      </c>
      <c r="D154" s="134">
        <v>0</v>
      </c>
      <c r="E154" s="134">
        <v>0</v>
      </c>
      <c r="F154" s="134">
        <f>VLOOKUP(A154,'ESSA Title II-A Formula'!A162:G344,7,FALSE)</f>
        <v>0</v>
      </c>
      <c r="G154" s="134">
        <f>VLOOKUP(A154,'ESSA Title III-ELL '!A162:G346,7,FALSE)</f>
        <v>0</v>
      </c>
      <c r="H154" s="134">
        <f>'ESSA Title III SAI'!G38</f>
        <v>0</v>
      </c>
      <c r="I154" s="134">
        <f>VLOOKUP(A154,'ESSA Title IV'!A162:G344,7,FALSE)</f>
        <v>0</v>
      </c>
      <c r="J154" s="134">
        <v>0</v>
      </c>
    </row>
    <row r="155" spans="1:10" ht="18.75" x14ac:dyDescent="0.3">
      <c r="A155" s="249" t="s">
        <v>157</v>
      </c>
      <c r="B155" s="55" t="s">
        <v>335</v>
      </c>
      <c r="C155" s="134">
        <f>VLOOKUP(A155,'ESSA Title I-A Formula'!A163:G345,7,FALSE)</f>
        <v>0</v>
      </c>
      <c r="D155" s="134">
        <v>0</v>
      </c>
      <c r="E155" s="134">
        <v>0</v>
      </c>
      <c r="F155" s="134">
        <f>VLOOKUP(A155,'ESSA Title II-A Formula'!A163:G345,7,FALSE)</f>
        <v>0</v>
      </c>
      <c r="G155" s="134">
        <f>VLOOKUP(A155,'ESSA Title III-ELL '!A163:G347,7,FALSE)</f>
        <v>0</v>
      </c>
      <c r="H155" s="134">
        <v>0</v>
      </c>
      <c r="I155" s="134">
        <f>VLOOKUP(A155,'ESSA Title IV'!A163:G345,7,FALSE)</f>
        <v>0</v>
      </c>
      <c r="J155" s="134">
        <v>0</v>
      </c>
    </row>
    <row r="156" spans="1:10" ht="18.75" x14ac:dyDescent="0.3">
      <c r="A156" s="249" t="s">
        <v>158</v>
      </c>
      <c r="B156" s="55" t="s">
        <v>336</v>
      </c>
      <c r="C156" s="134">
        <f>VLOOKUP(A156,'ESSA Title I-A Formula'!A164:G346,7,FALSE)</f>
        <v>0</v>
      </c>
      <c r="D156" s="134">
        <v>0</v>
      </c>
      <c r="E156" s="134">
        <v>0</v>
      </c>
      <c r="F156" s="134">
        <f>VLOOKUP(A156,'ESSA Title II-A Formula'!A164:G346,7,FALSE)</f>
        <v>0</v>
      </c>
      <c r="G156" s="134">
        <f>VLOOKUP(A156,'ESSA Title III-ELL '!A164:G348,7,FALSE)</f>
        <v>0</v>
      </c>
      <c r="H156" s="134">
        <v>0</v>
      </c>
      <c r="I156" s="134">
        <f>VLOOKUP(A156,'ESSA Title IV'!A164:G346,7,FALSE)</f>
        <v>0</v>
      </c>
      <c r="J156" s="134">
        <v>0</v>
      </c>
    </row>
    <row r="157" spans="1:10" ht="18.75" x14ac:dyDescent="0.3">
      <c r="A157" s="249" t="s">
        <v>159</v>
      </c>
      <c r="B157" s="55" t="s">
        <v>397</v>
      </c>
      <c r="C157" s="134">
        <f>VLOOKUP(A157,'ESSA Title I-A Formula'!A165:G347,7,FALSE)</f>
        <v>0</v>
      </c>
      <c r="D157" s="134">
        <v>0</v>
      </c>
      <c r="E157" s="134">
        <v>0</v>
      </c>
      <c r="F157" s="134">
        <f>VLOOKUP(A157,'ESSA Title II-A Formula'!A165:G347,7,FALSE)</f>
        <v>0</v>
      </c>
      <c r="G157" s="134">
        <f>VLOOKUP(A157,'ESSA Title III-ELL '!A165:G349,7,FALSE)</f>
        <v>0</v>
      </c>
      <c r="H157" s="134">
        <v>0</v>
      </c>
      <c r="I157" s="134">
        <f>VLOOKUP(A157,'ESSA Title IV'!A165:G347,7,FALSE)</f>
        <v>0</v>
      </c>
      <c r="J157" s="134">
        <v>0</v>
      </c>
    </row>
    <row r="158" spans="1:10" ht="18.75" x14ac:dyDescent="0.3">
      <c r="A158" s="249" t="s">
        <v>160</v>
      </c>
      <c r="B158" s="55" t="s">
        <v>337</v>
      </c>
      <c r="C158" s="134">
        <f>VLOOKUP(A158,'ESSA Title I-A Formula'!A166:G348,7,FALSE)</f>
        <v>0</v>
      </c>
      <c r="D158" s="134">
        <v>0</v>
      </c>
      <c r="E158" s="134">
        <v>0</v>
      </c>
      <c r="F158" s="134">
        <f>VLOOKUP(A158,'ESSA Title II-A Formula'!A166:G348,7,FALSE)</f>
        <v>0</v>
      </c>
      <c r="G158" s="134">
        <f>VLOOKUP(A158,'ESSA Title III-ELL '!A166:G350,7,FALSE)</f>
        <v>0</v>
      </c>
      <c r="H158" s="134">
        <f>'ESSA Title III SAI'!G39</f>
        <v>0</v>
      </c>
      <c r="I158" s="134">
        <f>VLOOKUP(A158,'ESSA Title IV'!A166:G348,7,FALSE)</f>
        <v>0</v>
      </c>
      <c r="J158" s="134">
        <v>0</v>
      </c>
    </row>
    <row r="159" spans="1:10" ht="18.75" x14ac:dyDescent="0.3">
      <c r="A159" s="249" t="s">
        <v>161</v>
      </c>
      <c r="B159" s="55" t="s">
        <v>338</v>
      </c>
      <c r="C159" s="134">
        <f>VLOOKUP(A159,'ESSA Title I-A Formula'!A167:G349,7,FALSE)</f>
        <v>0</v>
      </c>
      <c r="D159" s="134">
        <v>0</v>
      </c>
      <c r="E159" s="134">
        <v>0</v>
      </c>
      <c r="F159" s="134">
        <f>VLOOKUP(A159,'ESSA Title II-A Formula'!A167:G349,7,FALSE)</f>
        <v>0</v>
      </c>
      <c r="G159" s="134">
        <f>VLOOKUP(A159,'ESSA Title III-ELL '!A167:G351,7,FALSE)</f>
        <v>0</v>
      </c>
      <c r="H159" s="134">
        <v>0</v>
      </c>
      <c r="I159" s="134">
        <f>VLOOKUP(A159,'ESSA Title IV'!A167:G349,7,FALSE)</f>
        <v>0</v>
      </c>
      <c r="J159" s="134">
        <v>0</v>
      </c>
    </row>
    <row r="160" spans="1:10" ht="18.75" x14ac:dyDescent="0.3">
      <c r="A160" s="249" t="s">
        <v>162</v>
      </c>
      <c r="B160" s="55" t="s">
        <v>339</v>
      </c>
      <c r="C160" s="134">
        <f>VLOOKUP(A160,'ESSA Title I-A Formula'!A168:G350,7,FALSE)</f>
        <v>0</v>
      </c>
      <c r="D160" s="134">
        <v>0</v>
      </c>
      <c r="E160" s="134">
        <v>0</v>
      </c>
      <c r="F160" s="134">
        <f>VLOOKUP(A160,'ESSA Title II-A Formula'!A168:G350,7,FALSE)</f>
        <v>0</v>
      </c>
      <c r="G160" s="134">
        <f>VLOOKUP(A160,'ESSA Title III-ELL '!A168:G352,7,FALSE)</f>
        <v>0</v>
      </c>
      <c r="H160" s="134">
        <v>0</v>
      </c>
      <c r="I160" s="134">
        <f>VLOOKUP(A160,'ESSA Title IV'!A168:G350,7,FALSE)</f>
        <v>0</v>
      </c>
      <c r="J160" s="134">
        <v>0</v>
      </c>
    </row>
    <row r="161" spans="1:10" ht="18.75" x14ac:dyDescent="0.3">
      <c r="A161" s="249" t="s">
        <v>163</v>
      </c>
      <c r="B161" s="55" t="s">
        <v>340</v>
      </c>
      <c r="C161" s="134">
        <f>VLOOKUP(A161,'ESSA Title I-A Formula'!A169:G351,7,FALSE)</f>
        <v>0</v>
      </c>
      <c r="D161" s="134">
        <v>0</v>
      </c>
      <c r="E161" s="134">
        <v>0</v>
      </c>
      <c r="F161" s="134">
        <f>VLOOKUP(A161,'ESSA Title II-A Formula'!A169:G351,7,FALSE)</f>
        <v>0</v>
      </c>
      <c r="G161" s="134">
        <f>VLOOKUP(A161,'ESSA Title III-ELL '!A169:G353,7,FALSE)</f>
        <v>0</v>
      </c>
      <c r="H161" s="134">
        <v>0</v>
      </c>
      <c r="I161" s="134">
        <f>VLOOKUP(A161,'ESSA Title IV'!A169:G351,7,FALSE)</f>
        <v>0</v>
      </c>
      <c r="J161" s="134">
        <v>0</v>
      </c>
    </row>
    <row r="162" spans="1:10" ht="18.75" x14ac:dyDescent="0.3">
      <c r="A162" s="249" t="s">
        <v>164</v>
      </c>
      <c r="B162" s="55" t="s">
        <v>341</v>
      </c>
      <c r="C162" s="134">
        <f>VLOOKUP(A162,'ESSA Title I-A Formula'!A170:G352,7,FALSE)</f>
        <v>0</v>
      </c>
      <c r="D162" s="134">
        <v>0</v>
      </c>
      <c r="E162" s="134">
        <v>0</v>
      </c>
      <c r="F162" s="134">
        <f>VLOOKUP(A162,'ESSA Title II-A Formula'!A170:G352,7,FALSE)</f>
        <v>0</v>
      </c>
      <c r="G162" s="134">
        <f>VLOOKUP(A162,'ESSA Title III-ELL '!A170:G354,7,FALSE)</f>
        <v>0</v>
      </c>
      <c r="H162" s="134">
        <v>0</v>
      </c>
      <c r="I162" s="134">
        <f>VLOOKUP(A162,'ESSA Title IV'!A170:G352,7,FALSE)</f>
        <v>0</v>
      </c>
      <c r="J162" s="134">
        <v>0</v>
      </c>
    </row>
    <row r="163" spans="1:10" ht="18.75" x14ac:dyDescent="0.3">
      <c r="A163" s="249" t="s">
        <v>165</v>
      </c>
      <c r="B163" s="55" t="s">
        <v>342</v>
      </c>
      <c r="C163" s="134">
        <f>VLOOKUP(A163,'ESSA Title I-A Formula'!A171:G353,7,FALSE)</f>
        <v>0</v>
      </c>
      <c r="D163" s="134">
        <v>0</v>
      </c>
      <c r="E163" s="134">
        <v>0</v>
      </c>
      <c r="F163" s="134">
        <f>VLOOKUP(A163,'ESSA Title II-A Formula'!A171:G353,7,FALSE)</f>
        <v>0</v>
      </c>
      <c r="G163" s="134">
        <f>VLOOKUP(A163,'ESSA Title III-ELL '!A171:G355,7,FALSE)</f>
        <v>0</v>
      </c>
      <c r="H163" s="134">
        <v>0</v>
      </c>
      <c r="I163" s="134">
        <f>VLOOKUP(A163,'ESSA Title IV'!A171:G353,7,FALSE)</f>
        <v>0</v>
      </c>
      <c r="J163" s="134">
        <v>0</v>
      </c>
    </row>
    <row r="164" spans="1:10" ht="18.75" x14ac:dyDescent="0.3">
      <c r="A164" s="249" t="s">
        <v>166</v>
      </c>
      <c r="B164" s="55" t="s">
        <v>343</v>
      </c>
      <c r="C164" s="134">
        <f>VLOOKUP(A164,'ESSA Title I-A Formula'!A172:G354,7,FALSE)</f>
        <v>0</v>
      </c>
      <c r="D164" s="134">
        <v>0</v>
      </c>
      <c r="E164" s="134">
        <v>0</v>
      </c>
      <c r="F164" s="134">
        <f>VLOOKUP(A164,'ESSA Title II-A Formula'!A172:G354,7,FALSE)</f>
        <v>0</v>
      </c>
      <c r="G164" s="134">
        <f>VLOOKUP(A164,'ESSA Title III-ELL '!A172:G356,7,FALSE)</f>
        <v>0</v>
      </c>
      <c r="H164" s="134">
        <v>0</v>
      </c>
      <c r="I164" s="134">
        <f>VLOOKUP(A164,'ESSA Title IV'!A172:G354,7,FALSE)</f>
        <v>0</v>
      </c>
      <c r="J164" s="134">
        <v>0</v>
      </c>
    </row>
    <row r="165" spans="1:10" ht="18.75" x14ac:dyDescent="0.3">
      <c r="A165" s="249" t="s">
        <v>167</v>
      </c>
      <c r="B165" s="55" t="s">
        <v>344</v>
      </c>
      <c r="C165" s="134">
        <f>VLOOKUP(A165,'ESSA Title I-A Formula'!A173:G355,7,FALSE)</f>
        <v>0</v>
      </c>
      <c r="D165" s="134">
        <v>0</v>
      </c>
      <c r="E165" s="134">
        <v>0</v>
      </c>
      <c r="F165" s="134">
        <f>VLOOKUP(A165,'ESSA Title II-A Formula'!A173:G355,7,FALSE)</f>
        <v>0</v>
      </c>
      <c r="G165" s="134">
        <f>VLOOKUP(A165,'ESSA Title III-ELL '!A173:G357,7,FALSE)</f>
        <v>0</v>
      </c>
      <c r="H165" s="134">
        <v>0</v>
      </c>
      <c r="I165" s="134">
        <f>VLOOKUP(A165,'ESSA Title IV'!A173:G355,7,FALSE)</f>
        <v>0</v>
      </c>
      <c r="J165" s="134">
        <v>0</v>
      </c>
    </row>
    <row r="166" spans="1:10" ht="18.75" x14ac:dyDescent="0.3">
      <c r="A166" s="249" t="s">
        <v>168</v>
      </c>
      <c r="B166" s="55" t="s">
        <v>345</v>
      </c>
      <c r="C166" s="134">
        <f>VLOOKUP(A166,'ESSA Title I-A Formula'!A174:G356,7,FALSE)</f>
        <v>0</v>
      </c>
      <c r="D166" s="134">
        <v>0</v>
      </c>
      <c r="E166" s="134">
        <v>0</v>
      </c>
      <c r="F166" s="134">
        <f>VLOOKUP(A166,'ESSA Title II-A Formula'!A174:G356,7,FALSE)</f>
        <v>0</v>
      </c>
      <c r="G166" s="134">
        <f>VLOOKUP(A166,'ESSA Title III-ELL '!A174:G358,7,FALSE)</f>
        <v>0</v>
      </c>
      <c r="H166" s="134">
        <v>0</v>
      </c>
      <c r="I166" s="134">
        <f>VLOOKUP(A166,'ESSA Title IV'!A174:G356,7,FALSE)</f>
        <v>0</v>
      </c>
      <c r="J166" s="134">
        <v>0</v>
      </c>
    </row>
    <row r="167" spans="1:10" ht="18.75" x14ac:dyDescent="0.3">
      <c r="A167" s="249" t="s">
        <v>169</v>
      </c>
      <c r="B167" s="55" t="s">
        <v>346</v>
      </c>
      <c r="C167" s="134">
        <f>VLOOKUP(A167,'ESSA Title I-A Formula'!A175:G357,7,FALSE)</f>
        <v>0</v>
      </c>
      <c r="D167" s="134">
        <v>0</v>
      </c>
      <c r="E167" s="134">
        <v>0</v>
      </c>
      <c r="F167" s="134">
        <f>VLOOKUP(A167,'ESSA Title II-A Formula'!A175:G357,7,FALSE)</f>
        <v>0</v>
      </c>
      <c r="G167" s="134">
        <f>VLOOKUP(A167,'ESSA Title III-ELL '!A175:G359,7,FALSE)</f>
        <v>0</v>
      </c>
      <c r="H167" s="134">
        <v>0</v>
      </c>
      <c r="I167" s="134">
        <f>VLOOKUP(A167,'ESSA Title IV'!A175:G357,7,FALSE)</f>
        <v>0</v>
      </c>
      <c r="J167" s="134">
        <v>0</v>
      </c>
    </row>
    <row r="168" spans="1:10" ht="18.75" x14ac:dyDescent="0.3">
      <c r="A168" s="249" t="s">
        <v>170</v>
      </c>
      <c r="B168" s="55" t="s">
        <v>398</v>
      </c>
      <c r="C168" s="134">
        <f>VLOOKUP(A168,'ESSA Title I-A Formula'!A176:G358,7,FALSE)</f>
        <v>0</v>
      </c>
      <c r="D168" s="134">
        <v>0</v>
      </c>
      <c r="E168" s="134">
        <v>0</v>
      </c>
      <c r="F168" s="134">
        <f>VLOOKUP(A168,'ESSA Title II-A Formula'!A176:G358,7,FALSE)</f>
        <v>0</v>
      </c>
      <c r="G168" s="134">
        <f>VLOOKUP(A168,'ESSA Title III-ELL '!A176:G360,7,FALSE)</f>
        <v>0</v>
      </c>
      <c r="H168" s="134">
        <f>'ESSA Title III SAI'!G40</f>
        <v>0</v>
      </c>
      <c r="I168" s="134">
        <f>VLOOKUP(A168,'ESSA Title IV'!A176:G358,7,FALSE)</f>
        <v>0</v>
      </c>
      <c r="J168" s="134">
        <v>0</v>
      </c>
    </row>
    <row r="169" spans="1:10" ht="18.75" x14ac:dyDescent="0.3">
      <c r="A169" s="249" t="s">
        <v>171</v>
      </c>
      <c r="B169" s="55" t="s">
        <v>347</v>
      </c>
      <c r="C169" s="134">
        <f>VLOOKUP(A169,'ESSA Title I-A Formula'!A177:G359,7,FALSE)</f>
        <v>0</v>
      </c>
      <c r="D169" s="134">
        <v>0</v>
      </c>
      <c r="E169" s="134">
        <v>0</v>
      </c>
      <c r="F169" s="134">
        <f>VLOOKUP(A169,'ESSA Title II-A Formula'!A177:G359,7,FALSE)</f>
        <v>0</v>
      </c>
      <c r="G169" s="134">
        <f>VLOOKUP(A169,'ESSA Title III-ELL '!A177:G361,7,FALSE)</f>
        <v>0</v>
      </c>
      <c r="H169" s="134">
        <v>0</v>
      </c>
      <c r="I169" s="134">
        <f>VLOOKUP(A169,'ESSA Title IV'!A177:G359,7,FALSE)</f>
        <v>0</v>
      </c>
      <c r="J169" s="134">
        <v>0</v>
      </c>
    </row>
    <row r="170" spans="1:10" ht="18.75" x14ac:dyDescent="0.3">
      <c r="A170" s="249" t="s">
        <v>172</v>
      </c>
      <c r="B170" s="55" t="s">
        <v>348</v>
      </c>
      <c r="C170" s="134">
        <f>VLOOKUP(A170,'ESSA Title I-A Formula'!A178:G360,7,FALSE)</f>
        <v>0</v>
      </c>
      <c r="D170" s="134">
        <v>0</v>
      </c>
      <c r="E170" s="134">
        <v>0</v>
      </c>
      <c r="F170" s="134">
        <f>VLOOKUP(A170,'ESSA Title II-A Formula'!A178:G360,7,FALSE)</f>
        <v>0</v>
      </c>
      <c r="G170" s="134">
        <f>VLOOKUP(A170,'ESSA Title III-ELL '!A178:G362,7,FALSE)</f>
        <v>0</v>
      </c>
      <c r="H170" s="134">
        <v>0</v>
      </c>
      <c r="I170" s="134">
        <f>VLOOKUP(A170,'ESSA Title IV'!A178:G360,7,FALSE)</f>
        <v>0</v>
      </c>
      <c r="J170" s="134">
        <v>0</v>
      </c>
    </row>
    <row r="171" spans="1:10" ht="18.75" x14ac:dyDescent="0.3">
      <c r="A171" s="249" t="s">
        <v>173</v>
      </c>
      <c r="B171" s="55" t="s">
        <v>349</v>
      </c>
      <c r="C171" s="134">
        <f>VLOOKUP(A171,'ESSA Title I-A Formula'!A179:G361,7,FALSE)</f>
        <v>0</v>
      </c>
      <c r="D171" s="134">
        <f>'ESSA Title I-Delinquent'!G22</f>
        <v>0</v>
      </c>
      <c r="E171" s="134">
        <v>0</v>
      </c>
      <c r="F171" s="134">
        <f>VLOOKUP(A171,'ESSA Title II-A Formula'!A179:G361,7,FALSE)</f>
        <v>0</v>
      </c>
      <c r="G171" s="134">
        <f>VLOOKUP(A171,'ESSA Title III-ELL '!A179:G363,7,FALSE)</f>
        <v>0</v>
      </c>
      <c r="H171" s="134">
        <f>'ESSA Title III SAI'!G41</f>
        <v>0</v>
      </c>
      <c r="I171" s="134">
        <f>VLOOKUP(A171,'ESSA Title IV'!A179:G361,7,FALSE)</f>
        <v>0</v>
      </c>
      <c r="J171" s="134">
        <v>0</v>
      </c>
    </row>
    <row r="172" spans="1:10" ht="18.75" x14ac:dyDescent="0.3">
      <c r="A172" s="249" t="s">
        <v>174</v>
      </c>
      <c r="B172" s="55" t="s">
        <v>350</v>
      </c>
      <c r="C172" s="134">
        <f>VLOOKUP(A172,'ESSA Title I-A Formula'!A180:G362,7,FALSE)</f>
        <v>0</v>
      </c>
      <c r="D172" s="134">
        <v>0</v>
      </c>
      <c r="E172" s="134">
        <v>0</v>
      </c>
      <c r="F172" s="134">
        <f>VLOOKUP(A172,'ESSA Title II-A Formula'!A180:G362,7,FALSE)</f>
        <v>0</v>
      </c>
      <c r="G172" s="134">
        <f>VLOOKUP(A172,'ESSA Title III-ELL '!A180:G364,7,FALSE)</f>
        <v>0</v>
      </c>
      <c r="H172" s="134">
        <v>0</v>
      </c>
      <c r="I172" s="134">
        <f>VLOOKUP(A172,'ESSA Title IV'!A180:G362,7,FALSE)</f>
        <v>0</v>
      </c>
      <c r="J172" s="134">
        <v>0</v>
      </c>
    </row>
    <row r="173" spans="1:10" ht="18.75" x14ac:dyDescent="0.3">
      <c r="A173" s="249" t="s">
        <v>175</v>
      </c>
      <c r="B173" s="55" t="s">
        <v>351</v>
      </c>
      <c r="C173" s="134">
        <f>VLOOKUP(A173,'ESSA Title I-A Formula'!A181:G363,7,FALSE)</f>
        <v>0</v>
      </c>
      <c r="D173" s="134">
        <v>0</v>
      </c>
      <c r="E173" s="134">
        <v>0</v>
      </c>
      <c r="F173" s="134">
        <f>VLOOKUP(A173,'ESSA Title II-A Formula'!A181:G363,7,FALSE)</f>
        <v>0</v>
      </c>
      <c r="G173" s="134">
        <f>VLOOKUP(A173,'ESSA Title III-ELL '!A181:G365,7,FALSE)</f>
        <v>0</v>
      </c>
      <c r="H173" s="134">
        <f>'ESSA Title III SAI'!G43</f>
        <v>0</v>
      </c>
      <c r="I173" s="134">
        <f>VLOOKUP(A173,'ESSA Title IV'!A181:G363,7,FALSE)</f>
        <v>0</v>
      </c>
      <c r="J173" s="134">
        <v>0</v>
      </c>
    </row>
    <row r="174" spans="1:10" ht="18.75" x14ac:dyDescent="0.3">
      <c r="A174" s="249" t="s">
        <v>176</v>
      </c>
      <c r="B174" s="55" t="s">
        <v>352</v>
      </c>
      <c r="C174" s="134">
        <f>VLOOKUP(A174,'ESSA Title I-A Formula'!A182:G364,7,FALSE)</f>
        <v>0</v>
      </c>
      <c r="D174" s="134">
        <v>0</v>
      </c>
      <c r="E174" s="134">
        <v>0</v>
      </c>
      <c r="F174" s="134">
        <f>VLOOKUP(A174,'ESSA Title II-A Formula'!A182:G364,7,FALSE)</f>
        <v>0</v>
      </c>
      <c r="G174" s="134">
        <f>VLOOKUP(A174,'ESSA Title III-ELL '!A182:G366,7,FALSE)</f>
        <v>0</v>
      </c>
      <c r="H174" s="134">
        <v>0</v>
      </c>
      <c r="I174" s="134">
        <f>VLOOKUP(A174,'ESSA Title IV'!A182:G364,7,FALSE)</f>
        <v>0</v>
      </c>
      <c r="J174" s="134">
        <v>0</v>
      </c>
    </row>
    <row r="175" spans="1:10" ht="18.75" x14ac:dyDescent="0.3">
      <c r="A175" s="249" t="s">
        <v>177</v>
      </c>
      <c r="B175" s="55" t="s">
        <v>353</v>
      </c>
      <c r="C175" s="134">
        <f>VLOOKUP(A175,'ESSA Title I-A Formula'!A183:G365,7,FALSE)</f>
        <v>0</v>
      </c>
      <c r="D175" s="134">
        <v>0</v>
      </c>
      <c r="E175" s="134">
        <v>0</v>
      </c>
      <c r="F175" s="134">
        <f>VLOOKUP(A175,'ESSA Title II-A Formula'!A183:G365,7,FALSE)</f>
        <v>0</v>
      </c>
      <c r="G175" s="134">
        <f>VLOOKUP(A175,'ESSA Title III-ELL '!A183:G367,7,FALSE)</f>
        <v>0</v>
      </c>
      <c r="H175" s="134">
        <v>0</v>
      </c>
      <c r="I175" s="134">
        <f>VLOOKUP(A175,'ESSA Title IV'!A183:G365,7,FALSE)</f>
        <v>0</v>
      </c>
      <c r="J175" s="134">
        <v>0</v>
      </c>
    </row>
    <row r="176" spans="1:10" ht="18.75" x14ac:dyDescent="0.3">
      <c r="A176" s="249" t="s">
        <v>178</v>
      </c>
      <c r="B176" s="55" t="s">
        <v>354</v>
      </c>
      <c r="C176" s="134">
        <f>VLOOKUP(A176,'ESSA Title I-A Formula'!A184:G366,7,FALSE)</f>
        <v>0</v>
      </c>
      <c r="D176" s="134">
        <v>0</v>
      </c>
      <c r="E176" s="134">
        <v>0</v>
      </c>
      <c r="F176" s="134">
        <f>VLOOKUP(A176,'ESSA Title II-A Formula'!A184:G366,7,FALSE)</f>
        <v>0</v>
      </c>
      <c r="G176" s="134">
        <f>VLOOKUP(A176,'ESSA Title III-ELL '!A184:G368,7,FALSE)</f>
        <v>0</v>
      </c>
      <c r="H176" s="134">
        <v>0</v>
      </c>
      <c r="I176" s="134">
        <f>VLOOKUP(A176,'ESSA Title IV'!A184:G366,7,FALSE)</f>
        <v>0</v>
      </c>
      <c r="J176" s="134">
        <v>0</v>
      </c>
    </row>
    <row r="177" spans="1:10" ht="18.75" x14ac:dyDescent="0.3">
      <c r="A177" s="249" t="s">
        <v>179</v>
      </c>
      <c r="B177" s="55" t="s">
        <v>355</v>
      </c>
      <c r="C177" s="134">
        <f>VLOOKUP(A177,'ESSA Title I-A Formula'!A185:G367,7,FALSE)</f>
        <v>0</v>
      </c>
      <c r="D177" s="134">
        <v>0</v>
      </c>
      <c r="E177" s="134">
        <v>0</v>
      </c>
      <c r="F177" s="134">
        <f>VLOOKUP(A177,'ESSA Title II-A Formula'!A185:G367,7,FALSE)</f>
        <v>0</v>
      </c>
      <c r="G177" s="134">
        <f>VLOOKUP(A177,'ESSA Title III-ELL '!A185:G369,7,FALSE)</f>
        <v>0</v>
      </c>
      <c r="H177" s="134">
        <v>0</v>
      </c>
      <c r="I177" s="134">
        <f>VLOOKUP(A177,'ESSA Title IV'!A185:G367,7,FALSE)</f>
        <v>0</v>
      </c>
      <c r="J177" s="134">
        <v>0</v>
      </c>
    </row>
    <row r="178" spans="1:10" ht="18.75" x14ac:dyDescent="0.3">
      <c r="A178" s="249" t="s">
        <v>180</v>
      </c>
      <c r="B178" s="55" t="s">
        <v>356</v>
      </c>
      <c r="C178" s="134">
        <f>VLOOKUP(A178,'ESSA Title I-A Formula'!A186:G368,7,FALSE)</f>
        <v>0</v>
      </c>
      <c r="D178" s="134">
        <v>0</v>
      </c>
      <c r="E178" s="134">
        <v>0</v>
      </c>
      <c r="F178" s="134">
        <f>VLOOKUP(A178,'ESSA Title II-A Formula'!A186:G368,7,FALSE)</f>
        <v>0</v>
      </c>
      <c r="G178" s="134">
        <f>VLOOKUP(A178,'ESSA Title III-ELL '!A186:G370,7,FALSE)</f>
        <v>0</v>
      </c>
      <c r="H178" s="134">
        <v>0</v>
      </c>
      <c r="I178" s="134">
        <f>VLOOKUP(A178,'ESSA Title IV'!A186:G368,7,FALSE)</f>
        <v>0</v>
      </c>
      <c r="J178" s="134">
        <v>0</v>
      </c>
    </row>
    <row r="179" spans="1:10" ht="18.75" x14ac:dyDescent="0.3">
      <c r="A179" s="249" t="s">
        <v>181</v>
      </c>
      <c r="B179" s="55" t="s">
        <v>357</v>
      </c>
      <c r="C179" s="134">
        <f>VLOOKUP(A179,'ESSA Title I-A Formula'!A187:G369,7,FALSE)</f>
        <v>0</v>
      </c>
      <c r="D179" s="134">
        <v>0</v>
      </c>
      <c r="E179" s="134">
        <v>0</v>
      </c>
      <c r="F179" s="134">
        <f>VLOOKUP(A179,'ESSA Title II-A Formula'!A187:G369,7,FALSE)</f>
        <v>0</v>
      </c>
      <c r="G179" s="134">
        <f>VLOOKUP(A179,'ESSA Title III-ELL '!A187:G371,7,FALSE)</f>
        <v>0</v>
      </c>
      <c r="H179" s="134">
        <f>'ESSA Title III SAI'!G44</f>
        <v>0</v>
      </c>
      <c r="I179" s="134">
        <f>VLOOKUP(A179,'ESSA Title IV'!A187:G369,7,FALSE)</f>
        <v>0</v>
      </c>
      <c r="J179" s="134">
        <v>0</v>
      </c>
    </row>
    <row r="180" spans="1:10" ht="18.75" x14ac:dyDescent="0.3">
      <c r="A180" s="249" t="s">
        <v>182</v>
      </c>
      <c r="B180" s="55" t="s">
        <v>358</v>
      </c>
      <c r="C180" s="134">
        <f>VLOOKUP(A180,'ESSA Title I-A Formula'!A188:G370,7,FALSE)</f>
        <v>0</v>
      </c>
      <c r="D180" s="134">
        <v>0</v>
      </c>
      <c r="E180" s="134">
        <v>0</v>
      </c>
      <c r="F180" s="134">
        <f>VLOOKUP(A180,'ESSA Title II-A Formula'!A188:G370,7,FALSE)</f>
        <v>0</v>
      </c>
      <c r="G180" s="134">
        <f>VLOOKUP(A180,'ESSA Title III-ELL '!A188:G372,7,FALSE)</f>
        <v>0</v>
      </c>
      <c r="H180" s="134">
        <v>0</v>
      </c>
      <c r="I180" s="134">
        <f>VLOOKUP(A180,'ESSA Title IV'!A188:G370,7,FALSE)</f>
        <v>0</v>
      </c>
      <c r="J180" s="134">
        <v>0</v>
      </c>
    </row>
    <row r="181" spans="1:10" ht="18.75" x14ac:dyDescent="0.3">
      <c r="A181" s="249" t="s">
        <v>183</v>
      </c>
      <c r="B181" s="55" t="s">
        <v>359</v>
      </c>
      <c r="C181" s="134">
        <f>VLOOKUP(A181,'ESSA Title I-A Formula'!A189:G371,7,FALSE)</f>
        <v>0</v>
      </c>
      <c r="D181" s="134">
        <v>0</v>
      </c>
      <c r="E181" s="134">
        <v>0</v>
      </c>
      <c r="F181" s="134">
        <f>VLOOKUP(A181,'ESSA Title II-A Formula'!A189:G371,7,FALSE)</f>
        <v>0</v>
      </c>
      <c r="G181" s="134">
        <f>VLOOKUP(A181,'ESSA Title III-ELL '!A189:G373,7,FALSE)</f>
        <v>0</v>
      </c>
      <c r="H181" s="134">
        <v>0</v>
      </c>
      <c r="I181" s="134">
        <f>VLOOKUP(A181,'ESSA Title IV'!A189:G371,7,FALSE)</f>
        <v>0</v>
      </c>
      <c r="J181" s="134">
        <v>0</v>
      </c>
    </row>
    <row r="182" spans="1:10" ht="18.75" x14ac:dyDescent="0.3">
      <c r="A182" s="250" t="s">
        <v>402</v>
      </c>
      <c r="B182" s="55" t="s">
        <v>360</v>
      </c>
      <c r="C182" s="134">
        <f>VLOOKUP(A182,'ESSA Title I-A Formula'!A190:G372,7,FALSE)</f>
        <v>0</v>
      </c>
      <c r="D182" s="134">
        <v>0</v>
      </c>
      <c r="E182" s="134">
        <v>0</v>
      </c>
      <c r="F182" s="134">
        <f>VLOOKUP(A182,'ESSA Title II-A Formula'!A190:G372,7,FALSE)</f>
        <v>0</v>
      </c>
      <c r="G182" s="134">
        <f>VLOOKUP(A182,'ESSA Title III-ELL '!A190:G374,7,FALSE)</f>
        <v>0</v>
      </c>
      <c r="H182" s="134">
        <v>0</v>
      </c>
      <c r="I182" s="134">
        <f>VLOOKUP(A182,'ESSA Title IV'!A190:G372,7,FALSE)</f>
        <v>0</v>
      </c>
      <c r="J182" s="134">
        <v>0</v>
      </c>
    </row>
    <row r="183" spans="1:10" ht="18.75" x14ac:dyDescent="0.3">
      <c r="A183" s="249" t="s">
        <v>362</v>
      </c>
      <c r="B183" s="55" t="s">
        <v>361</v>
      </c>
      <c r="C183" s="134">
        <f>VLOOKUP(A183,'ESSA Title I-A Formula'!A191:G373,7,FALSE)</f>
        <v>0</v>
      </c>
      <c r="D183" s="134">
        <v>0</v>
      </c>
      <c r="E183" s="134">
        <v>0</v>
      </c>
      <c r="F183" s="134">
        <f>VLOOKUP(A183,'ESSA Title II-A Formula'!A191:G373,7,FALSE)</f>
        <v>0</v>
      </c>
      <c r="G183" s="134">
        <v>0</v>
      </c>
      <c r="H183" s="134">
        <v>0</v>
      </c>
      <c r="I183" s="134">
        <f>VLOOKUP(A183,'ESSA Title IV'!A191:G373,7,FALSE)</f>
        <v>0</v>
      </c>
      <c r="J183" s="134">
        <v>0</v>
      </c>
    </row>
    <row r="184" spans="1:10" ht="18.75" x14ac:dyDescent="0.3">
      <c r="A184" s="251" t="s">
        <v>370</v>
      </c>
      <c r="B184" s="56" t="s">
        <v>374</v>
      </c>
      <c r="C184" s="134">
        <f>VLOOKUP(A184,'ESSA Title I-A Formula'!A192:G374,7,FALSE)</f>
        <v>0</v>
      </c>
      <c r="D184" s="134">
        <v>0</v>
      </c>
      <c r="E184" s="134">
        <v>0</v>
      </c>
      <c r="F184" s="134">
        <f>VLOOKUP(A184,'ESSA Title II-A Formula'!A192:G374,7,FALSE)</f>
        <v>0</v>
      </c>
      <c r="G184" s="134">
        <f>'ESSA Title III-ELL '!G191</f>
        <v>0</v>
      </c>
      <c r="H184" s="134">
        <f>'ESSA Title III SAI'!G45</f>
        <v>0</v>
      </c>
      <c r="I184" s="134">
        <f>VLOOKUP(A184,'ESSA Title IV'!A192:G374,7,FALSE)</f>
        <v>0</v>
      </c>
      <c r="J184" s="134">
        <f>VLOOKUP(A184,'ESSA Title V-B'!$A$12:$G$31,7,FALSE)</f>
        <v>0</v>
      </c>
    </row>
    <row r="185" spans="1:10" ht="18.75" x14ac:dyDescent="0.3">
      <c r="A185" s="251" t="s">
        <v>371</v>
      </c>
      <c r="B185" s="56" t="s">
        <v>375</v>
      </c>
      <c r="C185" s="134">
        <f>VLOOKUP(A185,'ESSA Title I-A Formula'!A193:G375,7,FALSE)</f>
        <v>0</v>
      </c>
      <c r="D185" s="134">
        <v>0</v>
      </c>
      <c r="E185" s="134">
        <v>0</v>
      </c>
      <c r="F185" s="134">
        <f>VLOOKUP(A185,'ESSA Title II-A Formula'!A193:G375,7,FALSE)</f>
        <v>0</v>
      </c>
      <c r="G185" s="134">
        <f>'ESSA Title III-ELL '!G192</f>
        <v>0</v>
      </c>
      <c r="H185" s="134">
        <f>'ESSA Title III SAI'!G46</f>
        <v>0</v>
      </c>
      <c r="I185" s="134">
        <f>VLOOKUP(A185,'ESSA Title IV'!A193:G375,7,FALSE)</f>
        <v>0</v>
      </c>
      <c r="J185" s="134">
        <v>0</v>
      </c>
    </row>
    <row r="186" spans="1:10" ht="18.75" x14ac:dyDescent="0.3">
      <c r="A186" s="251" t="s">
        <v>372</v>
      </c>
      <c r="B186" s="57" t="s">
        <v>376</v>
      </c>
      <c r="C186" s="134">
        <f>VLOOKUP(A186,'ESSA Title I-A Formula'!A194:G376,7,FALSE)</f>
        <v>0</v>
      </c>
      <c r="D186" s="134">
        <v>0</v>
      </c>
      <c r="E186" s="134">
        <v>0</v>
      </c>
      <c r="F186" s="134">
        <f>VLOOKUP(A186,'ESSA Title II-A Formula'!A194:G376,7,FALSE)</f>
        <v>0</v>
      </c>
      <c r="G186" s="134">
        <f>'ESSA Title III-ELL '!G193</f>
        <v>0</v>
      </c>
      <c r="H186" s="134">
        <v>0</v>
      </c>
      <c r="I186" s="134">
        <f>VLOOKUP(A186,'ESSA Title IV'!A194:G376,7,FALSE)</f>
        <v>0</v>
      </c>
      <c r="J186" s="134">
        <v>0</v>
      </c>
    </row>
    <row r="187" spans="1:10" ht="18.75" x14ac:dyDescent="0.3">
      <c r="A187" s="251" t="s">
        <v>403</v>
      </c>
      <c r="B187" s="57" t="s">
        <v>388</v>
      </c>
      <c r="C187" s="134">
        <v>0</v>
      </c>
      <c r="D187" s="134">
        <v>0</v>
      </c>
      <c r="E187" s="134">
        <v>0</v>
      </c>
      <c r="F187" s="134">
        <v>0</v>
      </c>
      <c r="G187" s="134">
        <v>0</v>
      </c>
      <c r="H187" s="134">
        <v>0</v>
      </c>
      <c r="I187" s="134">
        <v>0</v>
      </c>
      <c r="J187" s="134">
        <v>0</v>
      </c>
    </row>
    <row r="188" spans="1:10" ht="18.75" x14ac:dyDescent="0.3">
      <c r="A188" s="251" t="s">
        <v>400</v>
      </c>
      <c r="B188" s="57" t="s">
        <v>389</v>
      </c>
      <c r="C188" s="134">
        <v>0</v>
      </c>
      <c r="D188" s="134">
        <v>0</v>
      </c>
      <c r="E188" s="134">
        <v>0</v>
      </c>
      <c r="F188" s="134">
        <v>0</v>
      </c>
      <c r="G188" s="134">
        <f>'ESSA Title III-ELL '!G194</f>
        <v>0</v>
      </c>
      <c r="H188" s="134">
        <v>0</v>
      </c>
      <c r="I188" s="134">
        <v>0</v>
      </c>
      <c r="J188" s="134">
        <v>0</v>
      </c>
    </row>
    <row r="189" spans="1:10" ht="18.75" x14ac:dyDescent="0.3">
      <c r="A189" s="251" t="s">
        <v>399</v>
      </c>
      <c r="B189" s="57" t="s">
        <v>390</v>
      </c>
      <c r="C189" s="134">
        <v>0</v>
      </c>
      <c r="D189" s="134">
        <v>0</v>
      </c>
      <c r="E189" s="134">
        <v>0</v>
      </c>
      <c r="F189" s="134">
        <v>0</v>
      </c>
      <c r="G189" s="134">
        <v>0</v>
      </c>
      <c r="H189" s="134">
        <v>0</v>
      </c>
      <c r="I189" s="134">
        <v>0</v>
      </c>
      <c r="J189" s="134">
        <v>0</v>
      </c>
    </row>
    <row r="190" spans="1:10" ht="18.75" x14ac:dyDescent="0.3">
      <c r="A190" s="251" t="s">
        <v>401</v>
      </c>
      <c r="B190" s="57" t="s">
        <v>391</v>
      </c>
      <c r="C190" s="134">
        <v>0</v>
      </c>
      <c r="D190" s="134">
        <v>0</v>
      </c>
      <c r="E190" s="134">
        <v>0</v>
      </c>
      <c r="F190" s="134">
        <v>0</v>
      </c>
      <c r="G190" s="134">
        <f>'ESSA Title III-ELL '!G195</f>
        <v>0</v>
      </c>
      <c r="H190" s="134">
        <f>'ESSA Title III SAI'!G47</f>
        <v>0</v>
      </c>
      <c r="I190" s="134">
        <v>0</v>
      </c>
      <c r="J190" s="134">
        <v>0</v>
      </c>
    </row>
    <row r="191" spans="1:10" ht="18.75" x14ac:dyDescent="0.3">
      <c r="A191" s="251" t="s">
        <v>373</v>
      </c>
      <c r="B191" s="57" t="s">
        <v>377</v>
      </c>
      <c r="C191" s="134">
        <v>0</v>
      </c>
      <c r="D191" s="134">
        <v>0</v>
      </c>
      <c r="E191" s="134">
        <v>0</v>
      </c>
      <c r="F191" s="134">
        <v>0</v>
      </c>
      <c r="G191" s="134">
        <f>'ESSA Title III-ELL '!G196</f>
        <v>0</v>
      </c>
      <c r="H191" s="134">
        <v>0</v>
      </c>
      <c r="I191" s="134">
        <v>0</v>
      </c>
      <c r="J191" s="134">
        <v>0</v>
      </c>
    </row>
    <row r="192" spans="1:10" ht="18.75" x14ac:dyDescent="0.3">
      <c r="A192" s="251" t="s">
        <v>614</v>
      </c>
      <c r="B192" s="57" t="s">
        <v>615</v>
      </c>
      <c r="C192" s="134">
        <v>0</v>
      </c>
      <c r="D192" s="134">
        <v>0</v>
      </c>
      <c r="E192" s="134">
        <f>'StateAgenciesTitle I-Delinquent'!G12</f>
        <v>0</v>
      </c>
      <c r="F192" s="134">
        <v>0</v>
      </c>
      <c r="G192" s="134">
        <f>'ESSA Title III-ELL '!G199</f>
        <v>0</v>
      </c>
      <c r="H192" s="134">
        <v>0</v>
      </c>
      <c r="I192" s="134">
        <v>0</v>
      </c>
      <c r="J192" s="134">
        <v>0</v>
      </c>
    </row>
    <row r="193" spans="1:10" ht="18.75" x14ac:dyDescent="0.3">
      <c r="A193" s="252"/>
      <c r="B193" s="56"/>
      <c r="C193" s="134"/>
      <c r="D193" s="134"/>
      <c r="E193" s="134"/>
      <c r="F193" s="134"/>
      <c r="G193" s="134"/>
      <c r="H193" s="134"/>
      <c r="I193" s="134"/>
      <c r="J193" s="134"/>
    </row>
    <row r="194" spans="1:10" ht="18.75" x14ac:dyDescent="0.3">
      <c r="A194" s="253"/>
      <c r="B194" s="58"/>
      <c r="C194" s="59">
        <f>SUM(C4:C192)</f>
        <v>1</v>
      </c>
      <c r="D194" s="59">
        <f>SUM(D4:D192)</f>
        <v>4482.8099999999986</v>
      </c>
      <c r="E194" s="59">
        <f>SUM(E4:E192)</f>
        <v>0</v>
      </c>
      <c r="F194" s="59">
        <f>SUM(F4:F191)</f>
        <v>0</v>
      </c>
      <c r="G194" s="59">
        <f>SUM(G4:G191)</f>
        <v>2802.4600000000009</v>
      </c>
      <c r="H194" s="134">
        <f>SUM(H4:H192)</f>
        <v>17059.72</v>
      </c>
      <c r="I194" s="59">
        <f>SUM(I4:I192)</f>
        <v>24245.519999999997</v>
      </c>
      <c r="J194" s="134">
        <f>SUM(J5:J193)</f>
        <v>24607.26</v>
      </c>
    </row>
    <row r="195" spans="1:10" x14ac:dyDescent="0.25">
      <c r="A195" s="254"/>
      <c r="B195" s="60"/>
      <c r="C195" s="61"/>
      <c r="D195" s="61"/>
      <c r="E195" s="61"/>
      <c r="F195" s="61"/>
      <c r="G195" s="61"/>
      <c r="H195" s="61"/>
      <c r="I195" s="61"/>
      <c r="J195" s="61"/>
    </row>
    <row r="196" spans="1:10" x14ac:dyDescent="0.25">
      <c r="A196" s="254"/>
      <c r="B196" s="60"/>
      <c r="C196" s="61"/>
      <c r="D196" s="61"/>
      <c r="E196" s="61"/>
      <c r="F196" s="61"/>
      <c r="G196" s="61"/>
      <c r="H196" s="61"/>
      <c r="I196" s="61"/>
      <c r="J196" s="61"/>
    </row>
    <row r="197" spans="1:10" x14ac:dyDescent="0.25">
      <c r="C197" s="52"/>
      <c r="D197" s="52"/>
      <c r="E197" s="52"/>
      <c r="F197" s="52"/>
      <c r="G197" s="52"/>
      <c r="H197" s="52"/>
      <c r="I197" s="52"/>
      <c r="J197" s="52"/>
    </row>
    <row r="198" spans="1:10" x14ac:dyDescent="0.25">
      <c r="C198" s="52"/>
      <c r="D198" s="52"/>
      <c r="E198" s="52"/>
      <c r="F198" s="52"/>
      <c r="G198" s="52"/>
      <c r="H198" s="52"/>
      <c r="I198" s="52"/>
      <c r="J198" s="52"/>
    </row>
    <row r="199" spans="1:10" x14ac:dyDescent="0.25">
      <c r="C199" s="52"/>
      <c r="D199" s="52"/>
      <c r="E199" s="52"/>
      <c r="F199" s="52"/>
      <c r="G199" s="52"/>
      <c r="H199" s="52"/>
      <c r="I199" s="52"/>
      <c r="J199" s="52"/>
    </row>
    <row r="200" spans="1:10" x14ac:dyDescent="0.25">
      <c r="C200" s="52"/>
      <c r="D200" s="52"/>
      <c r="E200" s="52"/>
      <c r="F200" s="52"/>
      <c r="G200" s="52"/>
      <c r="H200" s="52"/>
      <c r="I200" s="52"/>
      <c r="J200" s="52"/>
    </row>
    <row r="201" spans="1:10" x14ac:dyDescent="0.25">
      <c r="C201" s="52"/>
      <c r="D201" s="52"/>
      <c r="E201" s="52"/>
      <c r="F201" s="52"/>
      <c r="G201" s="52"/>
      <c r="H201" s="52"/>
      <c r="I201" s="52"/>
      <c r="J201" s="52"/>
    </row>
    <row r="202" spans="1:10" x14ac:dyDescent="0.25">
      <c r="C202" s="52"/>
      <c r="D202" s="52"/>
      <c r="E202" s="52"/>
      <c r="F202" s="52"/>
      <c r="G202" s="52"/>
      <c r="H202" s="52"/>
      <c r="I202" s="52"/>
      <c r="J202" s="52"/>
    </row>
    <row r="203" spans="1:10" x14ac:dyDescent="0.25">
      <c r="C203" s="52"/>
      <c r="D203" s="52"/>
      <c r="E203" s="52"/>
      <c r="F203" s="52"/>
      <c r="G203" s="52"/>
      <c r="H203" s="52"/>
      <c r="I203" s="52"/>
      <c r="J203" s="52"/>
    </row>
    <row r="204" spans="1:10" x14ac:dyDescent="0.25">
      <c r="C204" s="52"/>
      <c r="D204" s="52"/>
      <c r="E204" s="52"/>
      <c r="F204" s="52"/>
      <c r="G204" s="52"/>
      <c r="H204" s="52"/>
      <c r="I204" s="52"/>
      <c r="J204" s="52"/>
    </row>
    <row r="205" spans="1:10" x14ac:dyDescent="0.25">
      <c r="C205" s="52"/>
      <c r="D205" s="52"/>
      <c r="E205" s="52"/>
      <c r="F205" s="52"/>
      <c r="G205" s="52"/>
      <c r="H205" s="52"/>
      <c r="I205" s="52"/>
      <c r="J205" s="52"/>
    </row>
    <row r="206" spans="1:10" x14ac:dyDescent="0.25">
      <c r="C206" s="52"/>
      <c r="D206" s="52"/>
      <c r="E206" s="52"/>
      <c r="F206" s="52"/>
      <c r="G206" s="52"/>
      <c r="H206" s="52"/>
      <c r="I206" s="52"/>
      <c r="J206" s="52"/>
    </row>
    <row r="207" spans="1:10" x14ac:dyDescent="0.25">
      <c r="C207" s="52"/>
      <c r="D207" s="52"/>
      <c r="E207" s="52"/>
      <c r="F207" s="52"/>
      <c r="G207" s="52"/>
      <c r="H207" s="52"/>
      <c r="I207" s="52"/>
      <c r="J207" s="52"/>
    </row>
    <row r="208" spans="1:10" x14ac:dyDescent="0.25">
      <c r="C208" s="52"/>
      <c r="D208" s="52"/>
      <c r="E208" s="52"/>
      <c r="F208" s="52"/>
      <c r="G208" s="52"/>
      <c r="H208" s="52"/>
      <c r="I208" s="52"/>
      <c r="J208" s="52"/>
    </row>
    <row r="209" spans="3:10" x14ac:dyDescent="0.25">
      <c r="C209" s="52"/>
      <c r="D209" s="52"/>
      <c r="E209" s="52"/>
      <c r="F209" s="52"/>
      <c r="G209" s="52"/>
      <c r="H209" s="52"/>
      <c r="I209" s="52"/>
      <c r="J209" s="52"/>
    </row>
    <row r="210" spans="3:10" x14ac:dyDescent="0.25">
      <c r="C210" s="52"/>
      <c r="D210" s="52"/>
      <c r="E210" s="52"/>
      <c r="F210" s="52"/>
      <c r="G210" s="52"/>
      <c r="H210" s="52"/>
      <c r="I210" s="52"/>
      <c r="J210" s="52"/>
    </row>
    <row r="211" spans="3:10" x14ac:dyDescent="0.25">
      <c r="C211" s="52"/>
      <c r="D211" s="52"/>
      <c r="E211" s="52"/>
      <c r="F211" s="52"/>
      <c r="G211" s="52"/>
      <c r="H211" s="52"/>
      <c r="I211" s="52"/>
      <c r="J211" s="52"/>
    </row>
    <row r="212" spans="3:10" x14ac:dyDescent="0.25">
      <c r="C212" s="52"/>
      <c r="D212" s="52"/>
      <c r="E212" s="52"/>
      <c r="F212" s="52"/>
      <c r="G212" s="52"/>
      <c r="H212" s="52"/>
      <c r="I212" s="52"/>
      <c r="J212" s="52"/>
    </row>
    <row r="213" spans="3:10" x14ac:dyDescent="0.25">
      <c r="C213" s="52"/>
      <c r="D213" s="52"/>
      <c r="E213" s="52"/>
      <c r="F213" s="52"/>
      <c r="G213" s="52"/>
      <c r="H213" s="52"/>
      <c r="I213" s="52"/>
      <c r="J213" s="52"/>
    </row>
    <row r="214" spans="3:10" x14ac:dyDescent="0.25">
      <c r="C214" s="52"/>
      <c r="D214" s="52"/>
      <c r="E214" s="52"/>
      <c r="F214" s="52"/>
      <c r="G214" s="52"/>
      <c r="H214" s="52"/>
      <c r="I214" s="52"/>
      <c r="J214" s="52"/>
    </row>
    <row r="215" spans="3:10" x14ac:dyDescent="0.25">
      <c r="C215" s="52"/>
      <c r="D215" s="52"/>
      <c r="E215" s="52"/>
      <c r="F215" s="52"/>
      <c r="G215" s="52"/>
      <c r="H215" s="52"/>
      <c r="I215" s="52"/>
      <c r="J215" s="52"/>
    </row>
    <row r="216" spans="3:10" x14ac:dyDescent="0.25">
      <c r="C216" s="52"/>
      <c r="D216" s="52"/>
      <c r="E216" s="52"/>
      <c r="F216" s="52"/>
      <c r="G216" s="52"/>
      <c r="H216" s="52"/>
      <c r="I216" s="52"/>
      <c r="J216" s="52"/>
    </row>
    <row r="217" spans="3:10" x14ac:dyDescent="0.25">
      <c r="C217" s="52"/>
      <c r="D217" s="52"/>
      <c r="E217" s="52"/>
      <c r="F217" s="52"/>
      <c r="G217" s="52"/>
      <c r="H217" s="52"/>
      <c r="I217" s="52"/>
      <c r="J217" s="52"/>
    </row>
    <row r="218" spans="3:10" x14ac:dyDescent="0.25">
      <c r="C218" s="52"/>
      <c r="D218" s="52"/>
      <c r="E218" s="52"/>
      <c r="F218" s="52"/>
      <c r="G218" s="52"/>
      <c r="H218" s="52"/>
      <c r="I218" s="52"/>
      <c r="J218" s="52"/>
    </row>
    <row r="219" spans="3:10" x14ac:dyDescent="0.25">
      <c r="C219" s="52"/>
      <c r="D219" s="52"/>
      <c r="E219" s="52"/>
      <c r="F219" s="52"/>
      <c r="G219" s="52"/>
      <c r="H219" s="52"/>
      <c r="I219" s="52"/>
      <c r="J219" s="52"/>
    </row>
    <row r="220" spans="3:10" x14ac:dyDescent="0.25">
      <c r="C220" s="52"/>
      <c r="D220" s="52"/>
      <c r="E220" s="52"/>
      <c r="F220" s="52"/>
      <c r="G220" s="52"/>
      <c r="H220" s="52"/>
      <c r="I220" s="52"/>
      <c r="J220" s="52"/>
    </row>
    <row r="221" spans="3:10" x14ac:dyDescent="0.25">
      <c r="C221" s="52"/>
      <c r="D221" s="52"/>
      <c r="E221" s="52"/>
      <c r="F221" s="52"/>
      <c r="G221" s="52"/>
      <c r="H221" s="52"/>
      <c r="I221" s="52"/>
      <c r="J221" s="52"/>
    </row>
    <row r="222" spans="3:10" x14ac:dyDescent="0.25">
      <c r="C222" s="52"/>
      <c r="D222" s="52"/>
      <c r="E222" s="52"/>
      <c r="F222" s="52"/>
      <c r="G222" s="52"/>
      <c r="H222" s="52"/>
      <c r="I222" s="52"/>
      <c r="J222" s="52"/>
    </row>
    <row r="223" spans="3:10" x14ac:dyDescent="0.25">
      <c r="C223" s="52"/>
      <c r="D223" s="52"/>
      <c r="E223" s="52"/>
      <c r="F223" s="52"/>
      <c r="G223" s="52"/>
      <c r="H223" s="52"/>
      <c r="I223" s="52"/>
      <c r="J223" s="52"/>
    </row>
    <row r="224" spans="3:10" x14ac:dyDescent="0.25">
      <c r="C224" s="52"/>
      <c r="D224" s="52"/>
      <c r="E224" s="52"/>
      <c r="F224" s="52"/>
      <c r="G224" s="52"/>
      <c r="H224" s="52"/>
      <c r="I224" s="52"/>
      <c r="J224" s="52"/>
    </row>
    <row r="225" spans="3:10" x14ac:dyDescent="0.25">
      <c r="C225" s="52"/>
      <c r="D225" s="52"/>
      <c r="E225" s="52"/>
      <c r="F225" s="52"/>
      <c r="G225" s="52"/>
      <c r="H225" s="52"/>
      <c r="I225" s="52"/>
      <c r="J225" s="52"/>
    </row>
  </sheetData>
  <sheetProtection algorithmName="SHA-512" hashValue="AXpPpgoG8h7rah400/VHkVTRiABYIWV4ju1WTYmCCqiPzNSQvT8bBobEEjZf7RbOB42dFzNH6II8V1uaa4BX6g==" saltValue="tMAYOFCpzYXZ5Tjrpg9/3A==" spinCount="100000" sheet="1" objects="1" scenarios="1"/>
  <mergeCells count="1">
    <mergeCell ref="A1:I2"/>
  </mergeCells>
  <pageMargins left="0.7" right="0.7" top="0.75" bottom="0.75" header="0.3" footer="0.3"/>
  <pageSetup scale="6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J181"/>
  <sheetViews>
    <sheetView workbookViewId="0">
      <pane ySplit="1" topLeftCell="A2" activePane="bottomLeft" state="frozen"/>
      <selection pane="bottomLeft" activeCell="E10" sqref="E10"/>
    </sheetView>
  </sheetViews>
  <sheetFormatPr defaultColWidth="9.140625" defaultRowHeight="15" x14ac:dyDescent="0.25"/>
  <cols>
    <col min="1" max="1" width="7" style="89" bestFit="1" customWidth="1"/>
    <col min="2" max="2" width="31.140625" style="89" bestFit="1" customWidth="1"/>
    <col min="3" max="3" width="11.5703125" style="89" bestFit="1" customWidth="1"/>
    <col min="4" max="4" width="9" style="89" bestFit="1" customWidth="1"/>
    <col min="5" max="5" width="7.28515625" style="89" bestFit="1" customWidth="1"/>
    <col min="6" max="6" width="8" style="89" bestFit="1" customWidth="1"/>
    <col min="7" max="7" width="10.28515625" style="89" bestFit="1" customWidth="1"/>
    <col min="8" max="8" width="9.140625" style="89" bestFit="1" customWidth="1"/>
    <col min="9" max="9" width="10.42578125" style="89" bestFit="1" customWidth="1"/>
    <col min="10" max="10" width="7.28515625" style="89" bestFit="1" customWidth="1"/>
    <col min="11" max="16384" width="9.140625" style="89"/>
  </cols>
  <sheetData>
    <row r="1" spans="1:10" x14ac:dyDescent="0.25">
      <c r="A1" s="88" t="s">
        <v>574</v>
      </c>
      <c r="B1" s="88" t="s">
        <v>404</v>
      </c>
      <c r="C1" s="88" t="s">
        <v>405</v>
      </c>
      <c r="D1" s="88" t="s">
        <v>406</v>
      </c>
      <c r="E1" s="88" t="s">
        <v>407</v>
      </c>
      <c r="F1" s="88" t="s">
        <v>408</v>
      </c>
      <c r="G1" s="88" t="s">
        <v>409</v>
      </c>
      <c r="H1" s="88" t="s">
        <v>410</v>
      </c>
      <c r="I1" s="88" t="s">
        <v>411</v>
      </c>
      <c r="J1" s="88" t="s">
        <v>387</v>
      </c>
    </row>
    <row r="2" spans="1:10" x14ac:dyDescent="0.25">
      <c r="A2" s="90" t="s">
        <v>6</v>
      </c>
      <c r="B2" s="90" t="s">
        <v>184</v>
      </c>
      <c r="C2" s="90" t="s">
        <v>412</v>
      </c>
      <c r="D2" s="91">
        <v>1133906</v>
      </c>
      <c r="E2" s="91">
        <v>0</v>
      </c>
      <c r="F2" s="91">
        <v>177255</v>
      </c>
      <c r="G2" s="91">
        <v>161273</v>
      </c>
      <c r="H2" s="91">
        <v>0</v>
      </c>
      <c r="I2" s="91">
        <v>0</v>
      </c>
      <c r="J2" s="91">
        <v>0</v>
      </c>
    </row>
    <row r="3" spans="1:10" x14ac:dyDescent="0.25">
      <c r="A3" s="90" t="s">
        <v>7</v>
      </c>
      <c r="B3" s="90" t="s">
        <v>413</v>
      </c>
      <c r="C3" s="90" t="s">
        <v>412</v>
      </c>
      <c r="D3" s="91">
        <v>4239216</v>
      </c>
      <c r="E3" s="91">
        <v>0</v>
      </c>
      <c r="F3" s="91">
        <v>700052</v>
      </c>
      <c r="G3" s="91">
        <v>439350</v>
      </c>
      <c r="H3" s="91">
        <v>0</v>
      </c>
      <c r="I3" s="91">
        <v>0</v>
      </c>
      <c r="J3" s="91">
        <v>0</v>
      </c>
    </row>
    <row r="4" spans="1:10" x14ac:dyDescent="0.25">
      <c r="A4" s="90" t="s">
        <v>8</v>
      </c>
      <c r="B4" s="90" t="s">
        <v>186</v>
      </c>
      <c r="C4" s="90" t="s">
        <v>412</v>
      </c>
      <c r="D4" s="91">
        <v>2219724</v>
      </c>
      <c r="E4" s="91">
        <v>0</v>
      </c>
      <c r="F4" s="91">
        <v>360029</v>
      </c>
      <c r="G4" s="91">
        <v>193055</v>
      </c>
      <c r="H4" s="91">
        <v>259</v>
      </c>
      <c r="I4" s="91">
        <v>1415</v>
      </c>
      <c r="J4" s="91">
        <v>0</v>
      </c>
    </row>
    <row r="5" spans="1:10" x14ac:dyDescent="0.25">
      <c r="A5" s="90" t="s">
        <v>9</v>
      </c>
      <c r="B5" s="90" t="s">
        <v>396</v>
      </c>
      <c r="C5" s="90" t="s">
        <v>412</v>
      </c>
      <c r="D5" s="91">
        <v>1291616</v>
      </c>
      <c r="E5" s="91">
        <v>0</v>
      </c>
      <c r="F5" s="91">
        <v>181827</v>
      </c>
      <c r="G5" s="91">
        <v>150638</v>
      </c>
      <c r="H5" s="91">
        <v>0</v>
      </c>
      <c r="I5" s="91">
        <v>0</v>
      </c>
      <c r="J5" s="91">
        <v>0</v>
      </c>
    </row>
    <row r="6" spans="1:10" x14ac:dyDescent="0.25">
      <c r="A6" s="90" t="s">
        <v>10</v>
      </c>
      <c r="B6" s="90" t="s">
        <v>188</v>
      </c>
      <c r="C6" s="90" t="s">
        <v>412</v>
      </c>
      <c r="D6" s="91">
        <v>107756</v>
      </c>
      <c r="E6" s="91">
        <v>0</v>
      </c>
      <c r="F6" s="91">
        <v>28866</v>
      </c>
      <c r="G6" s="91">
        <v>5287</v>
      </c>
      <c r="H6" s="91">
        <v>0</v>
      </c>
      <c r="I6" s="91">
        <v>0</v>
      </c>
      <c r="J6" s="91">
        <v>0</v>
      </c>
    </row>
    <row r="7" spans="1:10" x14ac:dyDescent="0.25">
      <c r="A7" s="90" t="s">
        <v>11</v>
      </c>
      <c r="B7" s="90" t="s">
        <v>189</v>
      </c>
      <c r="C7" s="90" t="s">
        <v>412</v>
      </c>
      <c r="D7" s="91">
        <v>70669</v>
      </c>
      <c r="E7" s="91">
        <v>0</v>
      </c>
      <c r="F7" s="91">
        <v>9078</v>
      </c>
      <c r="G7" s="91">
        <v>2239</v>
      </c>
      <c r="H7" s="91">
        <v>0</v>
      </c>
      <c r="I7" s="91">
        <v>0</v>
      </c>
      <c r="J7" s="91">
        <v>0</v>
      </c>
    </row>
    <row r="8" spans="1:10" x14ac:dyDescent="0.25">
      <c r="A8" s="90" t="s">
        <v>12</v>
      </c>
      <c r="B8" s="90" t="s">
        <v>190</v>
      </c>
      <c r="C8" s="90" t="s">
        <v>412</v>
      </c>
      <c r="D8" s="91">
        <v>3162431</v>
      </c>
      <c r="E8" s="91">
        <v>0</v>
      </c>
      <c r="F8" s="91">
        <v>417424</v>
      </c>
      <c r="G8" s="91">
        <v>251581</v>
      </c>
      <c r="H8" s="91">
        <v>2676</v>
      </c>
      <c r="I8" s="91">
        <v>14617</v>
      </c>
      <c r="J8" s="91">
        <v>0</v>
      </c>
    </row>
    <row r="9" spans="1:10" x14ac:dyDescent="0.25">
      <c r="A9" s="90" t="s">
        <v>13</v>
      </c>
      <c r="B9" s="90" t="s">
        <v>414</v>
      </c>
      <c r="C9" s="90" t="s">
        <v>415</v>
      </c>
      <c r="D9" s="91">
        <v>866152</v>
      </c>
      <c r="E9" s="91">
        <v>9173</v>
      </c>
      <c r="F9" s="91">
        <v>164655</v>
      </c>
      <c r="G9" s="91">
        <v>19654</v>
      </c>
      <c r="H9" s="91">
        <v>90</v>
      </c>
      <c r="I9" s="91">
        <v>472</v>
      </c>
      <c r="J9" s="91">
        <v>40761</v>
      </c>
    </row>
    <row r="10" spans="1:10" x14ac:dyDescent="0.25">
      <c r="A10" s="90" t="s">
        <v>14</v>
      </c>
      <c r="B10" s="90" t="s">
        <v>416</v>
      </c>
      <c r="C10" s="90" t="s">
        <v>415</v>
      </c>
      <c r="D10" s="91">
        <v>109209</v>
      </c>
      <c r="E10" s="91">
        <v>0</v>
      </c>
      <c r="F10" s="91">
        <v>13394</v>
      </c>
      <c r="G10" s="91">
        <v>2177</v>
      </c>
      <c r="H10" s="91">
        <v>0</v>
      </c>
      <c r="I10" s="91">
        <v>0</v>
      </c>
      <c r="J10" s="91">
        <v>0</v>
      </c>
    </row>
    <row r="11" spans="1:10" x14ac:dyDescent="0.25">
      <c r="A11" s="90" t="s">
        <v>15</v>
      </c>
      <c r="B11" s="90" t="s">
        <v>193</v>
      </c>
      <c r="C11" s="90" t="s">
        <v>417</v>
      </c>
      <c r="D11" s="91">
        <v>606895</v>
      </c>
      <c r="E11" s="91">
        <v>0</v>
      </c>
      <c r="F11" s="91">
        <v>173773</v>
      </c>
      <c r="G11" s="91">
        <v>23137</v>
      </c>
      <c r="H11" s="91">
        <v>259</v>
      </c>
      <c r="I11" s="91">
        <v>1415</v>
      </c>
      <c r="J11" s="91">
        <v>0</v>
      </c>
    </row>
    <row r="12" spans="1:10" x14ac:dyDescent="0.25">
      <c r="A12" s="90" t="s">
        <v>16</v>
      </c>
      <c r="B12" s="90" t="s">
        <v>194</v>
      </c>
      <c r="C12" s="90" t="s">
        <v>417</v>
      </c>
      <c r="D12" s="91">
        <v>935415</v>
      </c>
      <c r="E12" s="91">
        <v>0</v>
      </c>
      <c r="F12" s="91">
        <v>90140</v>
      </c>
      <c r="G12" s="91">
        <v>37255</v>
      </c>
      <c r="H12" s="91">
        <v>0</v>
      </c>
      <c r="I12" s="91">
        <v>0</v>
      </c>
      <c r="J12" s="91">
        <v>0</v>
      </c>
    </row>
    <row r="13" spans="1:10" x14ac:dyDescent="0.25">
      <c r="A13" s="90" t="s">
        <v>17</v>
      </c>
      <c r="B13" s="90" t="s">
        <v>195</v>
      </c>
      <c r="C13" s="90" t="s">
        <v>417</v>
      </c>
      <c r="D13" s="91">
        <v>4700413</v>
      </c>
      <c r="E13" s="91">
        <v>218315</v>
      </c>
      <c r="F13" s="91">
        <v>710985</v>
      </c>
      <c r="G13" s="91">
        <v>357376</v>
      </c>
      <c r="H13" s="91">
        <v>0</v>
      </c>
      <c r="I13" s="91">
        <v>0</v>
      </c>
      <c r="J13" s="91">
        <v>0</v>
      </c>
    </row>
    <row r="14" spans="1:10" x14ac:dyDescent="0.25">
      <c r="A14" s="90" t="s">
        <v>18</v>
      </c>
      <c r="B14" s="90" t="s">
        <v>196</v>
      </c>
      <c r="C14" s="90" t="s">
        <v>417</v>
      </c>
      <c r="D14" s="91">
        <v>1184243</v>
      </c>
      <c r="E14" s="91">
        <v>0</v>
      </c>
      <c r="F14" s="91">
        <v>373606</v>
      </c>
      <c r="G14" s="91">
        <v>44719</v>
      </c>
      <c r="H14" s="91">
        <v>1899</v>
      </c>
      <c r="I14" s="91">
        <v>10374</v>
      </c>
      <c r="J14" s="91">
        <v>0</v>
      </c>
    </row>
    <row r="15" spans="1:10" x14ac:dyDescent="0.25">
      <c r="A15" s="90" t="s">
        <v>19</v>
      </c>
      <c r="B15" s="90" t="s">
        <v>197</v>
      </c>
      <c r="C15" s="90" t="s">
        <v>417</v>
      </c>
      <c r="D15" s="91">
        <v>35353</v>
      </c>
      <c r="E15" s="91">
        <v>0</v>
      </c>
      <c r="F15" s="91">
        <v>8329</v>
      </c>
      <c r="G15" s="91">
        <v>1244</v>
      </c>
      <c r="H15" s="91">
        <v>0</v>
      </c>
      <c r="I15" s="91">
        <v>0</v>
      </c>
      <c r="J15" s="91">
        <v>0</v>
      </c>
    </row>
    <row r="16" spans="1:10" x14ac:dyDescent="0.25">
      <c r="A16" s="90" t="s">
        <v>20</v>
      </c>
      <c r="B16" s="90" t="s">
        <v>198</v>
      </c>
      <c r="C16" s="90" t="s">
        <v>417</v>
      </c>
      <c r="D16" s="91">
        <v>11151156</v>
      </c>
      <c r="E16" s="91">
        <v>79492</v>
      </c>
      <c r="F16" s="91">
        <v>1187501</v>
      </c>
      <c r="G16" s="91">
        <v>1013291</v>
      </c>
      <c r="H16" s="91">
        <v>36085</v>
      </c>
      <c r="I16" s="91">
        <v>197093</v>
      </c>
      <c r="J16" s="91">
        <v>0</v>
      </c>
    </row>
    <row r="17" spans="1:10" x14ac:dyDescent="0.25">
      <c r="A17" s="90" t="s">
        <v>21</v>
      </c>
      <c r="B17" s="90" t="s">
        <v>199</v>
      </c>
      <c r="C17" s="90" t="s">
        <v>417</v>
      </c>
      <c r="D17" s="91">
        <v>64682</v>
      </c>
      <c r="E17" s="91">
        <v>0</v>
      </c>
      <c r="F17" s="91">
        <v>20196</v>
      </c>
      <c r="G17" s="91">
        <v>2612</v>
      </c>
      <c r="H17" s="91">
        <v>0</v>
      </c>
      <c r="I17" s="91">
        <v>0</v>
      </c>
      <c r="J17" s="91">
        <v>0</v>
      </c>
    </row>
    <row r="18" spans="1:10" x14ac:dyDescent="0.25">
      <c r="A18" s="90" t="s">
        <v>22</v>
      </c>
      <c r="B18" s="90" t="s">
        <v>418</v>
      </c>
      <c r="C18" s="90" t="s">
        <v>419</v>
      </c>
      <c r="D18" s="91">
        <v>349049</v>
      </c>
      <c r="E18" s="91">
        <v>0</v>
      </c>
      <c r="F18" s="91">
        <v>74291</v>
      </c>
      <c r="G18" s="91">
        <v>0</v>
      </c>
      <c r="H18" s="91">
        <v>0</v>
      </c>
      <c r="I18" s="91">
        <v>0</v>
      </c>
      <c r="J18" s="91">
        <v>0</v>
      </c>
    </row>
    <row r="19" spans="1:10" x14ac:dyDescent="0.25">
      <c r="A19" s="90" t="s">
        <v>23</v>
      </c>
      <c r="B19" s="90" t="s">
        <v>420</v>
      </c>
      <c r="C19" s="90" t="s">
        <v>421</v>
      </c>
      <c r="D19" s="91">
        <v>49963</v>
      </c>
      <c r="E19" s="91">
        <v>0</v>
      </c>
      <c r="F19" s="91">
        <v>12252</v>
      </c>
      <c r="G19" s="91">
        <v>684</v>
      </c>
      <c r="H19" s="91">
        <v>0</v>
      </c>
      <c r="I19" s="91">
        <v>0</v>
      </c>
      <c r="J19" s="91">
        <v>0</v>
      </c>
    </row>
    <row r="20" spans="1:10" x14ac:dyDescent="0.25">
      <c r="A20" s="90" t="s">
        <v>24</v>
      </c>
      <c r="B20" s="90" t="s">
        <v>422</v>
      </c>
      <c r="C20" s="90" t="s">
        <v>421</v>
      </c>
      <c r="D20" s="91">
        <v>18082</v>
      </c>
      <c r="E20" s="91">
        <v>0</v>
      </c>
      <c r="F20" s="91">
        <v>5839</v>
      </c>
      <c r="G20" s="91">
        <v>0</v>
      </c>
      <c r="H20" s="91">
        <v>0</v>
      </c>
      <c r="I20" s="91">
        <v>0</v>
      </c>
      <c r="J20" s="91">
        <v>0</v>
      </c>
    </row>
    <row r="21" spans="1:10" x14ac:dyDescent="0.25">
      <c r="A21" s="90" t="s">
        <v>25</v>
      </c>
      <c r="B21" s="90" t="s">
        <v>423</v>
      </c>
      <c r="C21" s="90" t="s">
        <v>421</v>
      </c>
      <c r="D21" s="91">
        <v>69771</v>
      </c>
      <c r="E21" s="91">
        <v>0</v>
      </c>
      <c r="F21" s="91">
        <v>16714</v>
      </c>
      <c r="G21" s="91">
        <v>249</v>
      </c>
      <c r="H21" s="91">
        <v>0</v>
      </c>
      <c r="I21" s="91">
        <v>0</v>
      </c>
      <c r="J21" s="91">
        <v>0</v>
      </c>
    </row>
    <row r="22" spans="1:10" x14ac:dyDescent="0.25">
      <c r="A22" s="90" t="s">
        <v>26</v>
      </c>
      <c r="B22" s="90" t="s">
        <v>424</v>
      </c>
      <c r="C22" s="90" t="s">
        <v>421</v>
      </c>
      <c r="D22" s="91">
        <v>816</v>
      </c>
      <c r="E22" s="91">
        <v>0</v>
      </c>
      <c r="F22" s="91">
        <v>1184</v>
      </c>
      <c r="G22" s="91">
        <v>62</v>
      </c>
      <c r="H22" s="91">
        <v>0</v>
      </c>
      <c r="I22" s="91">
        <v>0</v>
      </c>
      <c r="J22" s="91">
        <v>0</v>
      </c>
    </row>
    <row r="23" spans="1:10" x14ac:dyDescent="0.25">
      <c r="A23" s="90" t="s">
        <v>27</v>
      </c>
      <c r="B23" s="90" t="s">
        <v>425</v>
      </c>
      <c r="C23" s="90" t="s">
        <v>421</v>
      </c>
      <c r="D23" s="91">
        <v>1799</v>
      </c>
      <c r="E23" s="91">
        <v>0</v>
      </c>
      <c r="F23" s="91">
        <v>2190</v>
      </c>
      <c r="G23" s="91">
        <v>0</v>
      </c>
      <c r="H23" s="91">
        <v>0</v>
      </c>
      <c r="I23" s="91">
        <v>0</v>
      </c>
      <c r="J23" s="91">
        <v>0</v>
      </c>
    </row>
    <row r="24" spans="1:10" x14ac:dyDescent="0.25">
      <c r="A24" s="90" t="s">
        <v>28</v>
      </c>
      <c r="B24" s="90" t="s">
        <v>426</v>
      </c>
      <c r="C24" s="90" t="s">
        <v>427</v>
      </c>
      <c r="D24" s="91">
        <v>234982</v>
      </c>
      <c r="E24" s="91">
        <v>0</v>
      </c>
      <c r="F24" s="91">
        <v>50373</v>
      </c>
      <c r="G24" s="91">
        <v>124</v>
      </c>
      <c r="H24" s="91">
        <v>0</v>
      </c>
      <c r="I24" s="91">
        <v>0</v>
      </c>
      <c r="J24" s="91">
        <v>0</v>
      </c>
    </row>
    <row r="25" spans="1:10" x14ac:dyDescent="0.25">
      <c r="A25" s="90" t="s">
        <v>29</v>
      </c>
      <c r="B25" s="90" t="s">
        <v>428</v>
      </c>
      <c r="C25" s="90" t="s">
        <v>427</v>
      </c>
      <c r="D25" s="91">
        <v>37907</v>
      </c>
      <c r="E25" s="91">
        <v>0</v>
      </c>
      <c r="F25" s="91">
        <v>10898</v>
      </c>
      <c r="G25" s="91">
        <v>1493</v>
      </c>
      <c r="H25" s="91">
        <v>0</v>
      </c>
      <c r="I25" s="91">
        <v>0</v>
      </c>
      <c r="J25" s="91">
        <v>0</v>
      </c>
    </row>
    <row r="26" spans="1:10" x14ac:dyDescent="0.25">
      <c r="A26" s="90" t="s">
        <v>30</v>
      </c>
      <c r="B26" s="90" t="s">
        <v>429</v>
      </c>
      <c r="C26" s="90" t="s">
        <v>430</v>
      </c>
      <c r="D26" s="91">
        <v>3275511</v>
      </c>
      <c r="E26" s="91">
        <v>0</v>
      </c>
      <c r="F26" s="91">
        <v>467170</v>
      </c>
      <c r="G26" s="91">
        <v>280316</v>
      </c>
      <c r="H26" s="91">
        <v>0</v>
      </c>
      <c r="I26" s="91">
        <v>0</v>
      </c>
      <c r="J26" s="91">
        <v>0</v>
      </c>
    </row>
    <row r="27" spans="1:10" x14ac:dyDescent="0.25">
      <c r="A27" s="90" t="s">
        <v>31</v>
      </c>
      <c r="B27" s="90" t="s">
        <v>431</v>
      </c>
      <c r="C27" s="90" t="s">
        <v>430</v>
      </c>
      <c r="D27" s="91">
        <v>2119660</v>
      </c>
      <c r="E27" s="91">
        <v>0</v>
      </c>
      <c r="F27" s="91">
        <v>686897</v>
      </c>
      <c r="G27" s="91">
        <v>184348</v>
      </c>
      <c r="H27" s="91">
        <v>0</v>
      </c>
      <c r="I27" s="91">
        <v>0</v>
      </c>
      <c r="J27" s="91">
        <v>0</v>
      </c>
    </row>
    <row r="28" spans="1:10" x14ac:dyDescent="0.25">
      <c r="A28" s="90" t="s">
        <v>32</v>
      </c>
      <c r="B28" s="90" t="s">
        <v>210</v>
      </c>
      <c r="C28" s="90" t="s">
        <v>432</v>
      </c>
      <c r="D28" s="91">
        <v>160970</v>
      </c>
      <c r="E28" s="91">
        <v>0</v>
      </c>
      <c r="F28" s="91">
        <v>37339</v>
      </c>
      <c r="G28" s="91">
        <v>498</v>
      </c>
      <c r="H28" s="91">
        <v>0</v>
      </c>
      <c r="I28" s="91">
        <v>0</v>
      </c>
      <c r="J28" s="91">
        <v>0</v>
      </c>
    </row>
    <row r="29" spans="1:10" x14ac:dyDescent="0.25">
      <c r="A29" s="90" t="s">
        <v>33</v>
      </c>
      <c r="B29" s="90" t="s">
        <v>211</v>
      </c>
      <c r="C29" s="90" t="s">
        <v>432</v>
      </c>
      <c r="D29" s="91">
        <v>169563</v>
      </c>
      <c r="E29" s="91">
        <v>0</v>
      </c>
      <c r="F29" s="91">
        <v>57158</v>
      </c>
      <c r="G29" s="91">
        <v>1368</v>
      </c>
      <c r="H29" s="91">
        <v>0</v>
      </c>
      <c r="I29" s="91">
        <v>0</v>
      </c>
      <c r="J29" s="91">
        <v>0</v>
      </c>
    </row>
    <row r="30" spans="1:10" x14ac:dyDescent="0.25">
      <c r="A30" s="90" t="s">
        <v>34</v>
      </c>
      <c r="B30" s="90" t="s">
        <v>212</v>
      </c>
      <c r="C30" s="90" t="s">
        <v>433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</row>
    <row r="31" spans="1:10" x14ac:dyDescent="0.25">
      <c r="A31" s="90" t="s">
        <v>35</v>
      </c>
      <c r="B31" s="90" t="s">
        <v>434</v>
      </c>
      <c r="C31" s="90" t="s">
        <v>433</v>
      </c>
      <c r="D31" s="91">
        <v>28551</v>
      </c>
      <c r="E31" s="91">
        <v>0</v>
      </c>
      <c r="F31" s="91">
        <v>11573</v>
      </c>
      <c r="G31" s="91">
        <v>746</v>
      </c>
      <c r="H31" s="91">
        <v>0</v>
      </c>
      <c r="I31" s="91">
        <v>0</v>
      </c>
      <c r="J31" s="91">
        <v>0</v>
      </c>
    </row>
    <row r="32" spans="1:10" x14ac:dyDescent="0.25">
      <c r="A32" s="90" t="s">
        <v>36</v>
      </c>
      <c r="B32" s="90" t="s">
        <v>435</v>
      </c>
      <c r="C32" s="90" t="s">
        <v>436</v>
      </c>
      <c r="D32" s="91">
        <v>97087</v>
      </c>
      <c r="E32" s="91">
        <v>0</v>
      </c>
      <c r="F32" s="91">
        <v>38253</v>
      </c>
      <c r="G32" s="91">
        <v>0</v>
      </c>
      <c r="H32" s="91">
        <v>0</v>
      </c>
      <c r="I32" s="91">
        <v>0</v>
      </c>
      <c r="J32" s="91">
        <v>0</v>
      </c>
    </row>
    <row r="33" spans="1:10" x14ac:dyDescent="0.25">
      <c r="A33" s="90" t="s">
        <v>37</v>
      </c>
      <c r="B33" s="90" t="s">
        <v>437</v>
      </c>
      <c r="C33" s="90" t="s">
        <v>438</v>
      </c>
      <c r="D33" s="91">
        <v>298501</v>
      </c>
      <c r="E33" s="91">
        <v>0</v>
      </c>
      <c r="F33" s="91">
        <v>72282</v>
      </c>
      <c r="G33" s="91">
        <v>0</v>
      </c>
      <c r="H33" s="91">
        <v>0</v>
      </c>
      <c r="I33" s="91">
        <v>0</v>
      </c>
      <c r="J33" s="91">
        <v>0</v>
      </c>
    </row>
    <row r="34" spans="1:10" x14ac:dyDescent="0.25">
      <c r="A34" s="90" t="s">
        <v>38</v>
      </c>
      <c r="B34" s="90" t="s">
        <v>216</v>
      </c>
      <c r="C34" s="90" t="s">
        <v>438</v>
      </c>
      <c r="D34" s="91">
        <v>52992</v>
      </c>
      <c r="E34" s="91">
        <v>0</v>
      </c>
      <c r="F34" s="91">
        <v>23483</v>
      </c>
      <c r="G34" s="91">
        <v>249</v>
      </c>
      <c r="H34" s="91">
        <v>0</v>
      </c>
      <c r="I34" s="91">
        <v>0</v>
      </c>
      <c r="J34" s="91">
        <v>0</v>
      </c>
    </row>
    <row r="35" spans="1:10" x14ac:dyDescent="0.25">
      <c r="A35" s="90" t="s">
        <v>39</v>
      </c>
      <c r="B35" s="90" t="s">
        <v>439</v>
      </c>
      <c r="C35" s="90" t="s">
        <v>438</v>
      </c>
      <c r="D35" s="91">
        <v>153777</v>
      </c>
      <c r="E35" s="91">
        <v>0</v>
      </c>
      <c r="F35" s="91">
        <v>34398</v>
      </c>
      <c r="G35" s="91">
        <v>1741</v>
      </c>
      <c r="H35" s="91">
        <v>0</v>
      </c>
      <c r="I35" s="91">
        <v>0</v>
      </c>
      <c r="J35" s="91">
        <v>0</v>
      </c>
    </row>
    <row r="36" spans="1:10" x14ac:dyDescent="0.25">
      <c r="A36" s="90" t="s">
        <v>40</v>
      </c>
      <c r="B36" s="90" t="s">
        <v>218</v>
      </c>
      <c r="C36" s="90" t="s">
        <v>440</v>
      </c>
      <c r="D36" s="91">
        <v>132791</v>
      </c>
      <c r="E36" s="91">
        <v>0</v>
      </c>
      <c r="F36" s="91">
        <v>37411</v>
      </c>
      <c r="G36" s="91">
        <v>1182</v>
      </c>
      <c r="H36" s="91">
        <v>0</v>
      </c>
      <c r="I36" s="91">
        <v>0</v>
      </c>
      <c r="J36" s="91">
        <v>0</v>
      </c>
    </row>
    <row r="37" spans="1:10" x14ac:dyDescent="0.25">
      <c r="A37" s="90" t="s">
        <v>41</v>
      </c>
      <c r="B37" s="90" t="s">
        <v>219</v>
      </c>
      <c r="C37" s="90" t="s">
        <v>440</v>
      </c>
      <c r="D37" s="91">
        <v>98450</v>
      </c>
      <c r="E37" s="91">
        <v>0</v>
      </c>
      <c r="F37" s="91">
        <v>25178</v>
      </c>
      <c r="G37" s="91">
        <v>2550</v>
      </c>
      <c r="H37" s="91">
        <v>0</v>
      </c>
      <c r="I37" s="91">
        <v>0</v>
      </c>
      <c r="J37" s="91">
        <v>0</v>
      </c>
    </row>
    <row r="38" spans="1:10" x14ac:dyDescent="0.25">
      <c r="A38" s="90" t="s">
        <v>42</v>
      </c>
      <c r="B38" s="90" t="s">
        <v>441</v>
      </c>
      <c r="C38" s="90" t="s">
        <v>442</v>
      </c>
      <c r="D38" s="91">
        <v>211476</v>
      </c>
      <c r="E38" s="91">
        <v>0</v>
      </c>
      <c r="F38" s="91">
        <v>45429</v>
      </c>
      <c r="G38" s="91">
        <v>124</v>
      </c>
      <c r="H38" s="91">
        <v>0</v>
      </c>
      <c r="I38" s="91">
        <v>0</v>
      </c>
      <c r="J38" s="91">
        <v>0</v>
      </c>
    </row>
    <row r="39" spans="1:10" x14ac:dyDescent="0.25">
      <c r="A39" s="90" t="s">
        <v>43</v>
      </c>
      <c r="B39" s="90" t="s">
        <v>443</v>
      </c>
      <c r="C39" s="90" t="s">
        <v>444</v>
      </c>
      <c r="D39" s="91">
        <v>109885</v>
      </c>
      <c r="E39" s="91">
        <v>0</v>
      </c>
      <c r="F39" s="91">
        <v>28020</v>
      </c>
      <c r="G39" s="91">
        <v>0</v>
      </c>
      <c r="H39" s="91">
        <v>0</v>
      </c>
      <c r="I39" s="91">
        <v>0</v>
      </c>
      <c r="J39" s="91">
        <v>0</v>
      </c>
    </row>
    <row r="40" spans="1:10" x14ac:dyDescent="0.25">
      <c r="A40" s="90" t="s">
        <v>44</v>
      </c>
      <c r="B40" s="90" t="s">
        <v>222</v>
      </c>
      <c r="C40" s="90" t="s">
        <v>445</v>
      </c>
      <c r="D40" s="91">
        <v>848275</v>
      </c>
      <c r="E40" s="91">
        <v>0</v>
      </c>
      <c r="F40" s="91">
        <v>218265</v>
      </c>
      <c r="G40" s="91">
        <v>21520</v>
      </c>
      <c r="H40" s="91">
        <v>173</v>
      </c>
      <c r="I40" s="91">
        <v>943</v>
      </c>
      <c r="J40" s="91">
        <v>0</v>
      </c>
    </row>
    <row r="41" spans="1:10" x14ac:dyDescent="0.25">
      <c r="A41" s="90" t="s">
        <v>45</v>
      </c>
      <c r="B41" s="90" t="s">
        <v>223</v>
      </c>
      <c r="C41" s="90" t="s">
        <v>446</v>
      </c>
      <c r="D41" s="91">
        <v>30355586</v>
      </c>
      <c r="E41" s="91">
        <v>525874</v>
      </c>
      <c r="F41" s="91">
        <v>4132234</v>
      </c>
      <c r="G41" s="91">
        <v>1841177</v>
      </c>
      <c r="H41" s="91">
        <v>0</v>
      </c>
      <c r="I41" s="91">
        <v>0</v>
      </c>
      <c r="J41" s="91">
        <v>0</v>
      </c>
    </row>
    <row r="42" spans="1:10" x14ac:dyDescent="0.25">
      <c r="A42" s="90" t="s">
        <v>46</v>
      </c>
      <c r="B42" s="90" t="s">
        <v>447</v>
      </c>
      <c r="C42" s="90" t="s">
        <v>448</v>
      </c>
      <c r="D42" s="91">
        <v>44553</v>
      </c>
      <c r="E42" s="91">
        <v>0</v>
      </c>
      <c r="F42" s="91">
        <v>14685</v>
      </c>
      <c r="G42" s="91">
        <v>0</v>
      </c>
      <c r="H42" s="91">
        <v>0</v>
      </c>
      <c r="I42" s="91">
        <v>0</v>
      </c>
      <c r="J42" s="91">
        <v>0</v>
      </c>
    </row>
    <row r="43" spans="1:10" x14ac:dyDescent="0.25">
      <c r="A43" s="90" t="s">
        <v>47</v>
      </c>
      <c r="B43" s="90" t="s">
        <v>449</v>
      </c>
      <c r="C43" s="90" t="s">
        <v>450</v>
      </c>
      <c r="D43" s="91">
        <v>1833725</v>
      </c>
      <c r="E43" s="91">
        <v>0</v>
      </c>
      <c r="F43" s="91">
        <v>463330</v>
      </c>
      <c r="G43" s="91">
        <v>200146</v>
      </c>
      <c r="H43" s="91">
        <v>0</v>
      </c>
      <c r="I43" s="91">
        <v>0</v>
      </c>
      <c r="J43" s="91">
        <v>0</v>
      </c>
    </row>
    <row r="44" spans="1:10" x14ac:dyDescent="0.25">
      <c r="A44" s="90" t="s">
        <v>48</v>
      </c>
      <c r="B44" s="90" t="s">
        <v>451</v>
      </c>
      <c r="C44" s="90" t="s">
        <v>452</v>
      </c>
      <c r="D44" s="91">
        <v>704856</v>
      </c>
      <c r="E44" s="91">
        <v>0</v>
      </c>
      <c r="F44" s="91">
        <v>103491</v>
      </c>
      <c r="G44" s="91">
        <v>144605</v>
      </c>
      <c r="H44" s="91">
        <v>3108</v>
      </c>
      <c r="I44" s="91">
        <v>16975</v>
      </c>
      <c r="J44" s="91">
        <v>0</v>
      </c>
    </row>
    <row r="45" spans="1:10" x14ac:dyDescent="0.25">
      <c r="A45" s="90" t="s">
        <v>49</v>
      </c>
      <c r="B45" s="90" t="s">
        <v>227</v>
      </c>
      <c r="C45" s="90" t="s">
        <v>453</v>
      </c>
      <c r="D45" s="91">
        <v>154546</v>
      </c>
      <c r="E45" s="91">
        <v>0</v>
      </c>
      <c r="F45" s="91">
        <v>41282</v>
      </c>
      <c r="G45" s="91">
        <v>2052</v>
      </c>
      <c r="H45" s="91">
        <v>0</v>
      </c>
      <c r="I45" s="91">
        <v>0</v>
      </c>
      <c r="J45" s="91">
        <v>0</v>
      </c>
    </row>
    <row r="46" spans="1:10" x14ac:dyDescent="0.25">
      <c r="A46" s="90" t="s">
        <v>50</v>
      </c>
      <c r="B46" s="90" t="s">
        <v>228</v>
      </c>
      <c r="C46" s="90" t="s">
        <v>453</v>
      </c>
      <c r="D46" s="91">
        <v>24929</v>
      </c>
      <c r="E46" s="91">
        <v>0</v>
      </c>
      <c r="F46" s="91">
        <v>9704</v>
      </c>
      <c r="G46" s="91">
        <v>560</v>
      </c>
      <c r="H46" s="91">
        <v>0</v>
      </c>
      <c r="I46" s="91">
        <v>0</v>
      </c>
      <c r="J46" s="91">
        <v>0</v>
      </c>
    </row>
    <row r="47" spans="1:10" x14ac:dyDescent="0.25">
      <c r="A47" s="90" t="s">
        <v>51</v>
      </c>
      <c r="B47" s="90" t="s">
        <v>229</v>
      </c>
      <c r="C47" s="90" t="s">
        <v>453</v>
      </c>
      <c r="D47" s="91">
        <v>61728</v>
      </c>
      <c r="E47" s="91">
        <v>0</v>
      </c>
      <c r="F47" s="91">
        <v>23555</v>
      </c>
      <c r="G47" s="91">
        <v>0</v>
      </c>
      <c r="H47" s="91">
        <v>0</v>
      </c>
      <c r="I47" s="91">
        <v>0</v>
      </c>
      <c r="J47" s="91">
        <v>0</v>
      </c>
    </row>
    <row r="48" spans="1:10" x14ac:dyDescent="0.25">
      <c r="A48" s="90" t="s">
        <v>52</v>
      </c>
      <c r="B48" s="90" t="s">
        <v>230</v>
      </c>
      <c r="C48" s="90" t="s">
        <v>453</v>
      </c>
      <c r="D48" s="91">
        <v>18009</v>
      </c>
      <c r="E48" s="91">
        <v>0</v>
      </c>
      <c r="F48" s="91">
        <v>2406</v>
      </c>
      <c r="G48" s="91">
        <v>0</v>
      </c>
      <c r="H48" s="91">
        <v>0</v>
      </c>
      <c r="I48" s="91">
        <v>0</v>
      </c>
      <c r="J48" s="91">
        <v>0</v>
      </c>
    </row>
    <row r="49" spans="1:10" x14ac:dyDescent="0.25">
      <c r="A49" s="90" t="s">
        <v>53</v>
      </c>
      <c r="B49" s="90" t="s">
        <v>231</v>
      </c>
      <c r="C49" s="90" t="s">
        <v>453</v>
      </c>
      <c r="D49" s="91">
        <v>9723</v>
      </c>
      <c r="E49" s="91">
        <v>0</v>
      </c>
      <c r="F49" s="91">
        <v>987</v>
      </c>
      <c r="G49" s="91">
        <v>0</v>
      </c>
      <c r="H49" s="91">
        <v>0</v>
      </c>
      <c r="I49" s="91">
        <v>0</v>
      </c>
      <c r="J49" s="91">
        <v>0</v>
      </c>
    </row>
    <row r="50" spans="1:10" x14ac:dyDescent="0.25">
      <c r="A50" s="90" t="s">
        <v>54</v>
      </c>
      <c r="B50" s="90" t="s">
        <v>454</v>
      </c>
      <c r="C50" s="90" t="s">
        <v>455</v>
      </c>
      <c r="D50" s="91">
        <v>81203</v>
      </c>
      <c r="E50" s="91">
        <v>0</v>
      </c>
      <c r="F50" s="91">
        <v>12995</v>
      </c>
      <c r="G50" s="91">
        <v>0</v>
      </c>
      <c r="H50" s="91">
        <v>0</v>
      </c>
      <c r="I50" s="91">
        <v>0</v>
      </c>
      <c r="J50" s="91">
        <v>0</v>
      </c>
    </row>
    <row r="51" spans="1:10" x14ac:dyDescent="0.25">
      <c r="A51" s="90" t="s">
        <v>55</v>
      </c>
      <c r="B51" s="90" t="s">
        <v>233</v>
      </c>
      <c r="C51" s="90" t="s">
        <v>455</v>
      </c>
      <c r="D51" s="91">
        <v>4058972</v>
      </c>
      <c r="E51" s="91">
        <v>0</v>
      </c>
      <c r="F51" s="91">
        <v>560351</v>
      </c>
      <c r="G51" s="91">
        <v>143983</v>
      </c>
      <c r="H51" s="91">
        <v>86</v>
      </c>
      <c r="I51" s="91">
        <v>472</v>
      </c>
      <c r="J51" s="91">
        <v>0</v>
      </c>
    </row>
    <row r="52" spans="1:10" x14ac:dyDescent="0.25">
      <c r="A52" s="90" t="s">
        <v>56</v>
      </c>
      <c r="B52" s="90" t="s">
        <v>234</v>
      </c>
      <c r="C52" s="90" t="s">
        <v>455</v>
      </c>
      <c r="D52" s="91">
        <v>1249697</v>
      </c>
      <c r="E52" s="91">
        <v>0</v>
      </c>
      <c r="F52" s="91">
        <v>245896</v>
      </c>
      <c r="G52" s="91">
        <v>12874</v>
      </c>
      <c r="H52" s="89">
        <v>0</v>
      </c>
      <c r="I52" s="91">
        <v>15560</v>
      </c>
      <c r="J52" s="91">
        <v>0</v>
      </c>
    </row>
    <row r="53" spans="1:10" x14ac:dyDescent="0.25">
      <c r="A53" s="90" t="s">
        <v>57</v>
      </c>
      <c r="B53" s="90" t="s">
        <v>235</v>
      </c>
      <c r="C53" s="90" t="s">
        <v>455</v>
      </c>
      <c r="D53" s="91">
        <v>1699157</v>
      </c>
      <c r="E53" s="91">
        <v>0</v>
      </c>
      <c r="F53" s="91">
        <v>146684</v>
      </c>
      <c r="G53" s="91">
        <v>25500</v>
      </c>
      <c r="H53" s="91">
        <v>0</v>
      </c>
      <c r="I53" s="91">
        <v>0</v>
      </c>
      <c r="J53" s="91">
        <v>0</v>
      </c>
    </row>
    <row r="54" spans="1:10" x14ac:dyDescent="0.25">
      <c r="A54" s="90" t="s">
        <v>58</v>
      </c>
      <c r="B54" s="90" t="s">
        <v>236</v>
      </c>
      <c r="C54" s="90" t="s">
        <v>455</v>
      </c>
      <c r="D54" s="91">
        <v>7155565</v>
      </c>
      <c r="E54" s="91">
        <v>15287</v>
      </c>
      <c r="F54" s="91">
        <v>1234884</v>
      </c>
      <c r="G54" s="91">
        <v>161211</v>
      </c>
      <c r="H54" s="91">
        <v>0</v>
      </c>
      <c r="I54" s="91">
        <v>0</v>
      </c>
      <c r="J54" s="91">
        <v>0</v>
      </c>
    </row>
    <row r="55" spans="1:10" x14ac:dyDescent="0.25">
      <c r="A55" s="90" t="s">
        <v>59</v>
      </c>
      <c r="B55" s="90" t="s">
        <v>237</v>
      </c>
      <c r="C55" s="90" t="s">
        <v>455</v>
      </c>
      <c r="D55" s="91">
        <v>174917</v>
      </c>
      <c r="E55" s="91">
        <v>0</v>
      </c>
      <c r="F55" s="91">
        <v>65839</v>
      </c>
      <c r="G55" s="91">
        <v>9578</v>
      </c>
      <c r="H55" s="91">
        <v>0</v>
      </c>
      <c r="I55" s="91">
        <v>0</v>
      </c>
      <c r="J55" s="91">
        <v>0</v>
      </c>
    </row>
    <row r="56" spans="1:10" x14ac:dyDescent="0.25">
      <c r="A56" s="90" t="s">
        <v>60</v>
      </c>
      <c r="B56" s="90" t="s">
        <v>238</v>
      </c>
      <c r="C56" s="90" t="s">
        <v>455</v>
      </c>
      <c r="D56" s="91">
        <v>166287</v>
      </c>
      <c r="E56" s="91">
        <v>0</v>
      </c>
      <c r="F56" s="91">
        <v>87609</v>
      </c>
      <c r="G56" s="91">
        <v>0</v>
      </c>
      <c r="H56" s="91">
        <v>0</v>
      </c>
      <c r="I56" s="91">
        <v>0</v>
      </c>
      <c r="J56" s="91">
        <v>0</v>
      </c>
    </row>
    <row r="57" spans="1:10" x14ac:dyDescent="0.25">
      <c r="A57" s="90" t="s">
        <v>61</v>
      </c>
      <c r="B57" s="90" t="s">
        <v>239</v>
      </c>
      <c r="C57" s="90" t="s">
        <v>455</v>
      </c>
      <c r="D57" s="91">
        <v>543699</v>
      </c>
      <c r="E57" s="91">
        <v>0</v>
      </c>
      <c r="F57" s="91">
        <v>236546</v>
      </c>
      <c r="G57" s="91">
        <v>32591</v>
      </c>
      <c r="H57" s="91">
        <v>13900</v>
      </c>
      <c r="I57" s="91">
        <v>75916</v>
      </c>
      <c r="J57" s="91">
        <v>0</v>
      </c>
    </row>
    <row r="58" spans="1:10" x14ac:dyDescent="0.25">
      <c r="A58" s="90" t="s">
        <v>62</v>
      </c>
      <c r="B58" s="90" t="s">
        <v>240</v>
      </c>
      <c r="C58" s="90" t="s">
        <v>455</v>
      </c>
      <c r="D58" s="91">
        <v>147637</v>
      </c>
      <c r="E58" s="91">
        <v>0</v>
      </c>
      <c r="F58" s="91">
        <v>29694</v>
      </c>
      <c r="G58" s="91">
        <v>8148</v>
      </c>
      <c r="H58" s="91">
        <v>0</v>
      </c>
      <c r="I58" s="91">
        <v>0</v>
      </c>
      <c r="J58" s="91">
        <v>0</v>
      </c>
    </row>
    <row r="59" spans="1:10" x14ac:dyDescent="0.25">
      <c r="A59" s="90" t="s">
        <v>63</v>
      </c>
      <c r="B59" s="90" t="s">
        <v>456</v>
      </c>
      <c r="C59" s="90" t="s">
        <v>455</v>
      </c>
      <c r="D59" s="91">
        <v>116612</v>
      </c>
      <c r="E59" s="91">
        <v>0</v>
      </c>
      <c r="F59" s="91">
        <v>18253</v>
      </c>
      <c r="G59" s="91">
        <v>871</v>
      </c>
      <c r="H59" s="91">
        <v>0</v>
      </c>
      <c r="I59" s="91">
        <v>0</v>
      </c>
      <c r="J59" s="91">
        <v>0</v>
      </c>
    </row>
    <row r="60" spans="1:10" x14ac:dyDescent="0.25">
      <c r="A60" s="90" t="s">
        <v>64</v>
      </c>
      <c r="B60" s="90" t="s">
        <v>242</v>
      </c>
      <c r="C60" s="90" t="s">
        <v>455</v>
      </c>
      <c r="D60" s="91">
        <v>38683</v>
      </c>
      <c r="E60" s="91">
        <v>0</v>
      </c>
      <c r="F60" s="91">
        <v>6429</v>
      </c>
      <c r="G60" s="91">
        <v>1990</v>
      </c>
      <c r="H60" s="91">
        <v>0</v>
      </c>
      <c r="I60" s="91">
        <v>0</v>
      </c>
      <c r="J60" s="91">
        <v>0</v>
      </c>
    </row>
    <row r="61" spans="1:10" x14ac:dyDescent="0.25">
      <c r="A61" s="90" t="s">
        <v>65</v>
      </c>
      <c r="B61" s="90" t="s">
        <v>243</v>
      </c>
      <c r="C61" s="90" t="s">
        <v>455</v>
      </c>
      <c r="D61" s="91">
        <v>152419</v>
      </c>
      <c r="E61" s="91">
        <v>0</v>
      </c>
      <c r="F61" s="91">
        <v>59545</v>
      </c>
      <c r="G61" s="91">
        <v>14989</v>
      </c>
      <c r="H61" s="91">
        <v>0</v>
      </c>
      <c r="I61" s="91">
        <v>0</v>
      </c>
      <c r="J61" s="91">
        <v>0</v>
      </c>
    </row>
    <row r="62" spans="1:10" x14ac:dyDescent="0.25">
      <c r="A62" s="90" t="s">
        <v>66</v>
      </c>
      <c r="B62" s="90" t="s">
        <v>244</v>
      </c>
      <c r="C62" s="90" t="s">
        <v>455</v>
      </c>
      <c r="D62" s="91">
        <v>1061572</v>
      </c>
      <c r="E62" s="91">
        <v>0</v>
      </c>
      <c r="F62" s="91">
        <v>118984</v>
      </c>
      <c r="G62" s="91">
        <v>53177</v>
      </c>
      <c r="H62" s="91">
        <v>1295</v>
      </c>
      <c r="I62" s="91">
        <v>7073</v>
      </c>
      <c r="J62" s="91">
        <v>0</v>
      </c>
    </row>
    <row r="63" spans="1:10" x14ac:dyDescent="0.25">
      <c r="A63" s="90" t="s">
        <v>67</v>
      </c>
      <c r="B63" s="90" t="s">
        <v>457</v>
      </c>
      <c r="C63" s="90" t="s">
        <v>455</v>
      </c>
      <c r="D63" s="91">
        <v>22156</v>
      </c>
      <c r="E63" s="91">
        <v>0</v>
      </c>
      <c r="F63" s="91">
        <v>870</v>
      </c>
      <c r="G63" s="91">
        <v>0</v>
      </c>
      <c r="H63" s="91">
        <v>0</v>
      </c>
      <c r="I63" s="91">
        <v>0</v>
      </c>
      <c r="J63" s="91">
        <v>0</v>
      </c>
    </row>
    <row r="64" spans="1:10" x14ac:dyDescent="0.25">
      <c r="A64" s="90" t="s">
        <v>68</v>
      </c>
      <c r="B64" s="90" t="s">
        <v>458</v>
      </c>
      <c r="C64" s="90" t="s">
        <v>455</v>
      </c>
      <c r="D64" s="91">
        <v>146240</v>
      </c>
      <c r="E64" s="91">
        <v>0</v>
      </c>
      <c r="F64" s="91">
        <v>12084</v>
      </c>
      <c r="G64" s="91">
        <v>311</v>
      </c>
      <c r="H64" s="91">
        <v>0</v>
      </c>
      <c r="I64" s="91">
        <v>0</v>
      </c>
      <c r="J64" s="91">
        <v>0</v>
      </c>
    </row>
    <row r="65" spans="1:10" x14ac:dyDescent="0.25">
      <c r="A65" s="90" t="s">
        <v>69</v>
      </c>
      <c r="B65" s="90" t="s">
        <v>459</v>
      </c>
      <c r="C65" s="90" t="s">
        <v>460</v>
      </c>
      <c r="D65" s="91">
        <v>1058179</v>
      </c>
      <c r="E65" s="91">
        <v>137583</v>
      </c>
      <c r="F65" s="91">
        <v>187367</v>
      </c>
      <c r="G65" s="91">
        <v>2239</v>
      </c>
      <c r="H65" s="91">
        <v>0</v>
      </c>
      <c r="I65" s="91">
        <v>0</v>
      </c>
      <c r="J65" s="91">
        <v>68745</v>
      </c>
    </row>
    <row r="66" spans="1:10" x14ac:dyDescent="0.25">
      <c r="A66" s="90" t="s">
        <v>70</v>
      </c>
      <c r="B66" s="90" t="s">
        <v>461</v>
      </c>
      <c r="C66" s="90" t="s">
        <v>460</v>
      </c>
      <c r="D66" s="91">
        <v>447721</v>
      </c>
      <c r="E66" s="91">
        <v>0</v>
      </c>
      <c r="F66" s="91">
        <v>101193</v>
      </c>
      <c r="G66" s="91">
        <v>1493</v>
      </c>
      <c r="H66" s="89">
        <v>0</v>
      </c>
      <c r="I66" s="89">
        <v>0</v>
      </c>
      <c r="J66" s="91">
        <v>26193</v>
      </c>
    </row>
    <row r="67" spans="1:10" x14ac:dyDescent="0.25">
      <c r="A67" s="90" t="s">
        <v>71</v>
      </c>
      <c r="B67" s="90" t="s">
        <v>462</v>
      </c>
      <c r="C67" s="90" t="s">
        <v>460</v>
      </c>
      <c r="D67" s="91">
        <v>73925</v>
      </c>
      <c r="E67" s="91">
        <v>0</v>
      </c>
      <c r="F67" s="91">
        <v>6454</v>
      </c>
      <c r="G67" s="91">
        <v>0</v>
      </c>
      <c r="H67" s="91">
        <v>0</v>
      </c>
      <c r="I67" s="91">
        <v>0</v>
      </c>
      <c r="J67" s="91">
        <v>0</v>
      </c>
    </row>
    <row r="68" spans="1:10" x14ac:dyDescent="0.25">
      <c r="A68" s="90" t="s">
        <v>72</v>
      </c>
      <c r="B68" s="90" t="s">
        <v>463</v>
      </c>
      <c r="C68" s="90" t="s">
        <v>464</v>
      </c>
      <c r="D68" s="91">
        <v>555726</v>
      </c>
      <c r="E68" s="91">
        <v>0</v>
      </c>
      <c r="F68" s="91">
        <v>118797</v>
      </c>
      <c r="G68" s="91">
        <v>109029</v>
      </c>
      <c r="H68" s="91">
        <v>4230</v>
      </c>
      <c r="I68" s="91">
        <v>23105</v>
      </c>
      <c r="J68" s="91">
        <v>0</v>
      </c>
    </row>
    <row r="69" spans="1:10" x14ac:dyDescent="0.25">
      <c r="A69" s="90" t="s">
        <v>73</v>
      </c>
      <c r="B69" s="90" t="s">
        <v>465</v>
      </c>
      <c r="C69" s="90" t="s">
        <v>464</v>
      </c>
      <c r="D69" s="91">
        <v>619654</v>
      </c>
      <c r="E69" s="91">
        <v>0</v>
      </c>
      <c r="F69" s="91">
        <v>125560</v>
      </c>
      <c r="G69" s="91">
        <v>54421</v>
      </c>
      <c r="H69" s="91">
        <v>1036</v>
      </c>
      <c r="I69" s="91">
        <v>5658</v>
      </c>
      <c r="J69" s="91">
        <v>0</v>
      </c>
    </row>
    <row r="70" spans="1:10" x14ac:dyDescent="0.25">
      <c r="A70" s="90" t="s">
        <v>74</v>
      </c>
      <c r="B70" s="90" t="s">
        <v>252</v>
      </c>
      <c r="C70" s="90" t="s">
        <v>464</v>
      </c>
      <c r="D70" s="91">
        <v>216322</v>
      </c>
      <c r="E70" s="91">
        <v>0</v>
      </c>
      <c r="F70" s="91">
        <v>27861</v>
      </c>
      <c r="G70" s="91">
        <v>12564</v>
      </c>
      <c r="H70" s="91">
        <v>0</v>
      </c>
      <c r="I70" s="91">
        <v>0</v>
      </c>
      <c r="J70" s="91">
        <v>18169</v>
      </c>
    </row>
    <row r="71" spans="1:10" x14ac:dyDescent="0.25">
      <c r="A71" s="90" t="s">
        <v>75</v>
      </c>
      <c r="B71" s="90" t="s">
        <v>466</v>
      </c>
      <c r="C71" s="90" t="s">
        <v>467</v>
      </c>
      <c r="D71" s="91">
        <v>11485</v>
      </c>
      <c r="E71" s="91">
        <v>0</v>
      </c>
      <c r="F71" s="91">
        <v>10933</v>
      </c>
      <c r="G71" s="91">
        <v>0</v>
      </c>
      <c r="H71" s="91">
        <v>0</v>
      </c>
      <c r="I71" s="91">
        <v>0</v>
      </c>
      <c r="J71" s="91">
        <v>0</v>
      </c>
    </row>
    <row r="72" spans="1:10" x14ac:dyDescent="0.25">
      <c r="A72" s="90" t="s">
        <v>76</v>
      </c>
      <c r="B72" s="90" t="s">
        <v>468</v>
      </c>
      <c r="C72" s="90" t="s">
        <v>469</v>
      </c>
      <c r="D72" s="91">
        <v>85077</v>
      </c>
      <c r="E72" s="91">
        <v>0</v>
      </c>
      <c r="F72" s="91">
        <v>19354</v>
      </c>
      <c r="G72" s="91">
        <v>2488</v>
      </c>
      <c r="H72" s="91">
        <v>0</v>
      </c>
      <c r="I72" s="91">
        <v>0</v>
      </c>
      <c r="J72" s="91">
        <v>0</v>
      </c>
    </row>
    <row r="73" spans="1:10" x14ac:dyDescent="0.25">
      <c r="A73" s="90" t="s">
        <v>77</v>
      </c>
      <c r="B73" s="90" t="s">
        <v>255</v>
      </c>
      <c r="C73" s="90" t="s">
        <v>469</v>
      </c>
      <c r="D73" s="91">
        <v>172435</v>
      </c>
      <c r="E73" s="91">
        <v>0</v>
      </c>
      <c r="F73" s="91">
        <v>27572</v>
      </c>
      <c r="G73" s="91">
        <v>7215</v>
      </c>
      <c r="H73" s="91">
        <v>0</v>
      </c>
      <c r="I73" s="91">
        <v>0</v>
      </c>
      <c r="J73" s="91">
        <v>0</v>
      </c>
    </row>
    <row r="74" spans="1:10" x14ac:dyDescent="0.25">
      <c r="A74" s="90" t="s">
        <v>78</v>
      </c>
      <c r="B74" s="90" t="s">
        <v>470</v>
      </c>
      <c r="C74" s="90" t="s">
        <v>471</v>
      </c>
      <c r="D74" s="91">
        <v>277596</v>
      </c>
      <c r="E74" s="91">
        <v>0</v>
      </c>
      <c r="F74" s="91">
        <v>58240</v>
      </c>
      <c r="G74" s="91">
        <v>10573</v>
      </c>
      <c r="H74" s="91">
        <v>0</v>
      </c>
      <c r="I74" s="91">
        <v>0</v>
      </c>
      <c r="J74" s="91">
        <v>0</v>
      </c>
    </row>
    <row r="75" spans="1:10" x14ac:dyDescent="0.25">
      <c r="A75" s="90" t="s">
        <v>79</v>
      </c>
      <c r="B75" s="90" t="s">
        <v>472</v>
      </c>
      <c r="C75" s="90" t="s">
        <v>473</v>
      </c>
      <c r="D75" s="91">
        <v>24539</v>
      </c>
      <c r="E75" s="91">
        <v>0</v>
      </c>
      <c r="F75" s="91">
        <v>4042</v>
      </c>
      <c r="G75" s="91">
        <v>187</v>
      </c>
      <c r="H75" s="91">
        <v>0</v>
      </c>
      <c r="I75" s="91">
        <v>0</v>
      </c>
      <c r="J75" s="91">
        <v>0</v>
      </c>
    </row>
    <row r="76" spans="1:10" x14ac:dyDescent="0.25">
      <c r="A76" s="90" t="s">
        <v>80</v>
      </c>
      <c r="B76" s="90" t="s">
        <v>474</v>
      </c>
      <c r="C76" s="90" t="s">
        <v>475</v>
      </c>
      <c r="D76" s="91">
        <v>289633</v>
      </c>
      <c r="E76" s="91">
        <v>0</v>
      </c>
      <c r="F76" s="91">
        <v>63831</v>
      </c>
      <c r="G76" s="91">
        <v>746</v>
      </c>
      <c r="H76" s="91">
        <v>0</v>
      </c>
      <c r="I76" s="91">
        <v>0</v>
      </c>
      <c r="J76" s="91">
        <v>0</v>
      </c>
    </row>
    <row r="77" spans="1:10" x14ac:dyDescent="0.25">
      <c r="A77" s="90" t="s">
        <v>81</v>
      </c>
      <c r="B77" s="90" t="s">
        <v>476</v>
      </c>
      <c r="C77" s="90" t="s">
        <v>475</v>
      </c>
      <c r="D77" s="91">
        <v>28787</v>
      </c>
      <c r="E77" s="91">
        <v>0</v>
      </c>
      <c r="F77" s="91">
        <v>15280</v>
      </c>
      <c r="G77" s="91">
        <v>0</v>
      </c>
      <c r="H77" s="91">
        <v>0</v>
      </c>
      <c r="I77" s="91">
        <v>0</v>
      </c>
      <c r="J77" s="91">
        <v>0</v>
      </c>
    </row>
    <row r="78" spans="1:10" x14ac:dyDescent="0.25">
      <c r="A78" s="90" t="s">
        <v>82</v>
      </c>
      <c r="B78" s="90" t="s">
        <v>260</v>
      </c>
      <c r="C78" s="90" t="s">
        <v>477</v>
      </c>
      <c r="D78" s="91">
        <v>39900</v>
      </c>
      <c r="E78" s="91">
        <v>0</v>
      </c>
      <c r="F78" s="91">
        <v>11116</v>
      </c>
      <c r="G78" s="91">
        <v>1244</v>
      </c>
      <c r="H78" s="91">
        <v>0</v>
      </c>
      <c r="I78" s="91">
        <v>0</v>
      </c>
      <c r="J78" s="91">
        <v>0</v>
      </c>
    </row>
    <row r="79" spans="1:10" x14ac:dyDescent="0.25">
      <c r="A79" s="90" t="s">
        <v>83</v>
      </c>
      <c r="B79" s="90" t="s">
        <v>261</v>
      </c>
      <c r="C79" s="90" t="s">
        <v>478</v>
      </c>
      <c r="D79" s="91">
        <v>11137945</v>
      </c>
      <c r="E79" s="91">
        <v>36689</v>
      </c>
      <c r="F79" s="91">
        <v>1901702</v>
      </c>
      <c r="G79" s="91">
        <v>411548</v>
      </c>
      <c r="H79" s="91">
        <v>0</v>
      </c>
      <c r="I79" s="91">
        <v>0</v>
      </c>
      <c r="J79" s="91">
        <v>0</v>
      </c>
    </row>
    <row r="80" spans="1:10" x14ac:dyDescent="0.25">
      <c r="A80" s="90" t="s">
        <v>84</v>
      </c>
      <c r="B80" s="90" t="s">
        <v>479</v>
      </c>
      <c r="C80" s="90" t="s">
        <v>480</v>
      </c>
      <c r="D80" s="91">
        <v>24780</v>
      </c>
      <c r="E80" s="91">
        <v>0</v>
      </c>
      <c r="F80" s="91">
        <v>11912</v>
      </c>
      <c r="G80" s="91">
        <v>0</v>
      </c>
      <c r="H80" s="91">
        <v>0</v>
      </c>
      <c r="I80" s="91">
        <v>0</v>
      </c>
      <c r="J80" s="91">
        <v>0</v>
      </c>
    </row>
    <row r="81" spans="1:10" x14ac:dyDescent="0.25">
      <c r="A81" s="90" t="s">
        <v>85</v>
      </c>
      <c r="B81" s="90" t="s">
        <v>481</v>
      </c>
      <c r="C81" s="90" t="s">
        <v>480</v>
      </c>
      <c r="D81" s="91">
        <v>13620</v>
      </c>
      <c r="E81" s="91">
        <v>0</v>
      </c>
      <c r="F81" s="91">
        <v>878</v>
      </c>
      <c r="G81" s="91">
        <v>0</v>
      </c>
      <c r="H81" s="91">
        <v>0</v>
      </c>
      <c r="I81" s="91">
        <v>0</v>
      </c>
      <c r="J81" s="91">
        <v>0</v>
      </c>
    </row>
    <row r="82" spans="1:10" x14ac:dyDescent="0.25">
      <c r="A82" s="90" t="s">
        <v>86</v>
      </c>
      <c r="B82" s="90" t="s">
        <v>264</v>
      </c>
      <c r="C82" s="90" t="s">
        <v>482</v>
      </c>
      <c r="D82" s="91">
        <v>37403</v>
      </c>
      <c r="E82" s="91">
        <v>0</v>
      </c>
      <c r="F82" s="91">
        <v>11174</v>
      </c>
      <c r="G82" s="91">
        <v>0</v>
      </c>
      <c r="H82" s="91">
        <v>0</v>
      </c>
      <c r="I82" s="91">
        <v>0</v>
      </c>
      <c r="J82" s="91">
        <v>0</v>
      </c>
    </row>
    <row r="83" spans="1:10" x14ac:dyDescent="0.25">
      <c r="A83" s="90" t="s">
        <v>87</v>
      </c>
      <c r="B83" s="90" t="s">
        <v>265</v>
      </c>
      <c r="C83" s="90" t="s">
        <v>482</v>
      </c>
      <c r="D83" s="91">
        <v>22333</v>
      </c>
      <c r="E83" s="91">
        <v>0</v>
      </c>
      <c r="F83" s="91">
        <v>4350</v>
      </c>
      <c r="G83" s="91">
        <v>249</v>
      </c>
      <c r="H83" s="91">
        <v>0</v>
      </c>
      <c r="I83" s="91">
        <v>0</v>
      </c>
      <c r="J83" s="91">
        <v>0</v>
      </c>
    </row>
    <row r="84" spans="1:10" x14ac:dyDescent="0.25">
      <c r="A84" s="90" t="s">
        <v>88</v>
      </c>
      <c r="B84" s="90" t="s">
        <v>266</v>
      </c>
      <c r="C84" s="90" t="s">
        <v>482</v>
      </c>
      <c r="D84" s="91">
        <v>35451</v>
      </c>
      <c r="E84" s="91">
        <v>0</v>
      </c>
      <c r="F84" s="91">
        <v>9204</v>
      </c>
      <c r="G84" s="91">
        <v>1306</v>
      </c>
      <c r="H84" s="91">
        <v>0</v>
      </c>
      <c r="I84" s="91">
        <v>0</v>
      </c>
      <c r="J84" s="91">
        <v>0</v>
      </c>
    </row>
    <row r="85" spans="1:10" x14ac:dyDescent="0.25">
      <c r="A85" s="90" t="s">
        <v>89</v>
      </c>
      <c r="B85" s="90" t="s">
        <v>267</v>
      </c>
      <c r="C85" s="90" t="s">
        <v>482</v>
      </c>
      <c r="D85" s="91">
        <v>28638</v>
      </c>
      <c r="E85" s="91">
        <v>0</v>
      </c>
      <c r="F85" s="91">
        <v>3765</v>
      </c>
      <c r="G85" s="91">
        <v>1990</v>
      </c>
      <c r="H85" s="91">
        <v>0</v>
      </c>
      <c r="I85" s="91">
        <v>0</v>
      </c>
      <c r="J85" s="91">
        <v>0</v>
      </c>
    </row>
    <row r="86" spans="1:10" x14ac:dyDescent="0.25">
      <c r="A86" s="90" t="s">
        <v>90</v>
      </c>
      <c r="B86" s="90" t="s">
        <v>483</v>
      </c>
      <c r="C86" s="90" t="s">
        <v>482</v>
      </c>
      <c r="D86" s="91">
        <v>103490</v>
      </c>
      <c r="E86" s="91">
        <v>0</v>
      </c>
      <c r="F86" s="91">
        <v>31869</v>
      </c>
      <c r="G86" s="91">
        <v>10573</v>
      </c>
      <c r="H86" s="91">
        <v>0</v>
      </c>
      <c r="I86" s="91">
        <v>0</v>
      </c>
      <c r="J86" s="91">
        <v>0</v>
      </c>
    </row>
    <row r="87" spans="1:10" x14ac:dyDescent="0.25">
      <c r="A87" s="90" t="s">
        <v>91</v>
      </c>
      <c r="B87" s="90" t="s">
        <v>269</v>
      </c>
      <c r="C87" s="90" t="s">
        <v>484</v>
      </c>
      <c r="D87" s="91">
        <v>273952</v>
      </c>
      <c r="E87" s="91">
        <v>0</v>
      </c>
      <c r="F87" s="91">
        <v>43594</v>
      </c>
      <c r="G87" s="91">
        <v>24505</v>
      </c>
      <c r="H87" s="91">
        <v>0</v>
      </c>
      <c r="I87" s="91">
        <v>0</v>
      </c>
      <c r="J87" s="91">
        <v>18745</v>
      </c>
    </row>
    <row r="88" spans="1:10" x14ac:dyDescent="0.25">
      <c r="A88" s="90" t="s">
        <v>92</v>
      </c>
      <c r="B88" s="90" t="s">
        <v>270</v>
      </c>
      <c r="C88" s="90" t="s">
        <v>485</v>
      </c>
      <c r="D88" s="91">
        <v>492375</v>
      </c>
      <c r="E88" s="91">
        <v>3830</v>
      </c>
      <c r="F88" s="91">
        <v>165802</v>
      </c>
      <c r="G88" s="91">
        <v>12937</v>
      </c>
      <c r="H88" s="91">
        <v>0</v>
      </c>
      <c r="I88" s="91">
        <v>0</v>
      </c>
      <c r="J88" s="91">
        <v>0</v>
      </c>
    </row>
    <row r="89" spans="1:10" x14ac:dyDescent="0.25">
      <c r="A89" s="90" t="s">
        <v>93</v>
      </c>
      <c r="B89" s="90" t="s">
        <v>486</v>
      </c>
      <c r="C89" s="90" t="s">
        <v>485</v>
      </c>
      <c r="D89" s="91">
        <v>88806</v>
      </c>
      <c r="E89" s="91">
        <v>0</v>
      </c>
      <c r="F89" s="91">
        <v>29240</v>
      </c>
      <c r="G89" s="91">
        <v>0</v>
      </c>
      <c r="H89" s="91">
        <v>345</v>
      </c>
      <c r="I89" s="91">
        <v>1886</v>
      </c>
      <c r="J89" s="91">
        <v>0</v>
      </c>
    </row>
    <row r="90" spans="1:10" x14ac:dyDescent="0.25">
      <c r="A90" s="90" t="s">
        <v>94</v>
      </c>
      <c r="B90" s="90" t="s">
        <v>487</v>
      </c>
      <c r="C90" s="90" t="s">
        <v>485</v>
      </c>
      <c r="D90" s="91">
        <v>177474</v>
      </c>
      <c r="E90" s="91">
        <v>0</v>
      </c>
      <c r="F90" s="91">
        <v>51208</v>
      </c>
      <c r="G90" s="91">
        <v>0</v>
      </c>
      <c r="H90" s="91">
        <v>0</v>
      </c>
      <c r="I90" s="91">
        <v>0</v>
      </c>
      <c r="J90" s="91">
        <v>15103</v>
      </c>
    </row>
    <row r="91" spans="1:10" x14ac:dyDescent="0.25">
      <c r="A91" s="90" t="s">
        <v>95</v>
      </c>
      <c r="B91" s="90" t="s">
        <v>273</v>
      </c>
      <c r="C91" s="90" t="s">
        <v>488</v>
      </c>
      <c r="D91" s="91">
        <v>2746985</v>
      </c>
      <c r="E91" s="91">
        <v>47237</v>
      </c>
      <c r="F91" s="91">
        <v>680174</v>
      </c>
      <c r="G91" s="91">
        <v>128994</v>
      </c>
      <c r="H91" s="91">
        <v>0</v>
      </c>
      <c r="I91" s="91">
        <v>0</v>
      </c>
      <c r="J91" s="91">
        <v>0</v>
      </c>
    </row>
    <row r="92" spans="1:10" x14ac:dyDescent="0.25">
      <c r="A92" s="90" t="s">
        <v>96</v>
      </c>
      <c r="B92" s="90" t="s">
        <v>489</v>
      </c>
      <c r="C92" s="90" t="s">
        <v>488</v>
      </c>
      <c r="D92" s="91">
        <v>1592294</v>
      </c>
      <c r="E92" s="91">
        <v>0</v>
      </c>
      <c r="F92" s="91">
        <v>350837</v>
      </c>
      <c r="G92" s="91">
        <v>35452</v>
      </c>
      <c r="H92" s="91">
        <v>0</v>
      </c>
      <c r="I92" s="91">
        <v>0</v>
      </c>
      <c r="J92" s="91">
        <v>0</v>
      </c>
    </row>
    <row r="93" spans="1:10" x14ac:dyDescent="0.25">
      <c r="A93" s="90" t="s">
        <v>97</v>
      </c>
      <c r="B93" s="90" t="s">
        <v>490</v>
      </c>
      <c r="C93" s="90" t="s">
        <v>488</v>
      </c>
      <c r="D93" s="91">
        <v>83878</v>
      </c>
      <c r="E93" s="91">
        <v>0</v>
      </c>
      <c r="F93" s="91">
        <v>39492</v>
      </c>
      <c r="G93" s="91">
        <v>11817</v>
      </c>
      <c r="H93" s="91">
        <v>0</v>
      </c>
      <c r="I93" s="91">
        <v>0</v>
      </c>
      <c r="J93" s="91">
        <v>0</v>
      </c>
    </row>
    <row r="94" spans="1:10" x14ac:dyDescent="0.25">
      <c r="A94" s="90" t="s">
        <v>98</v>
      </c>
      <c r="B94" s="90" t="s">
        <v>276</v>
      </c>
      <c r="C94" s="90" t="s">
        <v>491</v>
      </c>
      <c r="D94" s="91">
        <v>366181</v>
      </c>
      <c r="E94" s="91">
        <v>0</v>
      </c>
      <c r="F94" s="91">
        <v>114895</v>
      </c>
      <c r="G94" s="91">
        <v>2674</v>
      </c>
      <c r="H94" s="91">
        <v>0</v>
      </c>
      <c r="I94" s="91">
        <v>0</v>
      </c>
      <c r="J94" s="91">
        <v>0</v>
      </c>
    </row>
    <row r="95" spans="1:10" x14ac:dyDescent="0.25">
      <c r="A95" s="90" t="s">
        <v>99</v>
      </c>
      <c r="B95" s="90" t="s">
        <v>277</v>
      </c>
      <c r="C95" s="90" t="s">
        <v>491</v>
      </c>
      <c r="D95" s="91">
        <v>32573</v>
      </c>
      <c r="E95" s="91">
        <v>0</v>
      </c>
      <c r="F95" s="91">
        <v>9054</v>
      </c>
      <c r="G95" s="91">
        <v>187</v>
      </c>
      <c r="H95" s="91">
        <v>0</v>
      </c>
      <c r="I95" s="91">
        <v>0</v>
      </c>
      <c r="J95" s="91">
        <v>0</v>
      </c>
    </row>
    <row r="96" spans="1:10" x14ac:dyDescent="0.25">
      <c r="A96" s="90" t="s">
        <v>100</v>
      </c>
      <c r="B96" s="90" t="s">
        <v>278</v>
      </c>
      <c r="C96" s="90" t="s">
        <v>491</v>
      </c>
      <c r="D96" s="91">
        <v>34711</v>
      </c>
      <c r="E96" s="91">
        <v>0</v>
      </c>
      <c r="F96" s="91">
        <v>12530</v>
      </c>
      <c r="G96" s="91">
        <v>373</v>
      </c>
      <c r="H96" s="91">
        <v>0</v>
      </c>
      <c r="I96" s="91">
        <v>0</v>
      </c>
      <c r="J96" s="91">
        <v>0</v>
      </c>
    </row>
    <row r="97" spans="1:10" x14ac:dyDescent="0.25">
      <c r="A97" s="90" t="s">
        <v>101</v>
      </c>
      <c r="B97" s="90" t="s">
        <v>492</v>
      </c>
      <c r="C97" s="90" t="s">
        <v>491</v>
      </c>
      <c r="D97" s="91">
        <v>94315</v>
      </c>
      <c r="E97" s="91">
        <v>0</v>
      </c>
      <c r="F97" s="91">
        <v>18199</v>
      </c>
      <c r="G97" s="91">
        <v>187</v>
      </c>
      <c r="H97" s="91">
        <v>0</v>
      </c>
      <c r="I97" s="91">
        <v>0</v>
      </c>
      <c r="J97" s="91">
        <v>0</v>
      </c>
    </row>
    <row r="98" spans="1:10" x14ac:dyDescent="0.25">
      <c r="A98" s="90" t="s">
        <v>102</v>
      </c>
      <c r="B98" s="90" t="s">
        <v>280</v>
      </c>
      <c r="C98" s="90" t="s">
        <v>491</v>
      </c>
      <c r="D98" s="91">
        <v>0</v>
      </c>
      <c r="E98" s="91">
        <v>0</v>
      </c>
      <c r="F98" s="91">
        <v>0</v>
      </c>
      <c r="G98" s="91">
        <v>0</v>
      </c>
      <c r="H98" s="91">
        <v>0</v>
      </c>
      <c r="I98" s="91">
        <v>0</v>
      </c>
      <c r="J98" s="91">
        <v>0</v>
      </c>
    </row>
    <row r="99" spans="1:10" x14ac:dyDescent="0.25">
      <c r="A99" s="90" t="s">
        <v>103</v>
      </c>
      <c r="B99" s="90" t="s">
        <v>281</v>
      </c>
      <c r="C99" s="90" t="s">
        <v>491</v>
      </c>
      <c r="D99" s="91">
        <v>1541</v>
      </c>
      <c r="E99" s="91">
        <v>0</v>
      </c>
      <c r="F99" s="91">
        <v>5204</v>
      </c>
      <c r="G99" s="91">
        <v>0</v>
      </c>
      <c r="H99" s="91">
        <v>0</v>
      </c>
      <c r="I99" s="91">
        <v>0</v>
      </c>
      <c r="J99" s="91">
        <v>0</v>
      </c>
    </row>
    <row r="100" spans="1:10" x14ac:dyDescent="0.25">
      <c r="A100" s="90" t="s">
        <v>104</v>
      </c>
      <c r="B100" s="90" t="s">
        <v>282</v>
      </c>
      <c r="C100" s="90" t="s">
        <v>493</v>
      </c>
      <c r="D100" s="91">
        <v>38757</v>
      </c>
      <c r="E100" s="91">
        <v>0</v>
      </c>
      <c r="F100" s="91">
        <v>11442</v>
      </c>
      <c r="G100" s="91">
        <v>0</v>
      </c>
      <c r="H100" s="91">
        <v>0</v>
      </c>
      <c r="I100" s="91">
        <v>0</v>
      </c>
      <c r="J100" s="91">
        <v>0</v>
      </c>
    </row>
    <row r="101" spans="1:10" x14ac:dyDescent="0.25">
      <c r="A101" s="90" t="s">
        <v>105</v>
      </c>
      <c r="B101" s="90" t="s">
        <v>494</v>
      </c>
      <c r="C101" s="90" t="s">
        <v>493</v>
      </c>
      <c r="D101" s="91">
        <v>78445</v>
      </c>
      <c r="E101" s="91">
        <v>0</v>
      </c>
      <c r="F101" s="91">
        <v>19317</v>
      </c>
      <c r="G101" s="91">
        <v>1306</v>
      </c>
      <c r="H101" s="91">
        <v>0</v>
      </c>
      <c r="I101" s="91">
        <v>0</v>
      </c>
      <c r="J101" s="91">
        <v>0</v>
      </c>
    </row>
    <row r="102" spans="1:10" x14ac:dyDescent="0.25">
      <c r="A102" s="90" t="s">
        <v>106</v>
      </c>
      <c r="B102" s="90" t="s">
        <v>495</v>
      </c>
      <c r="C102" s="90" t="s">
        <v>493</v>
      </c>
      <c r="D102" s="91">
        <v>16185</v>
      </c>
      <c r="E102" s="91">
        <v>0</v>
      </c>
      <c r="F102" s="91">
        <v>3350</v>
      </c>
      <c r="G102" s="91">
        <v>0</v>
      </c>
      <c r="H102" s="91">
        <v>0</v>
      </c>
      <c r="I102" s="91">
        <v>0</v>
      </c>
      <c r="J102" s="91">
        <v>0</v>
      </c>
    </row>
    <row r="103" spans="1:10" x14ac:dyDescent="0.25">
      <c r="A103" s="90" t="s">
        <v>107</v>
      </c>
      <c r="B103" s="90" t="s">
        <v>496</v>
      </c>
      <c r="C103" s="90" t="s">
        <v>497</v>
      </c>
      <c r="D103" s="91">
        <v>428678</v>
      </c>
      <c r="E103" s="91">
        <v>0</v>
      </c>
      <c r="F103" s="91">
        <v>121938</v>
      </c>
      <c r="G103" s="91">
        <v>7339</v>
      </c>
      <c r="H103" s="91">
        <v>0</v>
      </c>
      <c r="I103" s="91">
        <v>0</v>
      </c>
      <c r="J103" s="91">
        <v>0</v>
      </c>
    </row>
    <row r="104" spans="1:10" x14ac:dyDescent="0.25">
      <c r="A104" s="90" t="s">
        <v>108</v>
      </c>
      <c r="B104" s="90" t="s">
        <v>498</v>
      </c>
      <c r="C104" s="90" t="s">
        <v>497</v>
      </c>
      <c r="D104" s="91">
        <v>31736</v>
      </c>
      <c r="E104" s="91">
        <v>0</v>
      </c>
      <c r="F104" s="91">
        <v>5824</v>
      </c>
      <c r="G104" s="91">
        <v>0</v>
      </c>
      <c r="H104" s="91">
        <v>0</v>
      </c>
      <c r="I104" s="91">
        <v>0</v>
      </c>
      <c r="J104" s="91">
        <v>0</v>
      </c>
    </row>
    <row r="105" spans="1:10" x14ac:dyDescent="0.25">
      <c r="A105" s="90" t="s">
        <v>109</v>
      </c>
      <c r="B105" s="90" t="s">
        <v>499</v>
      </c>
      <c r="C105" s="90" t="s">
        <v>497</v>
      </c>
      <c r="D105" s="91">
        <v>22176</v>
      </c>
      <c r="E105" s="91">
        <v>0</v>
      </c>
      <c r="F105" s="91">
        <v>7606</v>
      </c>
      <c r="G105" s="91">
        <v>0</v>
      </c>
      <c r="H105" s="91">
        <v>0</v>
      </c>
      <c r="I105" s="91">
        <v>0</v>
      </c>
      <c r="J105" s="91">
        <v>0</v>
      </c>
    </row>
    <row r="106" spans="1:10" x14ac:dyDescent="0.25">
      <c r="A106" s="90" t="s">
        <v>110</v>
      </c>
      <c r="B106" s="90" t="s">
        <v>500</v>
      </c>
      <c r="C106" s="90" t="s">
        <v>497</v>
      </c>
      <c r="D106" s="91">
        <v>2101</v>
      </c>
      <c r="E106" s="91">
        <v>0</v>
      </c>
      <c r="F106" s="91">
        <v>5221</v>
      </c>
      <c r="G106" s="91">
        <v>0</v>
      </c>
      <c r="H106" s="91">
        <v>0</v>
      </c>
      <c r="I106" s="91">
        <v>0</v>
      </c>
      <c r="J106" s="91">
        <v>0</v>
      </c>
    </row>
    <row r="107" spans="1:10" x14ac:dyDescent="0.25">
      <c r="A107" s="90" t="s">
        <v>111</v>
      </c>
      <c r="B107" s="90" t="s">
        <v>501</v>
      </c>
      <c r="C107" s="90" t="s">
        <v>502</v>
      </c>
      <c r="D107" s="91">
        <v>22779</v>
      </c>
      <c r="E107" s="91">
        <v>0</v>
      </c>
      <c r="F107" s="91">
        <v>5993</v>
      </c>
      <c r="G107" s="91">
        <v>0</v>
      </c>
      <c r="H107" s="91">
        <v>0</v>
      </c>
      <c r="I107" s="91">
        <v>0</v>
      </c>
      <c r="J107" s="91">
        <v>0</v>
      </c>
    </row>
    <row r="108" spans="1:10" x14ac:dyDescent="0.25">
      <c r="A108" s="90" t="s">
        <v>112</v>
      </c>
      <c r="B108" s="90" t="s">
        <v>290</v>
      </c>
      <c r="C108" s="90" t="s">
        <v>502</v>
      </c>
      <c r="D108" s="91">
        <v>83549</v>
      </c>
      <c r="E108" s="91">
        <v>0</v>
      </c>
      <c r="F108" s="91">
        <v>16976</v>
      </c>
      <c r="G108" s="91">
        <v>0</v>
      </c>
      <c r="H108" s="91">
        <v>0</v>
      </c>
      <c r="I108" s="91">
        <v>0</v>
      </c>
      <c r="J108" s="91">
        <v>0</v>
      </c>
    </row>
    <row r="109" spans="1:10" x14ac:dyDescent="0.25">
      <c r="A109" s="90" t="s">
        <v>113</v>
      </c>
      <c r="B109" s="90" t="s">
        <v>291</v>
      </c>
      <c r="C109" s="90" t="s">
        <v>502</v>
      </c>
      <c r="D109" s="91">
        <v>4214972</v>
      </c>
      <c r="E109" s="91">
        <v>30576</v>
      </c>
      <c r="F109" s="91">
        <v>792610</v>
      </c>
      <c r="G109" s="91">
        <v>72334</v>
      </c>
      <c r="H109" s="91">
        <v>0</v>
      </c>
      <c r="I109" s="91">
        <v>0</v>
      </c>
      <c r="J109" s="91">
        <v>0</v>
      </c>
    </row>
    <row r="110" spans="1:10" x14ac:dyDescent="0.25">
      <c r="A110" s="90" t="s">
        <v>114</v>
      </c>
      <c r="B110" s="90" t="s">
        <v>503</v>
      </c>
      <c r="C110" s="90" t="s">
        <v>504</v>
      </c>
      <c r="D110" s="91">
        <v>1387</v>
      </c>
      <c r="E110" s="91">
        <v>0</v>
      </c>
      <c r="F110" s="91">
        <v>4360</v>
      </c>
      <c r="G110" s="91">
        <v>0</v>
      </c>
      <c r="H110" s="91">
        <v>0</v>
      </c>
      <c r="I110" s="91">
        <v>0</v>
      </c>
      <c r="J110" s="91">
        <v>0</v>
      </c>
    </row>
    <row r="111" spans="1:10" x14ac:dyDescent="0.25">
      <c r="A111" s="90" t="s">
        <v>115</v>
      </c>
      <c r="B111" s="90" t="s">
        <v>505</v>
      </c>
      <c r="C111" s="90" t="s">
        <v>506</v>
      </c>
      <c r="D111" s="91">
        <v>244368</v>
      </c>
      <c r="E111" s="91">
        <v>0</v>
      </c>
      <c r="F111" s="91">
        <v>89859</v>
      </c>
      <c r="G111" s="91">
        <v>14056</v>
      </c>
      <c r="H111" s="91">
        <v>0</v>
      </c>
      <c r="I111" s="91">
        <v>0</v>
      </c>
      <c r="J111" s="91">
        <v>0</v>
      </c>
    </row>
    <row r="112" spans="1:10" x14ac:dyDescent="0.25">
      <c r="A112" s="90" t="s">
        <v>116</v>
      </c>
      <c r="B112" s="90" t="s">
        <v>507</v>
      </c>
      <c r="C112" s="90" t="s">
        <v>508</v>
      </c>
      <c r="D112" s="91">
        <v>808632</v>
      </c>
      <c r="E112" s="91">
        <v>0</v>
      </c>
      <c r="F112" s="91">
        <v>186156</v>
      </c>
      <c r="G112" s="91">
        <v>11133</v>
      </c>
      <c r="H112" s="91">
        <v>0</v>
      </c>
      <c r="I112" s="91">
        <v>0</v>
      </c>
      <c r="J112" s="91">
        <v>51111</v>
      </c>
    </row>
    <row r="113" spans="1:10" x14ac:dyDescent="0.25">
      <c r="A113" s="90" t="s">
        <v>117</v>
      </c>
      <c r="B113" s="90" t="s">
        <v>509</v>
      </c>
      <c r="C113" s="90" t="s">
        <v>508</v>
      </c>
      <c r="D113" s="91">
        <v>132124</v>
      </c>
      <c r="E113" s="91">
        <v>0</v>
      </c>
      <c r="F113" s="91">
        <v>24320</v>
      </c>
      <c r="G113" s="91">
        <v>0</v>
      </c>
      <c r="H113" s="91">
        <v>0</v>
      </c>
      <c r="I113" s="91">
        <v>0</v>
      </c>
      <c r="J113" s="91">
        <v>13951</v>
      </c>
    </row>
    <row r="114" spans="1:10" x14ac:dyDescent="0.25">
      <c r="A114" s="90" t="s">
        <v>118</v>
      </c>
      <c r="B114" s="90" t="s">
        <v>510</v>
      </c>
      <c r="C114" s="90" t="s">
        <v>508</v>
      </c>
      <c r="D114" s="91">
        <v>94676</v>
      </c>
      <c r="E114" s="91">
        <v>0</v>
      </c>
      <c r="F114" s="91">
        <v>22083</v>
      </c>
      <c r="G114" s="91">
        <v>0</v>
      </c>
      <c r="H114" s="91">
        <v>345</v>
      </c>
      <c r="I114" s="91">
        <v>1886</v>
      </c>
      <c r="J114" s="91">
        <v>0</v>
      </c>
    </row>
    <row r="115" spans="1:10" x14ac:dyDescent="0.25">
      <c r="A115" s="90" t="s">
        <v>119</v>
      </c>
      <c r="B115" s="90" t="s">
        <v>511</v>
      </c>
      <c r="C115" s="90" t="s">
        <v>512</v>
      </c>
      <c r="D115" s="91">
        <v>1266562</v>
      </c>
      <c r="E115" s="91">
        <v>0</v>
      </c>
      <c r="F115" s="91">
        <v>226556</v>
      </c>
      <c r="G115" s="91">
        <v>61885</v>
      </c>
      <c r="H115" s="91">
        <v>0</v>
      </c>
      <c r="I115" s="91">
        <v>0</v>
      </c>
      <c r="J115" s="91">
        <v>110906</v>
      </c>
    </row>
    <row r="116" spans="1:10" x14ac:dyDescent="0.25">
      <c r="A116" s="90" t="s">
        <v>120</v>
      </c>
      <c r="B116" s="90" t="s">
        <v>513</v>
      </c>
      <c r="C116" s="90" t="s">
        <v>512</v>
      </c>
      <c r="D116" s="91">
        <v>67345</v>
      </c>
      <c r="E116" s="91">
        <v>0</v>
      </c>
      <c r="F116" s="91">
        <v>18077</v>
      </c>
      <c r="G116" s="91">
        <v>435</v>
      </c>
      <c r="H116" s="91">
        <v>0</v>
      </c>
      <c r="I116" s="91">
        <v>0</v>
      </c>
      <c r="J116" s="91">
        <v>0</v>
      </c>
    </row>
    <row r="117" spans="1:10" x14ac:dyDescent="0.25">
      <c r="A117" s="90" t="s">
        <v>121</v>
      </c>
      <c r="B117" s="90" t="s">
        <v>514</v>
      </c>
      <c r="C117" s="90" t="s">
        <v>515</v>
      </c>
      <c r="D117" s="91">
        <v>206970</v>
      </c>
      <c r="E117" s="91">
        <v>0</v>
      </c>
      <c r="F117" s="91">
        <v>55409</v>
      </c>
      <c r="G117" s="91">
        <v>13496</v>
      </c>
      <c r="H117" s="91">
        <v>0</v>
      </c>
      <c r="I117" s="91">
        <v>0</v>
      </c>
      <c r="J117" s="91">
        <v>0</v>
      </c>
    </row>
    <row r="118" spans="1:10" x14ac:dyDescent="0.25">
      <c r="A118" s="90" t="s">
        <v>122</v>
      </c>
      <c r="B118" s="90" t="s">
        <v>516</v>
      </c>
      <c r="C118" s="90" t="s">
        <v>515</v>
      </c>
      <c r="D118" s="91">
        <v>589685</v>
      </c>
      <c r="E118" s="91">
        <v>0</v>
      </c>
      <c r="F118" s="91">
        <v>144585</v>
      </c>
      <c r="G118" s="91">
        <v>57718</v>
      </c>
      <c r="H118" s="91">
        <v>2590</v>
      </c>
      <c r="I118" s="91">
        <v>14146</v>
      </c>
      <c r="J118" s="91">
        <v>56667</v>
      </c>
    </row>
    <row r="119" spans="1:10" x14ac:dyDescent="0.25">
      <c r="A119" s="90" t="s">
        <v>123</v>
      </c>
      <c r="B119" s="90" t="s">
        <v>517</v>
      </c>
      <c r="C119" s="90" t="s">
        <v>515</v>
      </c>
      <c r="D119" s="91">
        <v>10363</v>
      </c>
      <c r="E119" s="91">
        <v>0</v>
      </c>
      <c r="F119" s="91">
        <v>6938</v>
      </c>
      <c r="G119" s="91">
        <v>124</v>
      </c>
      <c r="H119" s="91">
        <v>0</v>
      </c>
      <c r="I119" s="91">
        <v>0</v>
      </c>
      <c r="J119" s="91">
        <v>0</v>
      </c>
    </row>
    <row r="120" spans="1:10" x14ac:dyDescent="0.25">
      <c r="A120" s="90" t="s">
        <v>124</v>
      </c>
      <c r="B120" s="90" t="s">
        <v>518</v>
      </c>
      <c r="C120" s="90" t="s">
        <v>515</v>
      </c>
      <c r="D120" s="91">
        <v>84209</v>
      </c>
      <c r="E120" s="91">
        <v>0</v>
      </c>
      <c r="F120" s="91">
        <v>14226</v>
      </c>
      <c r="G120" s="91">
        <v>5909</v>
      </c>
      <c r="H120" s="91">
        <v>0</v>
      </c>
      <c r="I120" s="91">
        <v>0</v>
      </c>
      <c r="J120" s="91">
        <v>0</v>
      </c>
    </row>
    <row r="121" spans="1:10" x14ac:dyDescent="0.25">
      <c r="A121" s="90" t="s">
        <v>125</v>
      </c>
      <c r="B121" s="90" t="s">
        <v>303</v>
      </c>
      <c r="C121" s="90" t="s">
        <v>519</v>
      </c>
      <c r="D121" s="91">
        <v>730774</v>
      </c>
      <c r="E121" s="91">
        <v>0</v>
      </c>
      <c r="F121" s="91">
        <v>102095</v>
      </c>
      <c r="G121" s="91">
        <v>1306</v>
      </c>
      <c r="H121" s="91">
        <v>0</v>
      </c>
      <c r="I121" s="91">
        <v>0</v>
      </c>
      <c r="J121" s="91">
        <v>24979</v>
      </c>
    </row>
    <row r="122" spans="1:10" x14ac:dyDescent="0.25">
      <c r="A122" s="90" t="s">
        <v>126</v>
      </c>
      <c r="B122" s="90" t="s">
        <v>304</v>
      </c>
      <c r="C122" s="90" t="s">
        <v>519</v>
      </c>
      <c r="D122" s="91">
        <v>512908</v>
      </c>
      <c r="E122" s="91">
        <v>0</v>
      </c>
      <c r="F122" s="91">
        <v>101553</v>
      </c>
      <c r="G122" s="91">
        <v>3359</v>
      </c>
      <c r="H122" s="91">
        <v>0</v>
      </c>
      <c r="I122" s="91">
        <v>0</v>
      </c>
      <c r="J122" s="91">
        <v>14856</v>
      </c>
    </row>
    <row r="123" spans="1:10" x14ac:dyDescent="0.25">
      <c r="A123" s="90" t="s">
        <v>127</v>
      </c>
      <c r="B123" s="90" t="s">
        <v>305</v>
      </c>
      <c r="C123" s="90" t="s">
        <v>519</v>
      </c>
      <c r="D123" s="91">
        <v>111959</v>
      </c>
      <c r="E123" s="91">
        <v>0</v>
      </c>
      <c r="F123" s="91">
        <v>14652</v>
      </c>
      <c r="G123" s="91">
        <v>1866</v>
      </c>
      <c r="H123" s="91">
        <v>0</v>
      </c>
      <c r="I123" s="91">
        <v>0</v>
      </c>
      <c r="J123" s="91">
        <v>0</v>
      </c>
    </row>
    <row r="124" spans="1:10" x14ac:dyDescent="0.25">
      <c r="A124" s="90" t="s">
        <v>128</v>
      </c>
      <c r="B124" s="90" t="s">
        <v>306</v>
      </c>
      <c r="C124" s="90" t="s">
        <v>519</v>
      </c>
      <c r="D124" s="91">
        <v>91106</v>
      </c>
      <c r="E124" s="91">
        <v>0</v>
      </c>
      <c r="F124" s="91">
        <v>21195</v>
      </c>
      <c r="G124" s="91">
        <v>124</v>
      </c>
      <c r="H124" s="91">
        <v>0</v>
      </c>
      <c r="I124" s="91">
        <v>0</v>
      </c>
      <c r="J124" s="91">
        <v>0</v>
      </c>
    </row>
    <row r="125" spans="1:10" x14ac:dyDescent="0.25">
      <c r="A125" s="90" t="s">
        <v>129</v>
      </c>
      <c r="B125" s="90" t="s">
        <v>307</v>
      </c>
      <c r="C125" s="90" t="s">
        <v>519</v>
      </c>
      <c r="D125" s="91">
        <v>34743</v>
      </c>
      <c r="E125" s="91">
        <v>0</v>
      </c>
      <c r="F125" s="91">
        <v>9657</v>
      </c>
      <c r="G125" s="91">
        <v>0</v>
      </c>
      <c r="H125" s="91">
        <v>0</v>
      </c>
      <c r="I125" s="91">
        <v>0</v>
      </c>
      <c r="J125" s="91">
        <v>0</v>
      </c>
    </row>
    <row r="126" spans="1:10" x14ac:dyDescent="0.25">
      <c r="A126" s="90" t="s">
        <v>130</v>
      </c>
      <c r="B126" s="90" t="s">
        <v>308</v>
      </c>
      <c r="C126" s="90" t="s">
        <v>519</v>
      </c>
      <c r="D126" s="91">
        <v>55059</v>
      </c>
      <c r="E126" s="91">
        <v>0</v>
      </c>
      <c r="F126" s="91">
        <v>10669</v>
      </c>
      <c r="G126" s="91">
        <v>0</v>
      </c>
      <c r="H126" s="91">
        <v>0</v>
      </c>
      <c r="I126" s="91">
        <v>0</v>
      </c>
      <c r="J126" s="91">
        <v>0</v>
      </c>
    </row>
    <row r="127" spans="1:10" x14ac:dyDescent="0.25">
      <c r="A127" s="90" t="s">
        <v>131</v>
      </c>
      <c r="B127" s="90" t="s">
        <v>309</v>
      </c>
      <c r="C127" s="90" t="s">
        <v>520</v>
      </c>
      <c r="D127" s="91">
        <v>24732</v>
      </c>
      <c r="E127" s="91">
        <v>0</v>
      </c>
      <c r="F127" s="91">
        <v>6036</v>
      </c>
      <c r="G127" s="91">
        <v>0</v>
      </c>
      <c r="H127" s="91">
        <v>0</v>
      </c>
      <c r="I127" s="91">
        <v>0</v>
      </c>
      <c r="J127" s="91">
        <v>0</v>
      </c>
    </row>
    <row r="128" spans="1:10" x14ac:dyDescent="0.25">
      <c r="A128" s="90" t="s">
        <v>132</v>
      </c>
      <c r="B128" s="90" t="s">
        <v>310</v>
      </c>
      <c r="C128" s="90" t="s">
        <v>520</v>
      </c>
      <c r="D128" s="91">
        <v>47202</v>
      </c>
      <c r="E128" s="91">
        <v>0</v>
      </c>
      <c r="F128" s="91">
        <v>8393</v>
      </c>
      <c r="G128" s="91">
        <v>809</v>
      </c>
      <c r="H128" s="91">
        <v>0</v>
      </c>
      <c r="I128" s="91">
        <v>0</v>
      </c>
      <c r="J128" s="91">
        <v>0</v>
      </c>
    </row>
    <row r="129" spans="1:10" x14ac:dyDescent="0.25">
      <c r="A129" s="90" t="s">
        <v>133</v>
      </c>
      <c r="B129" s="90" t="s">
        <v>311</v>
      </c>
      <c r="C129" s="90" t="s">
        <v>521</v>
      </c>
      <c r="D129" s="91">
        <v>141807</v>
      </c>
      <c r="E129" s="91">
        <v>0</v>
      </c>
      <c r="F129" s="91">
        <v>44888</v>
      </c>
      <c r="G129" s="91">
        <v>0</v>
      </c>
      <c r="H129" s="91">
        <v>0</v>
      </c>
      <c r="I129" s="91">
        <v>0</v>
      </c>
      <c r="J129" s="91">
        <v>0</v>
      </c>
    </row>
    <row r="130" spans="1:10" x14ac:dyDescent="0.25">
      <c r="A130" s="90" t="s">
        <v>134</v>
      </c>
      <c r="B130" s="90" t="s">
        <v>522</v>
      </c>
      <c r="C130" s="90" t="s">
        <v>521</v>
      </c>
      <c r="D130" s="91">
        <v>122000</v>
      </c>
      <c r="E130" s="91">
        <v>0</v>
      </c>
      <c r="F130" s="91">
        <v>17546</v>
      </c>
      <c r="G130" s="91">
        <v>0</v>
      </c>
      <c r="H130" s="91">
        <v>0</v>
      </c>
      <c r="I130" s="91">
        <v>0</v>
      </c>
      <c r="J130" s="91">
        <v>0</v>
      </c>
    </row>
    <row r="131" spans="1:10" x14ac:dyDescent="0.25">
      <c r="A131" s="90" t="s">
        <v>135</v>
      </c>
      <c r="B131" s="90" t="s">
        <v>523</v>
      </c>
      <c r="C131" s="90" t="s">
        <v>524</v>
      </c>
      <c r="D131" s="91">
        <v>89100</v>
      </c>
      <c r="E131" s="91">
        <v>0</v>
      </c>
      <c r="F131" s="91">
        <v>19811</v>
      </c>
      <c r="G131" s="91">
        <v>8956</v>
      </c>
      <c r="H131" s="91">
        <v>0</v>
      </c>
      <c r="I131" s="91">
        <v>0</v>
      </c>
      <c r="J131" s="91">
        <v>0</v>
      </c>
    </row>
    <row r="132" spans="1:10" x14ac:dyDescent="0.25">
      <c r="A132" s="90" t="s">
        <v>136</v>
      </c>
      <c r="B132" s="90" t="s">
        <v>525</v>
      </c>
      <c r="C132" s="90" t="s">
        <v>524</v>
      </c>
      <c r="D132" s="91">
        <v>29771</v>
      </c>
      <c r="E132" s="91">
        <v>0</v>
      </c>
      <c r="F132" s="91">
        <v>8958</v>
      </c>
      <c r="G132" s="91">
        <v>0</v>
      </c>
      <c r="H132" s="91">
        <v>0</v>
      </c>
      <c r="I132" s="91">
        <v>0</v>
      </c>
      <c r="J132" s="91">
        <v>0</v>
      </c>
    </row>
    <row r="133" spans="1:10" x14ac:dyDescent="0.25">
      <c r="A133" s="90" t="s">
        <v>137</v>
      </c>
      <c r="B133" s="90" t="s">
        <v>315</v>
      </c>
      <c r="C133" s="90" t="s">
        <v>526</v>
      </c>
      <c r="D133" s="91">
        <v>83319</v>
      </c>
      <c r="E133" s="91">
        <v>0</v>
      </c>
      <c r="F133" s="91">
        <v>25140</v>
      </c>
      <c r="G133" s="91">
        <v>11195</v>
      </c>
      <c r="H133" s="91">
        <v>0</v>
      </c>
      <c r="I133" s="91">
        <v>0</v>
      </c>
      <c r="J133" s="91">
        <v>0</v>
      </c>
    </row>
    <row r="134" spans="1:10" x14ac:dyDescent="0.25">
      <c r="A134" s="90" t="s">
        <v>138</v>
      </c>
      <c r="B134" s="90" t="s">
        <v>527</v>
      </c>
      <c r="C134" s="90" t="s">
        <v>528</v>
      </c>
      <c r="D134" s="91">
        <v>62658</v>
      </c>
      <c r="E134" s="91">
        <v>0</v>
      </c>
      <c r="F134" s="91">
        <v>14517</v>
      </c>
      <c r="G134" s="91">
        <v>1555</v>
      </c>
      <c r="H134" s="91">
        <v>0</v>
      </c>
      <c r="I134" s="91">
        <v>0</v>
      </c>
      <c r="J134" s="91">
        <v>0</v>
      </c>
    </row>
    <row r="135" spans="1:10" x14ac:dyDescent="0.25">
      <c r="A135" s="90" t="s">
        <v>139</v>
      </c>
      <c r="B135" s="90" t="s">
        <v>529</v>
      </c>
      <c r="C135" s="90" t="s">
        <v>528</v>
      </c>
      <c r="D135" s="91">
        <v>468449</v>
      </c>
      <c r="E135" s="91">
        <v>0</v>
      </c>
      <c r="F135" s="91">
        <v>120050</v>
      </c>
      <c r="G135" s="91">
        <v>7339</v>
      </c>
      <c r="H135" s="91">
        <v>0</v>
      </c>
      <c r="I135" s="91">
        <v>0</v>
      </c>
      <c r="J135" s="91">
        <v>0</v>
      </c>
    </row>
    <row r="136" spans="1:10" x14ac:dyDescent="0.25">
      <c r="A136" s="90" t="s">
        <v>140</v>
      </c>
      <c r="B136" s="90" t="s">
        <v>530</v>
      </c>
      <c r="C136" s="90" t="s">
        <v>528</v>
      </c>
      <c r="D136" s="91">
        <v>100173</v>
      </c>
      <c r="E136" s="91">
        <v>0</v>
      </c>
      <c r="F136" s="91">
        <v>14889</v>
      </c>
      <c r="G136" s="91">
        <v>4602</v>
      </c>
      <c r="H136" s="91">
        <v>0</v>
      </c>
      <c r="I136" s="91">
        <v>0</v>
      </c>
      <c r="J136" s="91">
        <v>0</v>
      </c>
    </row>
    <row r="137" spans="1:10" x14ac:dyDescent="0.25">
      <c r="A137" s="90" t="s">
        <v>141</v>
      </c>
      <c r="B137" s="90" t="s">
        <v>531</v>
      </c>
      <c r="C137" s="90" t="s">
        <v>528</v>
      </c>
      <c r="D137" s="91">
        <v>38363</v>
      </c>
      <c r="E137" s="91">
        <v>0</v>
      </c>
      <c r="F137" s="91">
        <v>13277</v>
      </c>
      <c r="G137" s="91">
        <v>684</v>
      </c>
      <c r="H137" s="91">
        <v>0</v>
      </c>
      <c r="I137" s="91">
        <v>0</v>
      </c>
      <c r="J137" s="91">
        <v>0</v>
      </c>
    </row>
    <row r="138" spans="1:10" x14ac:dyDescent="0.25">
      <c r="A138" s="90" t="s">
        <v>142</v>
      </c>
      <c r="B138" s="90" t="s">
        <v>320</v>
      </c>
      <c r="C138" s="90" t="s">
        <v>532</v>
      </c>
      <c r="D138" s="91">
        <v>5791514</v>
      </c>
      <c r="E138" s="91">
        <v>71849</v>
      </c>
      <c r="F138" s="91">
        <v>1116143</v>
      </c>
      <c r="G138" s="91">
        <v>67171</v>
      </c>
      <c r="H138" s="91">
        <v>0</v>
      </c>
      <c r="I138" s="91">
        <v>0</v>
      </c>
      <c r="J138" s="91">
        <v>0</v>
      </c>
    </row>
    <row r="139" spans="1:10" x14ac:dyDescent="0.25">
      <c r="A139" s="90" t="s">
        <v>143</v>
      </c>
      <c r="B139" s="90" t="s">
        <v>533</v>
      </c>
      <c r="C139" s="90" t="s">
        <v>532</v>
      </c>
      <c r="D139" s="91">
        <v>1108748</v>
      </c>
      <c r="E139" s="91">
        <v>0</v>
      </c>
      <c r="F139" s="91">
        <v>185937</v>
      </c>
      <c r="G139" s="91">
        <v>18410</v>
      </c>
      <c r="H139" s="91">
        <v>0</v>
      </c>
      <c r="I139" s="91">
        <v>0</v>
      </c>
      <c r="J139" s="91">
        <v>0</v>
      </c>
    </row>
    <row r="140" spans="1:10" x14ac:dyDescent="0.25">
      <c r="A140" s="90" t="s">
        <v>144</v>
      </c>
      <c r="B140" s="90" t="s">
        <v>534</v>
      </c>
      <c r="C140" s="90" t="s">
        <v>535</v>
      </c>
      <c r="D140" s="91">
        <v>46838</v>
      </c>
      <c r="E140" s="91">
        <v>0</v>
      </c>
      <c r="F140" s="91">
        <v>25082</v>
      </c>
      <c r="G140" s="91">
        <v>3545</v>
      </c>
      <c r="H140" s="91">
        <v>0</v>
      </c>
      <c r="I140" s="91">
        <v>0</v>
      </c>
      <c r="J140" s="91">
        <v>0</v>
      </c>
    </row>
    <row r="141" spans="1:10" x14ac:dyDescent="0.25">
      <c r="A141" s="90" t="s">
        <v>145</v>
      </c>
      <c r="B141" s="90" t="s">
        <v>536</v>
      </c>
      <c r="C141" s="90" t="s">
        <v>535</v>
      </c>
      <c r="D141" s="91">
        <v>65600</v>
      </c>
      <c r="E141" s="91">
        <v>0</v>
      </c>
      <c r="F141" s="91">
        <v>13091</v>
      </c>
      <c r="G141" s="91">
        <v>0</v>
      </c>
      <c r="H141" s="91">
        <v>0</v>
      </c>
      <c r="I141" s="91">
        <v>0</v>
      </c>
      <c r="J141" s="91">
        <v>0</v>
      </c>
    </row>
    <row r="142" spans="1:10" x14ac:dyDescent="0.25">
      <c r="A142" s="90" t="s">
        <v>146</v>
      </c>
      <c r="B142" s="90" t="s">
        <v>324</v>
      </c>
      <c r="C142" s="90" t="s">
        <v>537</v>
      </c>
      <c r="D142" s="91">
        <v>272226</v>
      </c>
      <c r="E142" s="91">
        <v>0</v>
      </c>
      <c r="F142" s="91">
        <v>39614</v>
      </c>
      <c r="G142" s="91">
        <v>1679</v>
      </c>
      <c r="H142" s="91">
        <v>0</v>
      </c>
      <c r="I142" s="91">
        <v>0</v>
      </c>
      <c r="J142" s="91">
        <v>0</v>
      </c>
    </row>
    <row r="143" spans="1:10" x14ac:dyDescent="0.25">
      <c r="A143" s="90" t="s">
        <v>147</v>
      </c>
      <c r="B143" s="90" t="s">
        <v>325</v>
      </c>
      <c r="C143" s="90" t="s">
        <v>537</v>
      </c>
      <c r="D143" s="91">
        <v>276082</v>
      </c>
      <c r="E143" s="91">
        <v>0</v>
      </c>
      <c r="F143" s="91">
        <v>92590</v>
      </c>
      <c r="G143" s="91">
        <v>8085</v>
      </c>
      <c r="H143" s="91">
        <v>0</v>
      </c>
      <c r="I143" s="91">
        <v>0</v>
      </c>
      <c r="J143" s="91">
        <v>20412</v>
      </c>
    </row>
    <row r="144" spans="1:10" x14ac:dyDescent="0.25">
      <c r="A144" s="90" t="s">
        <v>148</v>
      </c>
      <c r="B144" s="90" t="s">
        <v>538</v>
      </c>
      <c r="C144" s="90" t="s">
        <v>537</v>
      </c>
      <c r="D144" s="91">
        <v>64744</v>
      </c>
      <c r="E144" s="91">
        <v>0</v>
      </c>
      <c r="F144" s="91">
        <v>14364</v>
      </c>
      <c r="G144" s="91">
        <v>1493</v>
      </c>
      <c r="H144" s="91">
        <v>0</v>
      </c>
      <c r="I144" s="91">
        <v>0</v>
      </c>
      <c r="J144" s="91">
        <v>0</v>
      </c>
    </row>
    <row r="145" spans="1:10" x14ac:dyDescent="0.25">
      <c r="A145" s="90" t="s">
        <v>149</v>
      </c>
      <c r="B145" s="90" t="s">
        <v>539</v>
      </c>
      <c r="C145" s="90" t="s">
        <v>540</v>
      </c>
      <c r="D145" s="91">
        <v>71699</v>
      </c>
      <c r="E145" s="91">
        <v>0</v>
      </c>
      <c r="F145" s="91">
        <v>10517</v>
      </c>
      <c r="G145" s="91">
        <v>1120</v>
      </c>
      <c r="H145" s="91">
        <v>0</v>
      </c>
      <c r="I145" s="91">
        <v>0</v>
      </c>
      <c r="J145" s="91">
        <v>0</v>
      </c>
    </row>
    <row r="146" spans="1:10" x14ac:dyDescent="0.25">
      <c r="A146" s="90" t="s">
        <v>150</v>
      </c>
      <c r="B146" s="90" t="s">
        <v>541</v>
      </c>
      <c r="C146" s="90" t="s">
        <v>540</v>
      </c>
      <c r="D146" s="91">
        <v>140793</v>
      </c>
      <c r="E146" s="91">
        <v>0</v>
      </c>
      <c r="F146" s="91">
        <v>48941</v>
      </c>
      <c r="G146" s="91">
        <v>13310</v>
      </c>
      <c r="H146" s="91">
        <v>259</v>
      </c>
      <c r="I146" s="91">
        <v>1415</v>
      </c>
      <c r="J146" s="91">
        <v>0</v>
      </c>
    </row>
    <row r="147" spans="1:10" x14ac:dyDescent="0.25">
      <c r="A147" s="90" t="s">
        <v>151</v>
      </c>
      <c r="B147" s="90" t="s">
        <v>542</v>
      </c>
      <c r="C147" s="90" t="s">
        <v>540</v>
      </c>
      <c r="D147" s="91">
        <v>70955</v>
      </c>
      <c r="E147" s="91">
        <v>0</v>
      </c>
      <c r="F147" s="91">
        <v>11432</v>
      </c>
      <c r="G147" s="91">
        <v>933</v>
      </c>
      <c r="H147" s="91">
        <v>0</v>
      </c>
      <c r="I147" s="91">
        <v>0</v>
      </c>
      <c r="J147" s="91">
        <v>0</v>
      </c>
    </row>
    <row r="148" spans="1:10" x14ac:dyDescent="0.25">
      <c r="A148" s="90" t="s">
        <v>152</v>
      </c>
      <c r="B148" s="90" t="s">
        <v>543</v>
      </c>
      <c r="C148" s="90" t="s">
        <v>544</v>
      </c>
      <c r="D148" s="91">
        <v>90012</v>
      </c>
      <c r="E148" s="91">
        <v>0</v>
      </c>
      <c r="F148" s="91">
        <v>19417</v>
      </c>
      <c r="G148" s="91">
        <v>0</v>
      </c>
      <c r="H148" s="91">
        <v>0</v>
      </c>
      <c r="I148" s="91">
        <v>0</v>
      </c>
      <c r="J148" s="91">
        <v>0</v>
      </c>
    </row>
    <row r="149" spans="1:10" x14ac:dyDescent="0.25">
      <c r="A149" s="90" t="s">
        <v>153</v>
      </c>
      <c r="B149" s="90" t="s">
        <v>331</v>
      </c>
      <c r="C149" s="90" t="s">
        <v>544</v>
      </c>
      <c r="D149" s="91">
        <v>112185</v>
      </c>
      <c r="E149" s="91">
        <v>0</v>
      </c>
      <c r="F149" s="91">
        <v>10175</v>
      </c>
      <c r="G149" s="91">
        <v>0</v>
      </c>
      <c r="H149" s="89">
        <v>0</v>
      </c>
      <c r="I149" s="89">
        <v>0</v>
      </c>
      <c r="J149" s="91">
        <v>0</v>
      </c>
    </row>
    <row r="150" spans="1:10" x14ac:dyDescent="0.25">
      <c r="A150" s="90" t="s">
        <v>154</v>
      </c>
      <c r="B150" s="90" t="s">
        <v>545</v>
      </c>
      <c r="C150" s="90" t="s">
        <v>544</v>
      </c>
      <c r="D150" s="91">
        <v>455651</v>
      </c>
      <c r="E150" s="91">
        <v>0</v>
      </c>
      <c r="F150" s="91">
        <v>60228</v>
      </c>
      <c r="G150" s="91">
        <v>15425</v>
      </c>
      <c r="H150" s="91">
        <v>432</v>
      </c>
      <c r="I150" s="91">
        <v>2358</v>
      </c>
      <c r="J150" s="91">
        <v>0</v>
      </c>
    </row>
    <row r="151" spans="1:10" x14ac:dyDescent="0.25">
      <c r="A151" s="90" t="s">
        <v>155</v>
      </c>
      <c r="B151" s="90" t="s">
        <v>333</v>
      </c>
      <c r="C151" s="90" t="s">
        <v>546</v>
      </c>
      <c r="D151" s="91">
        <v>18106</v>
      </c>
      <c r="E151" s="91">
        <v>0</v>
      </c>
      <c r="F151" s="91">
        <v>6213</v>
      </c>
      <c r="G151" s="91">
        <v>0</v>
      </c>
      <c r="H151" s="91">
        <v>0</v>
      </c>
      <c r="I151" s="91">
        <v>0</v>
      </c>
      <c r="J151" s="91">
        <v>0</v>
      </c>
    </row>
    <row r="152" spans="1:10" x14ac:dyDescent="0.25">
      <c r="A152" s="90" t="s">
        <v>156</v>
      </c>
      <c r="B152" s="90" t="s">
        <v>334</v>
      </c>
      <c r="C152" s="90" t="s">
        <v>547</v>
      </c>
      <c r="D152" s="91">
        <v>74791</v>
      </c>
      <c r="E152" s="91">
        <v>0</v>
      </c>
      <c r="F152" s="91">
        <v>18786</v>
      </c>
      <c r="G152" s="91">
        <v>5846</v>
      </c>
      <c r="H152" s="91">
        <v>863</v>
      </c>
      <c r="I152" s="91">
        <v>4715</v>
      </c>
      <c r="J152" s="91">
        <v>0</v>
      </c>
    </row>
    <row r="153" spans="1:10" x14ac:dyDescent="0.25">
      <c r="A153" s="90" t="s">
        <v>157</v>
      </c>
      <c r="B153" s="90" t="s">
        <v>335</v>
      </c>
      <c r="C153" s="90" t="s">
        <v>547</v>
      </c>
      <c r="D153" s="91">
        <v>79601</v>
      </c>
      <c r="E153" s="91">
        <v>0</v>
      </c>
      <c r="F153" s="91">
        <v>9879</v>
      </c>
      <c r="G153" s="91">
        <v>1057</v>
      </c>
      <c r="H153" s="91">
        <v>0</v>
      </c>
      <c r="I153" s="91">
        <v>0</v>
      </c>
      <c r="J153" s="91">
        <v>0</v>
      </c>
    </row>
    <row r="154" spans="1:10" x14ac:dyDescent="0.25">
      <c r="A154" s="90" t="s">
        <v>158</v>
      </c>
      <c r="B154" s="90" t="s">
        <v>548</v>
      </c>
      <c r="C154" s="90" t="s">
        <v>549</v>
      </c>
      <c r="D154" s="91">
        <v>38482</v>
      </c>
      <c r="E154" s="91">
        <v>0</v>
      </c>
      <c r="F154" s="91">
        <v>10894</v>
      </c>
      <c r="G154" s="91">
        <v>1306</v>
      </c>
      <c r="H154" s="91">
        <v>0</v>
      </c>
      <c r="I154" s="91">
        <v>0</v>
      </c>
      <c r="J154" s="91">
        <v>0</v>
      </c>
    </row>
    <row r="155" spans="1:10" x14ac:dyDescent="0.25">
      <c r="A155" s="90" t="s">
        <v>159</v>
      </c>
      <c r="B155" s="90" t="s">
        <v>550</v>
      </c>
      <c r="C155" s="90" t="s">
        <v>549</v>
      </c>
      <c r="D155" s="91">
        <v>26254</v>
      </c>
      <c r="E155" s="91">
        <v>0</v>
      </c>
      <c r="F155" s="91">
        <v>8018</v>
      </c>
      <c r="G155" s="91">
        <v>0</v>
      </c>
      <c r="H155" s="91">
        <v>0</v>
      </c>
      <c r="I155" s="91">
        <v>0</v>
      </c>
      <c r="J155" s="91">
        <v>0</v>
      </c>
    </row>
    <row r="156" spans="1:10" x14ac:dyDescent="0.25">
      <c r="A156" s="90" t="s">
        <v>160</v>
      </c>
      <c r="B156" s="90" t="s">
        <v>551</v>
      </c>
      <c r="C156" s="90" t="s">
        <v>552</v>
      </c>
      <c r="D156" s="91">
        <v>256233</v>
      </c>
      <c r="E156" s="91">
        <v>0</v>
      </c>
      <c r="F156" s="91">
        <v>55814</v>
      </c>
      <c r="G156" s="91">
        <v>54048</v>
      </c>
      <c r="H156" s="91">
        <v>777</v>
      </c>
      <c r="I156" s="91">
        <v>4244</v>
      </c>
      <c r="J156" s="91">
        <v>0</v>
      </c>
    </row>
    <row r="157" spans="1:10" x14ac:dyDescent="0.25">
      <c r="A157" s="90" t="s">
        <v>161</v>
      </c>
      <c r="B157" s="90" t="s">
        <v>553</v>
      </c>
      <c r="C157" s="90" t="s">
        <v>554</v>
      </c>
      <c r="D157" s="91">
        <v>61191</v>
      </c>
      <c r="E157" s="91">
        <v>0</v>
      </c>
      <c r="F157" s="91">
        <v>15903</v>
      </c>
      <c r="G157" s="91">
        <v>435</v>
      </c>
      <c r="H157" s="91">
        <v>0</v>
      </c>
      <c r="I157" s="91">
        <v>0</v>
      </c>
      <c r="J157" s="91">
        <v>0</v>
      </c>
    </row>
    <row r="158" spans="1:10" x14ac:dyDescent="0.25">
      <c r="A158" s="90" t="s">
        <v>162</v>
      </c>
      <c r="B158" s="90" t="s">
        <v>555</v>
      </c>
      <c r="C158" s="90" t="s">
        <v>554</v>
      </c>
      <c r="D158" s="91">
        <v>282298</v>
      </c>
      <c r="E158" s="91">
        <v>0</v>
      </c>
      <c r="F158" s="91">
        <v>100826</v>
      </c>
      <c r="G158" s="91">
        <v>3048</v>
      </c>
      <c r="H158" s="91">
        <v>0</v>
      </c>
      <c r="I158" s="91">
        <v>0</v>
      </c>
      <c r="J158" s="91">
        <v>0</v>
      </c>
    </row>
    <row r="159" spans="1:10" x14ac:dyDescent="0.25">
      <c r="A159" s="90" t="s">
        <v>163</v>
      </c>
      <c r="B159" s="90" t="s">
        <v>340</v>
      </c>
      <c r="C159" s="90" t="s">
        <v>556</v>
      </c>
      <c r="D159" s="91">
        <v>54935</v>
      </c>
      <c r="E159" s="91">
        <v>0</v>
      </c>
      <c r="F159" s="91">
        <v>17950</v>
      </c>
      <c r="G159" s="91">
        <v>0</v>
      </c>
      <c r="H159" s="91">
        <v>0</v>
      </c>
      <c r="I159" s="91">
        <v>0</v>
      </c>
      <c r="J159" s="91">
        <v>0</v>
      </c>
    </row>
    <row r="160" spans="1:10" x14ac:dyDescent="0.25">
      <c r="A160" s="90" t="s">
        <v>164</v>
      </c>
      <c r="B160" s="90" t="s">
        <v>341</v>
      </c>
      <c r="C160" s="90" t="s">
        <v>556</v>
      </c>
      <c r="D160" s="91">
        <v>13895</v>
      </c>
      <c r="E160" s="91">
        <v>0</v>
      </c>
      <c r="F160" s="91">
        <v>3863</v>
      </c>
      <c r="G160" s="91">
        <v>1804</v>
      </c>
      <c r="H160" s="91">
        <v>0</v>
      </c>
      <c r="I160" s="91">
        <v>0</v>
      </c>
      <c r="J160" s="91">
        <v>0</v>
      </c>
    </row>
    <row r="161" spans="1:10" x14ac:dyDescent="0.25">
      <c r="A161" s="90" t="s">
        <v>165</v>
      </c>
      <c r="B161" s="90" t="s">
        <v>342</v>
      </c>
      <c r="C161" s="90" t="s">
        <v>556</v>
      </c>
      <c r="D161" s="91">
        <v>16736</v>
      </c>
      <c r="E161" s="91">
        <v>0</v>
      </c>
      <c r="F161" s="91">
        <v>4787</v>
      </c>
      <c r="G161" s="91">
        <v>0</v>
      </c>
      <c r="H161" s="91">
        <v>0</v>
      </c>
      <c r="I161" s="91">
        <v>0</v>
      </c>
      <c r="J161" s="91">
        <v>0</v>
      </c>
    </row>
    <row r="162" spans="1:10" x14ac:dyDescent="0.25">
      <c r="A162" s="90" t="s">
        <v>166</v>
      </c>
      <c r="B162" s="90" t="s">
        <v>343</v>
      </c>
      <c r="C162" s="90" t="s">
        <v>556</v>
      </c>
      <c r="D162" s="91">
        <v>1003</v>
      </c>
      <c r="E162" s="91">
        <v>0</v>
      </c>
      <c r="F162" s="91">
        <v>2385</v>
      </c>
      <c r="G162" s="91">
        <v>0</v>
      </c>
      <c r="H162" s="91">
        <v>0</v>
      </c>
      <c r="I162" s="91">
        <v>0</v>
      </c>
      <c r="J162" s="91">
        <v>0</v>
      </c>
    </row>
    <row r="163" spans="1:10" x14ac:dyDescent="0.25">
      <c r="A163" s="90" t="s">
        <v>167</v>
      </c>
      <c r="B163" s="90" t="s">
        <v>344</v>
      </c>
      <c r="C163" s="90" t="s">
        <v>556</v>
      </c>
      <c r="D163" s="91">
        <v>27809</v>
      </c>
      <c r="E163" s="91">
        <v>0</v>
      </c>
      <c r="F163" s="91">
        <v>3938</v>
      </c>
      <c r="G163" s="91">
        <v>124</v>
      </c>
      <c r="H163" s="91">
        <v>0</v>
      </c>
      <c r="I163" s="91">
        <v>0</v>
      </c>
      <c r="J163" s="91">
        <v>0</v>
      </c>
    </row>
    <row r="164" spans="1:10" x14ac:dyDescent="0.25">
      <c r="A164" s="90" t="s">
        <v>168</v>
      </c>
      <c r="B164" s="90" t="s">
        <v>557</v>
      </c>
      <c r="C164" s="90" t="s">
        <v>558</v>
      </c>
      <c r="D164" s="91">
        <v>320384</v>
      </c>
      <c r="E164" s="91">
        <v>0</v>
      </c>
      <c r="F164" s="91">
        <v>61651</v>
      </c>
      <c r="G164" s="91">
        <v>22577</v>
      </c>
      <c r="H164" s="91">
        <v>0</v>
      </c>
      <c r="I164" s="91">
        <v>0</v>
      </c>
      <c r="J164" s="91">
        <v>0</v>
      </c>
    </row>
    <row r="165" spans="1:10" x14ac:dyDescent="0.25">
      <c r="A165" s="90" t="s">
        <v>169</v>
      </c>
      <c r="B165" s="90" t="s">
        <v>559</v>
      </c>
      <c r="C165" s="90" t="s">
        <v>558</v>
      </c>
      <c r="D165" s="91">
        <v>142825</v>
      </c>
      <c r="E165" s="91">
        <v>0</v>
      </c>
      <c r="F165" s="91">
        <v>34393</v>
      </c>
      <c r="G165" s="91">
        <v>8023</v>
      </c>
      <c r="H165" s="91">
        <v>0</v>
      </c>
      <c r="I165" s="91">
        <v>0</v>
      </c>
      <c r="J165" s="91">
        <v>0</v>
      </c>
    </row>
    <row r="166" spans="1:10" x14ac:dyDescent="0.25">
      <c r="A166" s="90" t="s">
        <v>170</v>
      </c>
      <c r="B166" s="90" t="s">
        <v>398</v>
      </c>
      <c r="C166" s="90" t="s">
        <v>558</v>
      </c>
      <c r="D166" s="91">
        <v>211260</v>
      </c>
      <c r="E166" s="91">
        <v>0</v>
      </c>
      <c r="F166" s="91">
        <v>52170</v>
      </c>
      <c r="G166" s="91">
        <v>25438</v>
      </c>
      <c r="H166" s="91">
        <v>691</v>
      </c>
      <c r="I166" s="91">
        <v>3772</v>
      </c>
      <c r="J166" s="91">
        <v>0</v>
      </c>
    </row>
    <row r="167" spans="1:10" x14ac:dyDescent="0.25">
      <c r="A167" s="90" t="s">
        <v>171</v>
      </c>
      <c r="B167" s="90" t="s">
        <v>560</v>
      </c>
      <c r="C167" s="90" t="s">
        <v>558</v>
      </c>
      <c r="D167" s="91">
        <v>215568</v>
      </c>
      <c r="E167" s="91">
        <v>0</v>
      </c>
      <c r="F167" s="91">
        <v>52170</v>
      </c>
      <c r="G167" s="91">
        <v>4540</v>
      </c>
      <c r="H167" s="91">
        <v>0</v>
      </c>
      <c r="I167" s="91">
        <v>0</v>
      </c>
      <c r="J167" s="91">
        <v>0</v>
      </c>
    </row>
    <row r="168" spans="1:10" x14ac:dyDescent="0.25">
      <c r="A168" s="90" t="s">
        <v>172</v>
      </c>
      <c r="B168" s="90" t="s">
        <v>561</v>
      </c>
      <c r="C168" s="90" t="s">
        <v>558</v>
      </c>
      <c r="D168" s="91">
        <v>235121</v>
      </c>
      <c r="E168" s="91">
        <v>0</v>
      </c>
      <c r="F168" s="91">
        <v>52592</v>
      </c>
      <c r="G168" s="91">
        <v>16171</v>
      </c>
      <c r="H168" s="91">
        <v>0</v>
      </c>
      <c r="I168" s="91">
        <v>0</v>
      </c>
      <c r="J168" s="91">
        <v>0</v>
      </c>
    </row>
    <row r="169" spans="1:10" x14ac:dyDescent="0.25">
      <c r="A169" s="90" t="s">
        <v>173</v>
      </c>
      <c r="B169" s="90" t="s">
        <v>349</v>
      </c>
      <c r="C169" s="90" t="s">
        <v>558</v>
      </c>
      <c r="D169" s="91">
        <v>4868735</v>
      </c>
      <c r="E169" s="91">
        <v>15286</v>
      </c>
      <c r="F169" s="91">
        <v>662721</v>
      </c>
      <c r="G169" s="91">
        <v>301960</v>
      </c>
      <c r="H169" s="91">
        <v>0</v>
      </c>
      <c r="I169" s="91">
        <v>0</v>
      </c>
      <c r="J169" s="91">
        <v>0</v>
      </c>
    </row>
    <row r="170" spans="1:10" x14ac:dyDescent="0.25">
      <c r="A170" s="90" t="s">
        <v>174</v>
      </c>
      <c r="B170" s="90" t="s">
        <v>562</v>
      </c>
      <c r="C170" s="90" t="s">
        <v>558</v>
      </c>
      <c r="D170" s="91">
        <v>90035</v>
      </c>
      <c r="E170" s="91">
        <v>0</v>
      </c>
      <c r="F170" s="91">
        <v>20182</v>
      </c>
      <c r="G170" s="91">
        <v>5411</v>
      </c>
      <c r="H170" s="91">
        <v>0</v>
      </c>
      <c r="I170" s="91">
        <v>0</v>
      </c>
      <c r="J170" s="91">
        <v>0</v>
      </c>
    </row>
    <row r="171" spans="1:10" x14ac:dyDescent="0.25">
      <c r="A171" s="90" t="s">
        <v>175</v>
      </c>
      <c r="B171" s="90" t="s">
        <v>563</v>
      </c>
      <c r="C171" s="90" t="s">
        <v>558</v>
      </c>
      <c r="D171" s="91">
        <v>412385</v>
      </c>
      <c r="E171" s="91">
        <v>0</v>
      </c>
      <c r="F171" s="91">
        <v>100885</v>
      </c>
      <c r="G171" s="91">
        <v>47206</v>
      </c>
      <c r="H171" s="91">
        <v>0</v>
      </c>
      <c r="I171" s="91">
        <v>0</v>
      </c>
      <c r="J171" s="91">
        <v>0</v>
      </c>
    </row>
    <row r="172" spans="1:10" x14ac:dyDescent="0.25">
      <c r="A172" s="90" t="s">
        <v>176</v>
      </c>
      <c r="B172" s="90" t="s">
        <v>564</v>
      </c>
      <c r="C172" s="90" t="s">
        <v>558</v>
      </c>
      <c r="D172" s="91">
        <v>159149</v>
      </c>
      <c r="E172" s="91">
        <v>0</v>
      </c>
      <c r="F172" s="91">
        <v>45014</v>
      </c>
      <c r="G172" s="91">
        <v>5535</v>
      </c>
      <c r="H172" s="91">
        <v>0</v>
      </c>
      <c r="I172" s="91">
        <v>0</v>
      </c>
      <c r="J172" s="91">
        <v>0</v>
      </c>
    </row>
    <row r="173" spans="1:10" x14ac:dyDescent="0.25">
      <c r="A173" s="90" t="s">
        <v>177</v>
      </c>
      <c r="B173" s="90" t="s">
        <v>565</v>
      </c>
      <c r="C173" s="90" t="s">
        <v>558</v>
      </c>
      <c r="D173" s="91">
        <v>13128</v>
      </c>
      <c r="E173" s="91">
        <v>0</v>
      </c>
      <c r="F173" s="91">
        <v>3701</v>
      </c>
      <c r="G173" s="91">
        <v>124</v>
      </c>
      <c r="H173" s="91">
        <v>0</v>
      </c>
      <c r="I173" s="91">
        <v>0</v>
      </c>
      <c r="J173" s="91">
        <v>0</v>
      </c>
    </row>
    <row r="174" spans="1:10" x14ac:dyDescent="0.25">
      <c r="A174" s="90" t="s">
        <v>178</v>
      </c>
      <c r="B174" s="90" t="s">
        <v>566</v>
      </c>
      <c r="C174" s="90" t="s">
        <v>558</v>
      </c>
      <c r="D174" s="91">
        <v>15043</v>
      </c>
      <c r="E174" s="91">
        <v>0</v>
      </c>
      <c r="F174" s="91">
        <v>5613</v>
      </c>
      <c r="G174" s="91">
        <v>0</v>
      </c>
      <c r="H174" s="91">
        <v>0</v>
      </c>
      <c r="I174" s="91">
        <v>0</v>
      </c>
      <c r="J174" s="91">
        <v>0</v>
      </c>
    </row>
    <row r="175" spans="1:10" x14ac:dyDescent="0.25">
      <c r="A175" s="90" t="s">
        <v>179</v>
      </c>
      <c r="B175" s="90" t="s">
        <v>567</v>
      </c>
      <c r="C175" s="90" t="s">
        <v>558</v>
      </c>
      <c r="D175" s="91">
        <v>6281</v>
      </c>
      <c r="E175" s="91">
        <v>0</v>
      </c>
      <c r="F175" s="91">
        <v>4827</v>
      </c>
      <c r="G175" s="91">
        <v>0</v>
      </c>
      <c r="H175" s="91">
        <v>0</v>
      </c>
      <c r="I175" s="91">
        <v>0</v>
      </c>
      <c r="J175" s="91">
        <v>0</v>
      </c>
    </row>
    <row r="176" spans="1:10" x14ac:dyDescent="0.25">
      <c r="A176" s="90" t="s">
        <v>180</v>
      </c>
      <c r="B176" s="90" t="s">
        <v>356</v>
      </c>
      <c r="C176" s="90" t="s">
        <v>568</v>
      </c>
      <c r="D176" s="91">
        <v>151015</v>
      </c>
      <c r="E176" s="91">
        <v>0</v>
      </c>
      <c r="F176" s="91">
        <v>34559</v>
      </c>
      <c r="G176" s="91">
        <v>18596</v>
      </c>
      <c r="H176" s="91">
        <v>259</v>
      </c>
      <c r="I176" s="91">
        <v>1415</v>
      </c>
      <c r="J176" s="91">
        <v>0</v>
      </c>
    </row>
    <row r="177" spans="1:10" x14ac:dyDescent="0.25">
      <c r="A177" s="90" t="s">
        <v>181</v>
      </c>
      <c r="B177" s="90" t="s">
        <v>569</v>
      </c>
      <c r="C177" s="90" t="s">
        <v>568</v>
      </c>
      <c r="D177" s="91">
        <v>106817</v>
      </c>
      <c r="E177" s="91">
        <v>0</v>
      </c>
      <c r="F177" s="91">
        <v>22126</v>
      </c>
      <c r="G177" s="91">
        <v>7650</v>
      </c>
      <c r="H177" s="91">
        <v>0</v>
      </c>
      <c r="I177" s="91">
        <v>0</v>
      </c>
      <c r="J177" s="91">
        <v>0</v>
      </c>
    </row>
    <row r="178" spans="1:10" x14ac:dyDescent="0.25">
      <c r="A178" s="90" t="s">
        <v>182</v>
      </c>
      <c r="B178" s="90" t="s">
        <v>570</v>
      </c>
      <c r="C178" s="90" t="s">
        <v>568</v>
      </c>
      <c r="D178" s="91">
        <v>37779</v>
      </c>
      <c r="E178" s="91">
        <v>0</v>
      </c>
      <c r="F178" s="91">
        <v>6746</v>
      </c>
      <c r="G178" s="91">
        <v>2488</v>
      </c>
      <c r="H178" s="91">
        <v>173</v>
      </c>
      <c r="I178" s="91">
        <v>943</v>
      </c>
      <c r="J178" s="91">
        <v>0</v>
      </c>
    </row>
    <row r="179" spans="1:10" x14ac:dyDescent="0.25">
      <c r="A179" s="90" t="s">
        <v>183</v>
      </c>
      <c r="B179" s="90" t="s">
        <v>359</v>
      </c>
      <c r="C179" s="90" t="s">
        <v>568</v>
      </c>
      <c r="D179" s="91">
        <v>9402</v>
      </c>
      <c r="E179" s="91">
        <v>0</v>
      </c>
      <c r="F179" s="91">
        <v>5090</v>
      </c>
      <c r="G179" s="91">
        <v>311</v>
      </c>
      <c r="H179" s="91">
        <v>0</v>
      </c>
      <c r="I179" s="91">
        <v>0</v>
      </c>
      <c r="J179" s="91">
        <v>0</v>
      </c>
    </row>
    <row r="180" spans="1:10" x14ac:dyDescent="0.25">
      <c r="A180" s="90" t="s">
        <v>402</v>
      </c>
      <c r="B180" s="90" t="s">
        <v>571</v>
      </c>
      <c r="C180" s="90" t="s">
        <v>572</v>
      </c>
      <c r="D180" s="91">
        <v>1937006</v>
      </c>
      <c r="E180" s="91">
        <v>0</v>
      </c>
      <c r="F180" s="91">
        <v>31916</v>
      </c>
      <c r="G180" s="91">
        <v>207609</v>
      </c>
      <c r="H180" s="91">
        <v>5180</v>
      </c>
      <c r="I180" s="91">
        <v>28292</v>
      </c>
      <c r="J180" s="91">
        <v>0</v>
      </c>
    </row>
    <row r="181" spans="1:10" x14ac:dyDescent="0.25">
      <c r="A181" s="90" t="s">
        <v>362</v>
      </c>
      <c r="B181" s="90" t="s">
        <v>573</v>
      </c>
      <c r="C181" s="90" t="s">
        <v>572</v>
      </c>
      <c r="D181" s="89">
        <v>96246</v>
      </c>
      <c r="E181" s="91">
        <v>0</v>
      </c>
      <c r="F181" s="91">
        <v>9762</v>
      </c>
      <c r="G181" s="92">
        <v>0</v>
      </c>
      <c r="H181" s="92">
        <v>0</v>
      </c>
      <c r="I181" s="92">
        <v>0</v>
      </c>
      <c r="J181" s="92">
        <v>0</v>
      </c>
    </row>
  </sheetData>
  <sheetProtection password="EF32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66CCFF"/>
  </sheetPr>
  <dimension ref="A1:AX225"/>
  <sheetViews>
    <sheetView zoomScale="98" zoomScaleNormal="98" workbookViewId="0">
      <pane xSplit="7" ySplit="11" topLeftCell="AS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AK196" sqref="AK196:AO196"/>
    </sheetView>
  </sheetViews>
  <sheetFormatPr defaultColWidth="9.140625" defaultRowHeight="15.75" x14ac:dyDescent="0.25"/>
  <cols>
    <col min="1" max="1" width="9.140625" style="118"/>
    <col min="2" max="2" width="33" style="7" bestFit="1" customWidth="1"/>
    <col min="3" max="3" width="18.5703125" style="7" customWidth="1"/>
    <col min="4" max="4" width="18.28515625" style="183" customWidth="1"/>
    <col min="5" max="5" width="17.140625" style="7" customWidth="1"/>
    <col min="6" max="6" width="15.7109375" style="7" customWidth="1"/>
    <col min="7" max="7" width="17.42578125" style="7" customWidth="1"/>
    <col min="8" max="16" width="15.7109375" style="7" customWidth="1"/>
    <col min="17" max="17" width="15.7109375" style="94" customWidth="1"/>
    <col min="18" max="21" width="15.7109375" style="7" customWidth="1"/>
    <col min="22" max="22" width="15.7109375" style="32" customWidth="1"/>
    <col min="23" max="34" width="15.7109375" style="7" customWidth="1"/>
    <col min="35" max="35" width="14.42578125" style="7" customWidth="1"/>
    <col min="36" max="36" width="13.7109375" style="7" customWidth="1"/>
    <col min="37" max="48" width="12.85546875" style="7" customWidth="1"/>
    <col min="49" max="49" width="12" style="7" customWidth="1"/>
    <col min="50" max="50" width="12.85546875" style="7" customWidth="1"/>
    <col min="51" max="16384" width="9.140625" style="7"/>
  </cols>
  <sheetData>
    <row r="1" spans="1:50" s="62" customFormat="1" ht="21" x14ac:dyDescent="0.35">
      <c r="A1" s="122" t="s">
        <v>0</v>
      </c>
      <c r="B1" s="64"/>
      <c r="C1" s="65" t="s">
        <v>664</v>
      </c>
      <c r="D1" s="178"/>
      <c r="E1" s="65"/>
      <c r="F1" s="63"/>
      <c r="G1" s="63"/>
      <c r="H1" s="66"/>
      <c r="I1" s="66"/>
      <c r="J1" s="65" t="str">
        <f>C1</f>
        <v>Title I-A Formula  (Revised Final)</v>
      </c>
      <c r="K1" s="65"/>
      <c r="L1" s="63"/>
      <c r="M1" s="63"/>
      <c r="N1" s="63"/>
      <c r="O1" s="63"/>
      <c r="P1" s="65" t="str">
        <f>C1</f>
        <v>Title I-A Formula  (Revised Final)</v>
      </c>
      <c r="Q1" s="97"/>
      <c r="R1" s="65"/>
      <c r="S1" s="65"/>
      <c r="T1" s="63"/>
      <c r="U1" s="63"/>
      <c r="V1" s="123" t="str">
        <f>C1</f>
        <v>Title I-A Formula  (Revised Final)</v>
      </c>
      <c r="W1" s="63"/>
      <c r="X1" s="66"/>
      <c r="Y1" s="66"/>
      <c r="Z1" s="65"/>
      <c r="AA1" s="65"/>
      <c r="AB1" s="65" t="str">
        <f>C1</f>
        <v>Title I-A Formula  (Revised Final)</v>
      </c>
      <c r="AC1" s="63"/>
      <c r="AD1" s="63"/>
      <c r="AE1" s="63"/>
      <c r="AF1" s="65" t="str">
        <f>C1</f>
        <v>Title I-A Formula  (Revised Final)</v>
      </c>
      <c r="AG1" s="66"/>
      <c r="AH1" s="65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</row>
    <row r="2" spans="1:50" s="62" customFormat="1" x14ac:dyDescent="0.25">
      <c r="A2" s="123" t="s">
        <v>1</v>
      </c>
      <c r="B2" s="64"/>
      <c r="C2" s="68" t="s">
        <v>363</v>
      </c>
      <c r="D2" s="179"/>
      <c r="E2" s="68"/>
      <c r="F2" s="67"/>
      <c r="G2" s="67"/>
      <c r="H2" s="66"/>
      <c r="I2" s="66"/>
      <c r="J2" s="67" t="str">
        <f>"FY"&amp;C4</f>
        <v>FY2019-2020</v>
      </c>
      <c r="K2" s="67"/>
      <c r="L2" s="69"/>
      <c r="M2" s="69"/>
      <c r="N2" s="67"/>
      <c r="O2" s="67"/>
      <c r="P2" s="67" t="str">
        <f>"FY"&amp;C4</f>
        <v>FY2019-2020</v>
      </c>
      <c r="Q2" s="98"/>
      <c r="R2" s="67"/>
      <c r="S2" s="67"/>
      <c r="T2" s="69"/>
      <c r="U2" s="69"/>
      <c r="V2" s="67" t="str">
        <f>"FY"&amp;C4</f>
        <v>FY2019-2020</v>
      </c>
      <c r="W2" s="67"/>
      <c r="X2" s="67"/>
      <c r="Y2" s="67"/>
      <c r="Z2" s="67"/>
      <c r="AA2" s="67"/>
      <c r="AB2" s="67" t="str">
        <f>"FY"&amp;C4</f>
        <v>FY2019-2020</v>
      </c>
      <c r="AC2" s="69"/>
      <c r="AD2" s="67"/>
      <c r="AE2" s="67"/>
      <c r="AF2" s="67" t="str">
        <f>"FY"&amp;C4</f>
        <v>FY2019-2020</v>
      </c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</row>
    <row r="3" spans="1:50" s="62" customFormat="1" x14ac:dyDescent="0.25">
      <c r="A3" s="123" t="s">
        <v>3</v>
      </c>
      <c r="B3" s="64"/>
      <c r="C3" s="69">
        <v>4010</v>
      </c>
      <c r="D3" s="180"/>
      <c r="E3" s="69"/>
      <c r="F3" s="67"/>
      <c r="G3" s="67"/>
      <c r="H3" s="66"/>
      <c r="I3" s="66"/>
      <c r="J3" s="66"/>
      <c r="K3" s="66"/>
      <c r="L3" s="66"/>
      <c r="M3" s="66"/>
      <c r="N3" s="66"/>
      <c r="O3" s="66"/>
      <c r="P3" s="66"/>
      <c r="Q3" s="97"/>
      <c r="R3" s="66"/>
      <c r="S3" s="66"/>
      <c r="T3" s="66"/>
      <c r="U3" s="66"/>
      <c r="V3" s="28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</row>
    <row r="4" spans="1:50" s="62" customFormat="1" ht="21" x14ac:dyDescent="0.35">
      <c r="A4" s="123" t="s">
        <v>2</v>
      </c>
      <c r="B4" s="64"/>
      <c r="C4" s="65" t="s">
        <v>635</v>
      </c>
      <c r="D4" s="180"/>
      <c r="E4" s="69"/>
      <c r="F4" s="67"/>
      <c r="G4" s="67"/>
      <c r="H4" s="66"/>
      <c r="I4" s="66"/>
      <c r="J4" s="66"/>
      <c r="K4" s="66"/>
      <c r="L4" s="66"/>
      <c r="M4" s="66"/>
      <c r="N4" s="66"/>
      <c r="O4" s="66"/>
      <c r="P4" s="66"/>
      <c r="Q4" s="97"/>
      <c r="R4" s="66"/>
      <c r="S4" s="66"/>
      <c r="T4" s="66"/>
      <c r="U4" s="66"/>
      <c r="V4" s="28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</row>
    <row r="5" spans="1:50" s="62" customFormat="1" x14ac:dyDescent="0.25">
      <c r="A5" s="123" t="s">
        <v>392</v>
      </c>
      <c r="B5" s="64"/>
      <c r="C5" s="67" t="s">
        <v>634</v>
      </c>
      <c r="D5" s="180"/>
      <c r="E5" s="67"/>
      <c r="F5" s="67"/>
      <c r="G5" s="70"/>
      <c r="H5" s="70"/>
      <c r="I5" s="70"/>
      <c r="J5" s="70"/>
      <c r="K5" s="70"/>
      <c r="L5" s="70"/>
      <c r="M5" s="70"/>
      <c r="N5" s="70"/>
      <c r="O5" s="70"/>
      <c r="P5" s="70"/>
      <c r="Q5" s="99"/>
      <c r="R5" s="70"/>
      <c r="S5" s="70"/>
      <c r="T5" s="70"/>
      <c r="U5" s="70"/>
      <c r="V5" s="287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</row>
    <row r="6" spans="1:50" s="62" customFormat="1" x14ac:dyDescent="0.25">
      <c r="A6" s="123" t="s">
        <v>4</v>
      </c>
      <c r="B6" s="64"/>
      <c r="C6" s="67" t="s">
        <v>364</v>
      </c>
      <c r="D6" s="180"/>
      <c r="E6" s="67"/>
      <c r="F6" s="67"/>
      <c r="G6" s="70"/>
      <c r="H6" s="70"/>
      <c r="I6" s="70"/>
      <c r="J6" s="70"/>
      <c r="K6" s="70"/>
      <c r="L6" s="70"/>
      <c r="M6" s="70"/>
      <c r="N6" s="70"/>
      <c r="O6" s="70"/>
      <c r="P6" s="70"/>
      <c r="Q6" s="99"/>
      <c r="R6" s="70"/>
      <c r="S6" s="70"/>
      <c r="T6" s="70"/>
      <c r="U6" s="70"/>
      <c r="V6" s="287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</row>
    <row r="7" spans="1:50" s="62" customFormat="1" x14ac:dyDescent="0.25">
      <c r="A7" s="123"/>
      <c r="B7" s="64"/>
      <c r="C7" s="67" t="s">
        <v>647</v>
      </c>
      <c r="D7" s="180"/>
      <c r="E7" s="67"/>
      <c r="F7" s="67"/>
      <c r="G7" s="70"/>
      <c r="H7" s="70"/>
      <c r="I7" s="70"/>
      <c r="J7" s="70"/>
      <c r="K7" s="70"/>
      <c r="L7" s="70"/>
      <c r="M7" s="70"/>
      <c r="N7" s="70"/>
      <c r="O7" s="70"/>
      <c r="P7" s="70"/>
      <c r="Q7" s="99"/>
      <c r="R7" s="70"/>
      <c r="S7" s="70"/>
      <c r="T7" s="70"/>
      <c r="U7" s="70"/>
      <c r="V7" s="287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</row>
    <row r="8" spans="1:50" s="62" customFormat="1" x14ac:dyDescent="0.25">
      <c r="A8" s="123" t="s">
        <v>378</v>
      </c>
      <c r="B8" s="64"/>
      <c r="C8" s="67" t="s">
        <v>577</v>
      </c>
      <c r="D8" s="180"/>
      <c r="E8" s="67"/>
      <c r="F8" s="67"/>
      <c r="G8" s="70"/>
      <c r="H8" s="70"/>
      <c r="I8" s="70"/>
      <c r="J8" s="70"/>
      <c r="K8" s="70"/>
      <c r="L8" s="70"/>
      <c r="M8" s="70"/>
      <c r="N8" s="70"/>
      <c r="O8" s="70"/>
      <c r="P8" s="70"/>
      <c r="Q8" s="99"/>
      <c r="R8" s="70"/>
      <c r="S8" s="70"/>
      <c r="T8" s="70"/>
      <c r="U8" s="70"/>
      <c r="V8" s="287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</row>
    <row r="9" spans="1:50" s="62" customFormat="1" x14ac:dyDescent="0.25">
      <c r="A9" s="123" t="s">
        <v>379</v>
      </c>
      <c r="B9" s="64"/>
      <c r="C9" s="67" t="s">
        <v>380</v>
      </c>
      <c r="D9" s="180"/>
      <c r="E9" s="67"/>
      <c r="F9" s="67"/>
      <c r="G9" s="70"/>
      <c r="H9" s="70"/>
      <c r="I9" s="70"/>
      <c r="J9" s="70"/>
      <c r="K9" s="70"/>
      <c r="L9" s="70"/>
      <c r="M9" s="70"/>
      <c r="N9" s="70"/>
      <c r="O9" s="70"/>
      <c r="P9" s="70"/>
      <c r="Q9" s="99"/>
      <c r="R9" s="70"/>
      <c r="S9" s="70"/>
      <c r="T9" s="70"/>
      <c r="U9" s="70"/>
      <c r="V9" s="287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</row>
    <row r="10" spans="1:50" s="62" customFormat="1" ht="16.5" thickBot="1" x14ac:dyDescent="0.3">
      <c r="A10" s="123" t="s">
        <v>393</v>
      </c>
      <c r="B10" s="64"/>
      <c r="C10" s="67" t="s">
        <v>682</v>
      </c>
      <c r="D10" s="180"/>
      <c r="E10" s="67"/>
      <c r="F10" s="67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99"/>
      <c r="R10" s="70"/>
      <c r="S10" s="70"/>
      <c r="T10" s="70"/>
      <c r="U10" s="70"/>
      <c r="V10" s="287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</row>
    <row r="11" spans="1:50" s="37" customFormat="1" ht="48.75" customHeight="1" thickBot="1" x14ac:dyDescent="0.3">
      <c r="A11" s="114" t="s">
        <v>365</v>
      </c>
      <c r="B11" s="40" t="s">
        <v>366</v>
      </c>
      <c r="C11" s="87" t="s">
        <v>367</v>
      </c>
      <c r="D11" s="107" t="s">
        <v>632</v>
      </c>
      <c r="E11" s="41" t="s">
        <v>624</v>
      </c>
      <c r="F11" s="42" t="s">
        <v>368</v>
      </c>
      <c r="G11" s="49" t="s">
        <v>369</v>
      </c>
      <c r="H11" s="100" t="s">
        <v>578</v>
      </c>
      <c r="I11" s="100" t="s">
        <v>579</v>
      </c>
      <c r="J11" s="100" t="s">
        <v>580</v>
      </c>
      <c r="K11" s="100" t="s">
        <v>590</v>
      </c>
      <c r="L11" s="100" t="s">
        <v>591</v>
      </c>
      <c r="M11" s="100" t="s">
        <v>592</v>
      </c>
      <c r="N11" s="100" t="s">
        <v>593</v>
      </c>
      <c r="O11" s="100" t="s">
        <v>594</v>
      </c>
      <c r="P11" s="100" t="s">
        <v>595</v>
      </c>
      <c r="Q11" s="101" t="s">
        <v>596</v>
      </c>
      <c r="R11" s="100" t="s">
        <v>597</v>
      </c>
      <c r="S11" s="100" t="s">
        <v>598</v>
      </c>
      <c r="T11" s="100" t="s">
        <v>599</v>
      </c>
      <c r="U11" s="100" t="s">
        <v>600</v>
      </c>
      <c r="V11" s="288" t="s">
        <v>601</v>
      </c>
      <c r="W11" s="100" t="s">
        <v>627</v>
      </c>
      <c r="X11" s="100" t="s">
        <v>628</v>
      </c>
      <c r="Y11" s="100" t="s">
        <v>629</v>
      </c>
      <c r="Z11" s="100" t="s">
        <v>636</v>
      </c>
      <c r="AA11" s="100" t="s">
        <v>637</v>
      </c>
      <c r="AB11" s="100" t="s">
        <v>638</v>
      </c>
      <c r="AC11" s="100" t="s">
        <v>639</v>
      </c>
      <c r="AD11" s="100" t="s">
        <v>640</v>
      </c>
      <c r="AE11" s="100" t="s">
        <v>641</v>
      </c>
      <c r="AF11" s="100" t="s">
        <v>642</v>
      </c>
      <c r="AG11" s="100" t="s">
        <v>643</v>
      </c>
      <c r="AH11" s="100" t="s">
        <v>644</v>
      </c>
      <c r="AI11" s="100" t="s">
        <v>645</v>
      </c>
      <c r="AJ11" s="100" t="s">
        <v>646</v>
      </c>
      <c r="AK11" s="100" t="s">
        <v>648</v>
      </c>
      <c r="AL11" s="100" t="s">
        <v>671</v>
      </c>
      <c r="AM11" s="100" t="s">
        <v>672</v>
      </c>
      <c r="AN11" s="100" t="s">
        <v>673</v>
      </c>
      <c r="AO11" s="100" t="s">
        <v>674</v>
      </c>
      <c r="AP11" s="100" t="s">
        <v>675</v>
      </c>
      <c r="AQ11" s="100" t="s">
        <v>681</v>
      </c>
      <c r="AR11" s="100" t="s">
        <v>680</v>
      </c>
      <c r="AS11" s="100" t="s">
        <v>679</v>
      </c>
      <c r="AT11" s="100" t="s">
        <v>678</v>
      </c>
      <c r="AU11" s="100" t="s">
        <v>677</v>
      </c>
      <c r="AV11" s="100" t="s">
        <v>676</v>
      </c>
      <c r="AW11" s="100" t="s">
        <v>630</v>
      </c>
      <c r="AX11" s="100" t="s">
        <v>631</v>
      </c>
    </row>
    <row r="12" spans="1:50" s="3" customFormat="1" ht="18" customHeight="1" thickBot="1" x14ac:dyDescent="0.35">
      <c r="A12" s="149" t="s">
        <v>6</v>
      </c>
      <c r="B12" s="135" t="s">
        <v>184</v>
      </c>
      <c r="C12" s="279">
        <v>1148376</v>
      </c>
      <c r="D12" s="136"/>
      <c r="E12" s="187">
        <f>C12</f>
        <v>1148376</v>
      </c>
      <c r="F12" s="187">
        <f>SUM(H12:AT12)</f>
        <v>1148376</v>
      </c>
      <c r="G12" s="187">
        <f>E12-(F12+AW12+AX12)</f>
        <v>0</v>
      </c>
      <c r="H12" s="190"/>
      <c r="I12" s="190"/>
      <c r="J12" s="190"/>
      <c r="K12" s="190"/>
      <c r="L12" s="190">
        <v>223668.39</v>
      </c>
      <c r="M12" s="190"/>
      <c r="N12" s="190"/>
      <c r="O12" s="190">
        <v>113821.51</v>
      </c>
      <c r="P12" s="190">
        <v>82594.19</v>
      </c>
      <c r="Q12" s="190">
        <v>98016.79</v>
      </c>
      <c r="R12" s="190">
        <v>83371.42</v>
      </c>
      <c r="S12" s="190">
        <v>76023.710000000006</v>
      </c>
      <c r="T12" s="190"/>
      <c r="U12" s="190">
        <v>144251.57999999999</v>
      </c>
      <c r="V12" s="190"/>
      <c r="W12" s="190">
        <v>221716.03</v>
      </c>
      <c r="X12" s="190">
        <v>104912.38</v>
      </c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</row>
    <row r="13" spans="1:50" s="3" customFormat="1" ht="18" customHeight="1" thickBot="1" x14ac:dyDescent="0.35">
      <c r="A13" s="149" t="s">
        <v>7</v>
      </c>
      <c r="B13" s="135" t="s">
        <v>413</v>
      </c>
      <c r="C13" s="279">
        <v>4429633</v>
      </c>
      <c r="D13" s="136"/>
      <c r="E13" s="187">
        <f t="shared" ref="E13:E76" si="0">C13</f>
        <v>4429633</v>
      </c>
      <c r="F13" s="187">
        <f t="shared" ref="F13:F76" si="1">SUM(H13:AT13)</f>
        <v>4429633.0000000009</v>
      </c>
      <c r="G13" s="187">
        <f t="shared" ref="G13:G77" si="2">E13-(F13+AW13+AX13)</f>
        <v>0</v>
      </c>
      <c r="H13" s="190"/>
      <c r="I13" s="190"/>
      <c r="J13" s="190"/>
      <c r="K13" s="190"/>
      <c r="L13" s="190"/>
      <c r="M13" s="190">
        <v>677430.34</v>
      </c>
      <c r="N13" s="190">
        <v>346196.86</v>
      </c>
      <c r="O13" s="190">
        <v>611539.27</v>
      </c>
      <c r="P13" s="190">
        <v>498753.97</v>
      </c>
      <c r="Q13" s="190">
        <v>338203.16</v>
      </c>
      <c r="R13" s="190">
        <v>528075.47</v>
      </c>
      <c r="S13" s="190">
        <v>559960.43000000005</v>
      </c>
      <c r="T13" s="190">
        <v>354653.85</v>
      </c>
      <c r="U13" s="190"/>
      <c r="V13" s="190"/>
      <c r="W13" s="190"/>
      <c r="X13" s="190">
        <f>189367.12+325452.53</f>
        <v>514819.65</v>
      </c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</row>
    <row r="14" spans="1:50" s="3" customFormat="1" ht="18" customHeight="1" thickBot="1" x14ac:dyDescent="0.35">
      <c r="A14" s="149" t="s">
        <v>8</v>
      </c>
      <c r="B14" s="135" t="s">
        <v>186</v>
      </c>
      <c r="C14" s="279">
        <v>2052336</v>
      </c>
      <c r="D14" s="136"/>
      <c r="E14" s="187">
        <f t="shared" si="0"/>
        <v>2052336</v>
      </c>
      <c r="F14" s="187">
        <f t="shared" si="1"/>
        <v>2052336</v>
      </c>
      <c r="G14" s="187">
        <f t="shared" si="2"/>
        <v>0</v>
      </c>
      <c r="H14" s="190"/>
      <c r="I14" s="190"/>
      <c r="J14" s="190"/>
      <c r="K14" s="190"/>
      <c r="L14" s="190"/>
      <c r="M14" s="190"/>
      <c r="N14" s="190">
        <v>81584.05</v>
      </c>
      <c r="O14" s="190">
        <v>216812.88</v>
      </c>
      <c r="P14" s="190">
        <f>117194.58+246149.11</f>
        <v>363343.69</v>
      </c>
      <c r="Q14" s="190">
        <v>320968.24</v>
      </c>
      <c r="R14" s="190">
        <v>272257.39</v>
      </c>
      <c r="S14" s="190">
        <v>164033.35</v>
      </c>
      <c r="T14" s="190"/>
      <c r="U14" s="190"/>
      <c r="V14" s="190"/>
      <c r="W14" s="190">
        <v>396246.78</v>
      </c>
      <c r="X14" s="190">
        <v>237089.62</v>
      </c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</row>
    <row r="15" spans="1:50" s="3" customFormat="1" ht="18" customHeight="1" thickBot="1" x14ac:dyDescent="0.35">
      <c r="A15" s="149" t="s">
        <v>9</v>
      </c>
      <c r="B15" s="135" t="s">
        <v>396</v>
      </c>
      <c r="C15" s="279">
        <v>1270031</v>
      </c>
      <c r="D15" s="136"/>
      <c r="E15" s="187">
        <f t="shared" si="0"/>
        <v>1270031</v>
      </c>
      <c r="F15" s="187">
        <f t="shared" si="1"/>
        <v>1270031</v>
      </c>
      <c r="G15" s="187">
        <f t="shared" si="2"/>
        <v>0</v>
      </c>
      <c r="H15" s="190"/>
      <c r="I15" s="190"/>
      <c r="J15" s="190"/>
      <c r="K15" s="190"/>
      <c r="L15" s="190"/>
      <c r="M15" s="190"/>
      <c r="N15" s="190"/>
      <c r="O15" s="190"/>
      <c r="P15" s="190">
        <v>237400</v>
      </c>
      <c r="Q15" s="190">
        <v>247019</v>
      </c>
      <c r="R15" s="190"/>
      <c r="S15" s="190">
        <v>462200</v>
      </c>
      <c r="T15" s="190"/>
      <c r="U15" s="190"/>
      <c r="V15" s="291">
        <v>184977</v>
      </c>
      <c r="W15" s="190"/>
      <c r="X15" s="190"/>
      <c r="Y15" s="190">
        <v>138435</v>
      </c>
      <c r="Z15" s="190"/>
      <c r="AA15" s="190"/>
      <c r="AB15" s="190"/>
      <c r="AC15" s="190"/>
      <c r="AD15" s="190"/>
      <c r="AE15" s="190"/>
      <c r="AF15" s="190"/>
      <c r="AG15" s="190"/>
      <c r="AH15" s="190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</row>
    <row r="16" spans="1:50" s="3" customFormat="1" ht="18" customHeight="1" thickBot="1" x14ac:dyDescent="0.35">
      <c r="A16" s="149" t="s">
        <v>10</v>
      </c>
      <c r="B16" s="135" t="s">
        <v>188</v>
      </c>
      <c r="C16" s="279">
        <v>85849</v>
      </c>
      <c r="D16" s="136">
        <v>9025</v>
      </c>
      <c r="E16" s="187">
        <v>0</v>
      </c>
      <c r="F16" s="187">
        <f t="shared" si="1"/>
        <v>0</v>
      </c>
      <c r="G16" s="187">
        <v>0</v>
      </c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</row>
    <row r="17" spans="1:50" s="3" customFormat="1" ht="18" customHeight="1" thickBot="1" x14ac:dyDescent="0.35">
      <c r="A17" s="149" t="s">
        <v>11</v>
      </c>
      <c r="B17" s="135" t="s">
        <v>189</v>
      </c>
      <c r="C17" s="279">
        <v>61107</v>
      </c>
      <c r="D17" s="136">
        <v>9025</v>
      </c>
      <c r="E17" s="187">
        <f>0</f>
        <v>0</v>
      </c>
      <c r="F17" s="187">
        <f t="shared" si="1"/>
        <v>0</v>
      </c>
      <c r="G17" s="187">
        <f t="shared" si="2"/>
        <v>0</v>
      </c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</row>
    <row r="18" spans="1:50" s="3" customFormat="1" ht="18" customHeight="1" thickBot="1" x14ac:dyDescent="0.35">
      <c r="A18" s="149" t="s">
        <v>12</v>
      </c>
      <c r="B18" s="135" t="s">
        <v>602</v>
      </c>
      <c r="C18" s="279">
        <v>2558735</v>
      </c>
      <c r="D18" s="136"/>
      <c r="E18" s="187">
        <f t="shared" si="0"/>
        <v>2558735</v>
      </c>
      <c r="F18" s="187">
        <f t="shared" si="1"/>
        <v>2558735</v>
      </c>
      <c r="G18" s="187">
        <f t="shared" si="2"/>
        <v>0</v>
      </c>
      <c r="H18" s="190"/>
      <c r="I18" s="190"/>
      <c r="J18" s="190"/>
      <c r="K18" s="190"/>
      <c r="L18" s="190"/>
      <c r="M18" s="190">
        <f>202457.06+110531.94</f>
        <v>312989</v>
      </c>
      <c r="N18" s="283">
        <v>174320.36</v>
      </c>
      <c r="O18" s="190">
        <f>173640.14+314077.72</f>
        <v>487717.86</v>
      </c>
      <c r="P18" s="190">
        <v>215336.58</v>
      </c>
      <c r="Q18" s="190">
        <v>83167.61</v>
      </c>
      <c r="R18" s="190">
        <v>210693.75</v>
      </c>
      <c r="S18" s="190">
        <f>169388.19+335034.58</f>
        <v>504422.77</v>
      </c>
      <c r="T18" s="190"/>
      <c r="U18" s="190"/>
      <c r="V18" s="291">
        <v>212962.51</v>
      </c>
      <c r="W18" s="190">
        <v>167581.04999999999</v>
      </c>
      <c r="X18" s="190">
        <v>189543.51</v>
      </c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</row>
    <row r="19" spans="1:50" s="3" customFormat="1" ht="18" customHeight="1" thickBot="1" x14ac:dyDescent="0.35">
      <c r="A19" s="149" t="s">
        <v>13</v>
      </c>
      <c r="B19" s="135" t="s">
        <v>414</v>
      </c>
      <c r="C19" s="279">
        <v>830061</v>
      </c>
      <c r="D19" s="136"/>
      <c r="E19" s="187">
        <f t="shared" si="0"/>
        <v>830061</v>
      </c>
      <c r="F19" s="187">
        <f t="shared" si="1"/>
        <v>830061</v>
      </c>
      <c r="G19" s="187">
        <f t="shared" si="2"/>
        <v>0</v>
      </c>
      <c r="H19" s="190"/>
      <c r="I19" s="190"/>
      <c r="J19" s="190"/>
      <c r="K19" s="190"/>
      <c r="L19" s="190"/>
      <c r="M19" s="190"/>
      <c r="N19" s="190">
        <v>13492.81</v>
      </c>
      <c r="O19" s="190">
        <v>66674.25</v>
      </c>
      <c r="P19" s="190">
        <v>69195.89</v>
      </c>
      <c r="Q19" s="190">
        <v>78844.72</v>
      </c>
      <c r="R19" s="190">
        <v>65023.98</v>
      </c>
      <c r="S19" s="190">
        <f>65023.98+65349.73</f>
        <v>130373.71</v>
      </c>
      <c r="T19" s="190"/>
      <c r="U19" s="190">
        <v>65676.34</v>
      </c>
      <c r="V19" s="291">
        <v>63691.83</v>
      </c>
      <c r="W19" s="190">
        <v>112676.33</v>
      </c>
      <c r="X19" s="190"/>
      <c r="Y19" s="190">
        <f>67165.78+54002.95</f>
        <v>121168.73</v>
      </c>
      <c r="Z19" s="190">
        <v>43242.41</v>
      </c>
      <c r="AA19" s="190"/>
      <c r="AB19" s="190"/>
      <c r="AC19" s="190"/>
      <c r="AD19" s="190"/>
      <c r="AE19" s="190"/>
      <c r="AF19" s="190"/>
      <c r="AG19" s="190"/>
      <c r="AH19" s="190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</row>
    <row r="20" spans="1:50" s="3" customFormat="1" ht="18" customHeight="1" thickBot="1" x14ac:dyDescent="0.35">
      <c r="A20" s="149" t="s">
        <v>14</v>
      </c>
      <c r="B20" s="135" t="s">
        <v>416</v>
      </c>
      <c r="C20" s="279">
        <v>98015</v>
      </c>
      <c r="D20" s="136"/>
      <c r="E20" s="187">
        <f t="shared" si="0"/>
        <v>98015</v>
      </c>
      <c r="F20" s="187">
        <f t="shared" si="1"/>
        <v>98015</v>
      </c>
      <c r="G20" s="187">
        <f t="shared" si="2"/>
        <v>0</v>
      </c>
      <c r="H20" s="190"/>
      <c r="I20" s="190"/>
      <c r="J20" s="190"/>
      <c r="K20" s="190"/>
      <c r="L20" s="190"/>
      <c r="M20" s="190"/>
      <c r="N20" s="192"/>
      <c r="O20" s="190">
        <v>59620.67</v>
      </c>
      <c r="P20" s="190"/>
      <c r="Q20" s="190"/>
      <c r="R20" s="190"/>
      <c r="S20" s="190"/>
      <c r="T20" s="190">
        <v>37129.33</v>
      </c>
      <c r="U20" s="190"/>
      <c r="V20" s="190"/>
      <c r="W20" s="190"/>
      <c r="X20" s="190"/>
      <c r="Y20" s="190"/>
      <c r="Z20" s="190"/>
      <c r="AA20" s="190">
        <v>1265</v>
      </c>
      <c r="AB20" s="190"/>
      <c r="AC20" s="190"/>
      <c r="AD20" s="190"/>
      <c r="AE20" s="190"/>
      <c r="AF20" s="190"/>
      <c r="AG20" s="190"/>
      <c r="AH20" s="190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</row>
    <row r="21" spans="1:50" s="3" customFormat="1" ht="18" customHeight="1" thickBot="1" x14ac:dyDescent="0.35">
      <c r="A21" s="149" t="s">
        <v>15</v>
      </c>
      <c r="B21" s="135" t="s">
        <v>193</v>
      </c>
      <c r="C21" s="279">
        <v>602872</v>
      </c>
      <c r="D21" s="136"/>
      <c r="E21" s="187">
        <f t="shared" si="0"/>
        <v>602872</v>
      </c>
      <c r="F21" s="187">
        <f t="shared" si="1"/>
        <v>602872</v>
      </c>
      <c r="G21" s="187">
        <f t="shared" si="2"/>
        <v>0</v>
      </c>
      <c r="H21" s="190"/>
      <c r="I21" s="190"/>
      <c r="J21" s="190"/>
      <c r="K21" s="190">
        <v>13507</v>
      </c>
      <c r="L21" s="190">
        <v>43380</v>
      </c>
      <c r="M21" s="190">
        <v>56092</v>
      </c>
      <c r="N21" s="190">
        <v>43817</v>
      </c>
      <c r="O21" s="190">
        <v>43115</v>
      </c>
      <c r="P21" s="190">
        <v>51797</v>
      </c>
      <c r="Q21" s="190">
        <v>41181</v>
      </c>
      <c r="R21" s="190">
        <v>40831</v>
      </c>
      <c r="S21" s="190">
        <v>41731</v>
      </c>
      <c r="T21" s="190">
        <v>40822</v>
      </c>
      <c r="U21" s="190">
        <v>62553</v>
      </c>
      <c r="V21" s="190"/>
      <c r="W21" s="190"/>
      <c r="X21" s="190">
        <v>124046</v>
      </c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</row>
    <row r="22" spans="1:50" s="3" customFormat="1" ht="18" customHeight="1" thickBot="1" x14ac:dyDescent="0.35">
      <c r="A22" s="149" t="s">
        <v>16</v>
      </c>
      <c r="B22" s="135" t="s">
        <v>194</v>
      </c>
      <c r="C22" s="279">
        <v>825153</v>
      </c>
      <c r="D22" s="136"/>
      <c r="E22" s="187">
        <f t="shared" si="0"/>
        <v>825153</v>
      </c>
      <c r="F22" s="187">
        <f t="shared" si="1"/>
        <v>825153</v>
      </c>
      <c r="G22" s="187">
        <f t="shared" si="2"/>
        <v>0</v>
      </c>
      <c r="H22" s="190"/>
      <c r="I22" s="190"/>
      <c r="J22" s="190"/>
      <c r="K22" s="190"/>
      <c r="L22" s="190"/>
      <c r="M22" s="190"/>
      <c r="N22" s="190">
        <v>165163.45000000001</v>
      </c>
      <c r="O22" s="190"/>
      <c r="P22" s="192"/>
      <c r="Q22" s="190">
        <v>118690</v>
      </c>
      <c r="R22" s="190">
        <v>125226.02</v>
      </c>
      <c r="S22" s="190"/>
      <c r="T22" s="190">
        <v>118744.57</v>
      </c>
      <c r="U22" s="190"/>
      <c r="V22" s="291">
        <v>108214.41</v>
      </c>
      <c r="W22" s="190"/>
      <c r="X22" s="190"/>
      <c r="Y22" s="190"/>
      <c r="Z22" s="190">
        <v>189114.55</v>
      </c>
      <c r="AA22" s="190"/>
      <c r="AB22" s="190"/>
      <c r="AC22" s="190"/>
      <c r="AD22" s="190"/>
      <c r="AE22" s="190"/>
      <c r="AF22" s="190"/>
      <c r="AG22" s="190"/>
      <c r="AH22" s="190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</row>
    <row r="23" spans="1:50" s="3" customFormat="1" ht="18" customHeight="1" thickBot="1" x14ac:dyDescent="0.35">
      <c r="A23" s="149" t="s">
        <v>17</v>
      </c>
      <c r="B23" s="135" t="s">
        <v>195</v>
      </c>
      <c r="C23" s="279">
        <v>4276856</v>
      </c>
      <c r="D23" s="136"/>
      <c r="E23" s="187">
        <f t="shared" si="0"/>
        <v>4276856</v>
      </c>
      <c r="F23" s="187">
        <f t="shared" si="1"/>
        <v>4276856</v>
      </c>
      <c r="G23" s="187">
        <f t="shared" si="2"/>
        <v>0</v>
      </c>
      <c r="H23" s="190"/>
      <c r="I23" s="190"/>
      <c r="J23" s="190"/>
      <c r="K23" s="190"/>
      <c r="L23" s="190"/>
      <c r="M23" s="190"/>
      <c r="N23" s="190">
        <f>1102192.94+132280.84</f>
        <v>1234473.78</v>
      </c>
      <c r="O23" s="190">
        <v>45485.21</v>
      </c>
      <c r="P23" s="190">
        <v>709485.16</v>
      </c>
      <c r="Q23" s="190">
        <v>376165.47</v>
      </c>
      <c r="R23" s="190">
        <v>373323.45</v>
      </c>
      <c r="S23" s="190">
        <v>392049.59</v>
      </c>
      <c r="T23" s="190">
        <v>316163.65999999997</v>
      </c>
      <c r="U23" s="190">
        <v>242065.33</v>
      </c>
      <c r="V23" s="190">
        <v>282360.71999999997</v>
      </c>
      <c r="W23" s="190"/>
      <c r="X23" s="190"/>
      <c r="Y23" s="190"/>
      <c r="Z23" s="190">
        <v>152940.48000000001</v>
      </c>
      <c r="AA23" s="190"/>
      <c r="AB23" s="190">
        <v>152343.15</v>
      </c>
      <c r="AC23" s="190"/>
      <c r="AD23" s="190"/>
      <c r="AE23" s="190"/>
      <c r="AF23" s="190"/>
      <c r="AG23" s="190"/>
      <c r="AH23" s="190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</row>
    <row r="24" spans="1:50" s="3" customFormat="1" ht="18" customHeight="1" thickBot="1" x14ac:dyDescent="0.35">
      <c r="A24" s="149" t="s">
        <v>18</v>
      </c>
      <c r="B24" s="135" t="s">
        <v>196</v>
      </c>
      <c r="C24" s="279">
        <v>429742</v>
      </c>
      <c r="D24" s="136"/>
      <c r="E24" s="187">
        <f t="shared" si="0"/>
        <v>429742</v>
      </c>
      <c r="F24" s="187">
        <f t="shared" si="1"/>
        <v>429742.00000000006</v>
      </c>
      <c r="G24" s="187">
        <f t="shared" si="2"/>
        <v>0</v>
      </c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>
        <v>4225.68</v>
      </c>
      <c r="V24" s="190">
        <v>77326.66</v>
      </c>
      <c r="W24" s="190">
        <v>83831.360000000001</v>
      </c>
      <c r="X24" s="190">
        <v>81761.37</v>
      </c>
      <c r="Y24" s="190">
        <v>80385.960000000006</v>
      </c>
      <c r="Z24" s="190">
        <v>79968.39</v>
      </c>
      <c r="AA24" s="190">
        <v>22242.58</v>
      </c>
      <c r="AB24" s="190"/>
      <c r="AC24" s="190"/>
      <c r="AD24" s="190"/>
      <c r="AE24" s="190"/>
      <c r="AF24" s="190"/>
      <c r="AG24" s="190"/>
      <c r="AH24" s="190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</row>
    <row r="25" spans="1:50" s="3" customFormat="1" ht="18" customHeight="1" thickBot="1" x14ac:dyDescent="0.35">
      <c r="A25" s="149" t="s">
        <v>19</v>
      </c>
      <c r="B25" s="135" t="s">
        <v>197</v>
      </c>
      <c r="C25" s="279">
        <v>26477</v>
      </c>
      <c r="D25" s="136">
        <v>9025</v>
      </c>
      <c r="E25" s="187">
        <f>0</f>
        <v>0</v>
      </c>
      <c r="F25" s="187">
        <f t="shared" si="1"/>
        <v>0</v>
      </c>
      <c r="G25" s="187">
        <f t="shared" si="2"/>
        <v>0</v>
      </c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</row>
    <row r="26" spans="1:50" s="3" customFormat="1" ht="18" customHeight="1" thickBot="1" x14ac:dyDescent="0.35">
      <c r="A26" s="149" t="s">
        <v>20</v>
      </c>
      <c r="B26" s="135" t="s">
        <v>198</v>
      </c>
      <c r="C26" s="279">
        <v>10443439</v>
      </c>
      <c r="D26" s="136"/>
      <c r="E26" s="187">
        <f t="shared" si="0"/>
        <v>10443439</v>
      </c>
      <c r="F26" s="187">
        <f t="shared" si="1"/>
        <v>10443439</v>
      </c>
      <c r="G26" s="187">
        <f t="shared" si="2"/>
        <v>0</v>
      </c>
      <c r="H26" s="190"/>
      <c r="I26" s="190"/>
      <c r="J26" s="190"/>
      <c r="K26" s="190"/>
      <c r="L26" s="190">
        <v>669403.78</v>
      </c>
      <c r="M26" s="190"/>
      <c r="N26" s="190">
        <v>2591185.5499999998</v>
      </c>
      <c r="O26" s="190"/>
      <c r="P26" s="190">
        <v>907630.47</v>
      </c>
      <c r="Q26" s="190">
        <v>875052.4</v>
      </c>
      <c r="R26" s="190">
        <v>1069813.3600000001</v>
      </c>
      <c r="S26" s="190">
        <v>1024825.75</v>
      </c>
      <c r="T26" s="190"/>
      <c r="U26" s="190"/>
      <c r="V26" s="190">
        <v>1397693.11</v>
      </c>
      <c r="W26" s="190">
        <v>607699.59</v>
      </c>
      <c r="X26" s="190"/>
      <c r="Y26" s="190">
        <v>1300134.99</v>
      </c>
      <c r="Z26" s="190"/>
      <c r="AA26" s="190"/>
      <c r="AB26" s="190"/>
      <c r="AC26" s="190"/>
      <c r="AD26" s="190"/>
      <c r="AE26" s="190"/>
      <c r="AF26" s="190"/>
      <c r="AG26" s="190"/>
      <c r="AH26" s="190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</row>
    <row r="27" spans="1:50" s="3" customFormat="1" ht="18" customHeight="1" thickBot="1" x14ac:dyDescent="0.35">
      <c r="A27" s="149" t="s">
        <v>21</v>
      </c>
      <c r="B27" s="135" t="s">
        <v>199</v>
      </c>
      <c r="C27" s="279">
        <v>375721</v>
      </c>
      <c r="D27" s="136"/>
      <c r="E27" s="187">
        <f t="shared" si="0"/>
        <v>375721</v>
      </c>
      <c r="F27" s="187">
        <f t="shared" si="1"/>
        <v>375721</v>
      </c>
      <c r="G27" s="187">
        <f t="shared" si="2"/>
        <v>0</v>
      </c>
      <c r="H27" s="190"/>
      <c r="I27" s="190"/>
      <c r="J27" s="190"/>
      <c r="K27" s="190"/>
      <c r="L27" s="190"/>
      <c r="M27" s="190"/>
      <c r="N27" s="190">
        <v>40154</v>
      </c>
      <c r="O27" s="190"/>
      <c r="P27" s="190"/>
      <c r="Q27" s="190"/>
      <c r="R27" s="190">
        <v>116891</v>
      </c>
      <c r="S27" s="190">
        <v>218675</v>
      </c>
      <c r="T27" s="190"/>
      <c r="U27" s="190"/>
      <c r="V27" s="190"/>
      <c r="W27" s="190"/>
      <c r="X27" s="190"/>
      <c r="Y27" s="190">
        <v>1</v>
      </c>
      <c r="Z27" s="190"/>
      <c r="AA27" s="190"/>
      <c r="AB27" s="190"/>
      <c r="AC27" s="190"/>
      <c r="AD27" s="190"/>
      <c r="AE27" s="190"/>
      <c r="AF27" s="190"/>
      <c r="AG27" s="190"/>
      <c r="AH27" s="190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</row>
    <row r="28" spans="1:50" s="3" customFormat="1" ht="18" customHeight="1" thickBot="1" x14ac:dyDescent="0.35">
      <c r="A28" s="149" t="s">
        <v>22</v>
      </c>
      <c r="B28" s="135" t="s">
        <v>418</v>
      </c>
      <c r="C28" s="279">
        <v>365454</v>
      </c>
      <c r="D28" s="136"/>
      <c r="E28" s="187">
        <f t="shared" si="0"/>
        <v>365454</v>
      </c>
      <c r="F28" s="187">
        <f t="shared" si="1"/>
        <v>365454</v>
      </c>
      <c r="G28" s="187">
        <f t="shared" si="2"/>
        <v>0</v>
      </c>
      <c r="H28" s="190"/>
      <c r="I28" s="190"/>
      <c r="J28" s="190"/>
      <c r="K28" s="190"/>
      <c r="L28" s="190"/>
      <c r="M28" s="190"/>
      <c r="N28" s="190"/>
      <c r="O28" s="190">
        <v>187199.52</v>
      </c>
      <c r="P28" s="190">
        <v>22457.16</v>
      </c>
      <c r="Q28" s="190">
        <v>23773.85</v>
      </c>
      <c r="R28" s="190">
        <v>25271.14</v>
      </c>
      <c r="S28" s="190">
        <v>21253.61</v>
      </c>
      <c r="T28" s="190">
        <v>23626.639999999999</v>
      </c>
      <c r="U28" s="190"/>
      <c r="V28" s="190"/>
      <c r="W28" s="190"/>
      <c r="X28" s="190"/>
      <c r="Y28" s="190">
        <f>4206.14+57665.94</f>
        <v>61872.08</v>
      </c>
      <c r="Z28" s="190"/>
      <c r="AA28" s="190"/>
      <c r="AB28" s="190"/>
      <c r="AC28" s="190"/>
      <c r="AD28" s="190"/>
      <c r="AE28" s="190"/>
      <c r="AF28" s="190"/>
      <c r="AG28" s="190"/>
      <c r="AH28" s="190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</row>
    <row r="29" spans="1:50" s="3" customFormat="1" ht="18" customHeight="1" thickBot="1" x14ac:dyDescent="0.35">
      <c r="A29" s="149" t="s">
        <v>23</v>
      </c>
      <c r="B29" s="135" t="s">
        <v>420</v>
      </c>
      <c r="C29" s="279">
        <v>42881</v>
      </c>
      <c r="D29" s="136"/>
      <c r="E29" s="187">
        <f t="shared" si="0"/>
        <v>42881</v>
      </c>
      <c r="F29" s="187">
        <f t="shared" si="1"/>
        <v>42881</v>
      </c>
      <c r="G29" s="187">
        <f t="shared" si="2"/>
        <v>0</v>
      </c>
      <c r="H29" s="190"/>
      <c r="I29" s="190"/>
      <c r="J29" s="190"/>
      <c r="K29" s="190">
        <v>18337</v>
      </c>
      <c r="L29" s="190"/>
      <c r="M29" s="190"/>
      <c r="N29" s="190"/>
      <c r="O29" s="190"/>
      <c r="P29" s="190"/>
      <c r="Q29" s="190"/>
      <c r="R29" s="190">
        <v>19917</v>
      </c>
      <c r="S29" s="190">
        <f>2755+1547</f>
        <v>4302</v>
      </c>
      <c r="T29" s="190"/>
      <c r="U29" s="190"/>
      <c r="V29" s="190"/>
      <c r="W29" s="190"/>
      <c r="X29" s="190"/>
      <c r="Y29" s="190">
        <v>325</v>
      </c>
      <c r="Z29" s="190"/>
      <c r="AA29" s="190"/>
      <c r="AB29" s="190"/>
      <c r="AC29" s="190"/>
      <c r="AD29" s="190"/>
      <c r="AE29" s="190"/>
      <c r="AF29" s="190"/>
      <c r="AG29" s="190"/>
      <c r="AH29" s="190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</row>
    <row r="30" spans="1:50" s="3" customFormat="1" ht="18" customHeight="1" thickBot="1" x14ac:dyDescent="0.35">
      <c r="A30" s="149" t="s">
        <v>24</v>
      </c>
      <c r="B30" s="135" t="s">
        <v>422</v>
      </c>
      <c r="C30" s="279">
        <v>9679</v>
      </c>
      <c r="D30" s="136"/>
      <c r="E30" s="187">
        <f t="shared" si="0"/>
        <v>9679</v>
      </c>
      <c r="F30" s="187">
        <f t="shared" si="1"/>
        <v>9679</v>
      </c>
      <c r="G30" s="187">
        <f t="shared" si="2"/>
        <v>0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>
        <v>9679</v>
      </c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</row>
    <row r="31" spans="1:50" s="3" customFormat="1" ht="18" customHeight="1" thickBot="1" x14ac:dyDescent="0.35">
      <c r="A31" s="149" t="s">
        <v>25</v>
      </c>
      <c r="B31" s="135" t="s">
        <v>423</v>
      </c>
      <c r="C31" s="279">
        <v>117283</v>
      </c>
      <c r="D31" s="136"/>
      <c r="E31" s="187">
        <f t="shared" si="0"/>
        <v>117283</v>
      </c>
      <c r="F31" s="187">
        <f t="shared" si="1"/>
        <v>117283</v>
      </c>
      <c r="G31" s="187">
        <f t="shared" si="2"/>
        <v>0</v>
      </c>
      <c r="H31" s="190"/>
      <c r="I31" s="190"/>
      <c r="J31" s="190"/>
      <c r="K31" s="190"/>
      <c r="L31" s="190"/>
      <c r="M31" s="190"/>
      <c r="N31" s="190"/>
      <c r="O31" s="190"/>
      <c r="P31" s="190">
        <v>54216.29</v>
      </c>
      <c r="Q31" s="190"/>
      <c r="R31" s="190"/>
      <c r="S31" s="190">
        <f>22629.13+6257.78</f>
        <v>28886.91</v>
      </c>
      <c r="T31" s="190"/>
      <c r="U31" s="190"/>
      <c r="V31" s="190">
        <v>107.27</v>
      </c>
      <c r="W31" s="190"/>
      <c r="X31" s="190"/>
      <c r="Y31" s="190"/>
      <c r="Z31" s="190"/>
      <c r="AA31" s="190"/>
      <c r="AB31" s="190">
        <v>34072.53</v>
      </c>
      <c r="AC31" s="190"/>
      <c r="AD31" s="190"/>
      <c r="AE31" s="190"/>
      <c r="AF31" s="190"/>
      <c r="AG31" s="190"/>
      <c r="AH31" s="190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</row>
    <row r="32" spans="1:50" s="3" customFormat="1" ht="18" customHeight="1" thickBot="1" x14ac:dyDescent="0.35">
      <c r="A32" s="149" t="s">
        <v>26</v>
      </c>
      <c r="B32" s="135" t="s">
        <v>424</v>
      </c>
      <c r="C32" s="279">
        <v>15387</v>
      </c>
      <c r="D32" s="136"/>
      <c r="E32" s="187">
        <f t="shared" si="0"/>
        <v>15387</v>
      </c>
      <c r="F32" s="187">
        <f t="shared" si="1"/>
        <v>15387</v>
      </c>
      <c r="G32" s="187">
        <f t="shared" si="2"/>
        <v>0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>
        <v>15387</v>
      </c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</row>
    <row r="33" spans="1:50" s="3" customFormat="1" ht="18" customHeight="1" thickBot="1" x14ac:dyDescent="0.35">
      <c r="A33" s="149" t="s">
        <v>27</v>
      </c>
      <c r="B33" s="135" t="s">
        <v>205</v>
      </c>
      <c r="C33" s="279">
        <v>0</v>
      </c>
      <c r="D33" s="136"/>
      <c r="E33" s="187">
        <f t="shared" si="0"/>
        <v>0</v>
      </c>
      <c r="F33" s="187">
        <f t="shared" si="1"/>
        <v>0</v>
      </c>
      <c r="G33" s="187">
        <f t="shared" si="2"/>
        <v>0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</row>
    <row r="34" spans="1:50" s="3" customFormat="1" ht="18" customHeight="1" thickBot="1" x14ac:dyDescent="0.35">
      <c r="A34" s="149" t="s">
        <v>28</v>
      </c>
      <c r="B34" s="135" t="s">
        <v>426</v>
      </c>
      <c r="C34" s="279">
        <v>592853</v>
      </c>
      <c r="D34" s="136"/>
      <c r="E34" s="187">
        <f t="shared" si="0"/>
        <v>592853</v>
      </c>
      <c r="F34" s="187">
        <f t="shared" si="1"/>
        <v>592853</v>
      </c>
      <c r="G34" s="187">
        <f t="shared" si="2"/>
        <v>0</v>
      </c>
      <c r="H34" s="190"/>
      <c r="I34" s="190"/>
      <c r="J34" s="190"/>
      <c r="K34" s="190"/>
      <c r="L34" s="190"/>
      <c r="M34" s="190">
        <v>235731.03</v>
      </c>
      <c r="N34" s="190"/>
      <c r="O34" s="190"/>
      <c r="P34" s="190"/>
      <c r="Q34" s="190"/>
      <c r="R34" s="190"/>
      <c r="S34" s="190">
        <v>251507.97</v>
      </c>
      <c r="T34" s="190"/>
      <c r="U34" s="190"/>
      <c r="V34" s="190"/>
      <c r="W34" s="190"/>
      <c r="X34" s="190"/>
      <c r="Y34" s="190"/>
      <c r="Z34" s="190">
        <v>105614</v>
      </c>
      <c r="AA34" s="190"/>
      <c r="AB34" s="190"/>
      <c r="AC34" s="190"/>
      <c r="AD34" s="190"/>
      <c r="AE34" s="190"/>
      <c r="AF34" s="190"/>
      <c r="AG34" s="190"/>
      <c r="AH34" s="190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</row>
    <row r="35" spans="1:50" s="3" customFormat="1" ht="18" customHeight="1" thickBot="1" x14ac:dyDescent="0.35">
      <c r="A35" s="149" t="s">
        <v>29</v>
      </c>
      <c r="B35" s="135" t="s">
        <v>428</v>
      </c>
      <c r="C35" s="279">
        <v>39056</v>
      </c>
      <c r="D35" s="136"/>
      <c r="E35" s="187">
        <f t="shared" si="0"/>
        <v>39056</v>
      </c>
      <c r="F35" s="187">
        <f t="shared" si="1"/>
        <v>39056</v>
      </c>
      <c r="G35" s="187">
        <f t="shared" si="2"/>
        <v>0</v>
      </c>
      <c r="H35" s="190"/>
      <c r="I35" s="190"/>
      <c r="J35" s="190"/>
      <c r="K35" s="190"/>
      <c r="L35" s="190"/>
      <c r="M35" s="190">
        <v>6770</v>
      </c>
      <c r="N35" s="190"/>
      <c r="O35" s="190"/>
      <c r="P35" s="190"/>
      <c r="Q35" s="190">
        <v>20316</v>
      </c>
      <c r="R35" s="190">
        <v>11968</v>
      </c>
      <c r="S35" s="190"/>
      <c r="T35" s="190"/>
      <c r="U35" s="190"/>
      <c r="V35" s="190"/>
      <c r="W35" s="190"/>
      <c r="X35" s="190">
        <v>2</v>
      </c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</row>
    <row r="36" spans="1:50" s="3" customFormat="1" ht="18" customHeight="1" thickBot="1" x14ac:dyDescent="0.35">
      <c r="A36" s="149" t="s">
        <v>30</v>
      </c>
      <c r="B36" s="135" t="s">
        <v>208</v>
      </c>
      <c r="C36" s="279">
        <v>3089216</v>
      </c>
      <c r="D36" s="136"/>
      <c r="E36" s="187">
        <f t="shared" si="0"/>
        <v>3089216</v>
      </c>
      <c r="F36" s="187">
        <f t="shared" si="1"/>
        <v>3089215.9999999995</v>
      </c>
      <c r="G36" s="187">
        <f t="shared" si="2"/>
        <v>0</v>
      </c>
      <c r="H36" s="190"/>
      <c r="I36" s="190"/>
      <c r="J36" s="190"/>
      <c r="K36" s="190"/>
      <c r="L36" s="190"/>
      <c r="M36" s="190"/>
      <c r="N36" s="190">
        <v>758887.82</v>
      </c>
      <c r="O36" s="190"/>
      <c r="P36" s="190"/>
      <c r="Q36" s="190"/>
      <c r="R36" s="190">
        <v>910837.04</v>
      </c>
      <c r="S36" s="190">
        <v>290750.73</v>
      </c>
      <c r="T36" s="190"/>
      <c r="U36" s="190"/>
      <c r="V36" s="190"/>
      <c r="W36" s="190">
        <v>824335.82</v>
      </c>
      <c r="X36" s="190"/>
      <c r="Y36" s="190"/>
      <c r="Z36" s="190">
        <v>304404.59000000003</v>
      </c>
      <c r="AA36" s="190"/>
      <c r="AB36" s="190"/>
      <c r="AC36" s="190"/>
      <c r="AD36" s="190"/>
      <c r="AE36" s="190"/>
      <c r="AF36" s="190"/>
      <c r="AG36" s="190"/>
      <c r="AH36" s="190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</row>
    <row r="37" spans="1:50" s="3" customFormat="1" ht="18" customHeight="1" thickBot="1" x14ac:dyDescent="0.35">
      <c r="A37" s="149" t="s">
        <v>31</v>
      </c>
      <c r="B37" s="135" t="s">
        <v>209</v>
      </c>
      <c r="C37" s="279">
        <v>1892399</v>
      </c>
      <c r="D37" s="136"/>
      <c r="E37" s="187">
        <f t="shared" si="0"/>
        <v>1892399</v>
      </c>
      <c r="F37" s="187">
        <f t="shared" si="1"/>
        <v>1892399</v>
      </c>
      <c r="G37" s="187">
        <f t="shared" si="2"/>
        <v>0</v>
      </c>
      <c r="H37" s="190"/>
      <c r="I37" s="190"/>
      <c r="J37" s="190"/>
      <c r="K37" s="190"/>
      <c r="L37" s="190"/>
      <c r="M37" s="190">
        <v>273672.48</v>
      </c>
      <c r="N37" s="190">
        <v>144207.29999999999</v>
      </c>
      <c r="O37" s="190">
        <v>187217</v>
      </c>
      <c r="P37" s="190">
        <v>194398.74</v>
      </c>
      <c r="Q37" s="190">
        <v>209709.26</v>
      </c>
      <c r="R37" s="190">
        <f>167926.8+216751.23</f>
        <v>384678.03</v>
      </c>
      <c r="S37" s="190">
        <v>157108.26999999999</v>
      </c>
      <c r="T37" s="190"/>
      <c r="U37" s="190"/>
      <c r="V37" s="190">
        <v>120054.56</v>
      </c>
      <c r="W37" s="190">
        <v>221353.36</v>
      </c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</row>
    <row r="38" spans="1:50" s="3" customFormat="1" ht="18" customHeight="1" thickBot="1" x14ac:dyDescent="0.35">
      <c r="A38" s="149" t="s">
        <v>32</v>
      </c>
      <c r="B38" s="135" t="s">
        <v>210</v>
      </c>
      <c r="C38" s="279">
        <v>161963</v>
      </c>
      <c r="D38" s="136"/>
      <c r="E38" s="187">
        <f t="shared" si="0"/>
        <v>161963</v>
      </c>
      <c r="F38" s="187">
        <f t="shared" si="1"/>
        <v>161963</v>
      </c>
      <c r="G38" s="187">
        <f t="shared" si="2"/>
        <v>0</v>
      </c>
      <c r="H38" s="190"/>
      <c r="I38" s="190"/>
      <c r="J38" s="190"/>
      <c r="K38" s="190"/>
      <c r="L38" s="190"/>
      <c r="M38" s="190">
        <v>78211</v>
      </c>
      <c r="N38" s="190"/>
      <c r="O38" s="190"/>
      <c r="P38" s="190"/>
      <c r="Q38" s="190"/>
      <c r="R38" s="190">
        <v>83752</v>
      </c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</row>
    <row r="39" spans="1:50" s="3" customFormat="1" ht="18" customHeight="1" thickBot="1" x14ac:dyDescent="0.35">
      <c r="A39" s="149" t="s">
        <v>33</v>
      </c>
      <c r="B39" s="135" t="s">
        <v>211</v>
      </c>
      <c r="C39" s="279">
        <v>147717</v>
      </c>
      <c r="D39" s="136"/>
      <c r="E39" s="187">
        <f t="shared" si="0"/>
        <v>147717</v>
      </c>
      <c r="F39" s="187">
        <f t="shared" si="1"/>
        <v>147717</v>
      </c>
      <c r="G39" s="187">
        <f t="shared" si="2"/>
        <v>0</v>
      </c>
      <c r="H39" s="190"/>
      <c r="I39" s="190"/>
      <c r="J39" s="190"/>
      <c r="K39" s="190"/>
      <c r="L39" s="190">
        <v>14770.3</v>
      </c>
      <c r="M39" s="190">
        <v>14789.3</v>
      </c>
      <c r="N39" s="190">
        <v>14789.3</v>
      </c>
      <c r="O39" s="190">
        <v>14789.3</v>
      </c>
      <c r="P39" s="190">
        <v>14789.3</v>
      </c>
      <c r="Q39" s="190">
        <v>29578.6</v>
      </c>
      <c r="R39" s="190">
        <v>14789.3</v>
      </c>
      <c r="S39" s="190">
        <v>14789.3</v>
      </c>
      <c r="T39" s="190">
        <v>14632.3</v>
      </c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</row>
    <row r="40" spans="1:50" s="3" customFormat="1" ht="18" customHeight="1" thickBot="1" x14ac:dyDescent="0.35">
      <c r="A40" s="149" t="s">
        <v>34</v>
      </c>
      <c r="B40" s="135" t="s">
        <v>212</v>
      </c>
      <c r="C40" s="279">
        <v>13491</v>
      </c>
      <c r="D40" s="136">
        <v>9025</v>
      </c>
      <c r="E40" s="187">
        <f>0</f>
        <v>0</v>
      </c>
      <c r="F40" s="187">
        <f t="shared" si="1"/>
        <v>0</v>
      </c>
      <c r="G40" s="187">
        <f t="shared" si="2"/>
        <v>0</v>
      </c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</row>
    <row r="41" spans="1:50" s="3" customFormat="1" ht="18" customHeight="1" thickBot="1" x14ac:dyDescent="0.35">
      <c r="A41" s="149" t="s">
        <v>35</v>
      </c>
      <c r="B41" s="135" t="s">
        <v>434</v>
      </c>
      <c r="C41" s="279">
        <v>49080</v>
      </c>
      <c r="D41" s="136">
        <v>9025</v>
      </c>
      <c r="E41" s="187">
        <f>0</f>
        <v>0</v>
      </c>
      <c r="F41" s="187">
        <f t="shared" si="1"/>
        <v>0</v>
      </c>
      <c r="G41" s="187">
        <f t="shared" si="2"/>
        <v>0</v>
      </c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</row>
    <row r="42" spans="1:50" s="3" customFormat="1" ht="18" customHeight="1" thickBot="1" x14ac:dyDescent="0.35">
      <c r="A42" s="149" t="s">
        <v>36</v>
      </c>
      <c r="B42" s="135" t="s">
        <v>435</v>
      </c>
      <c r="C42" s="279">
        <v>96540</v>
      </c>
      <c r="D42" s="136"/>
      <c r="E42" s="187">
        <f t="shared" si="0"/>
        <v>96540</v>
      </c>
      <c r="F42" s="187">
        <f t="shared" si="1"/>
        <v>96540</v>
      </c>
      <c r="G42" s="187">
        <f t="shared" si="2"/>
        <v>0</v>
      </c>
      <c r="H42" s="190"/>
      <c r="I42" s="190"/>
      <c r="J42" s="190"/>
      <c r="K42" s="190"/>
      <c r="L42" s="190"/>
      <c r="M42" s="190"/>
      <c r="N42" s="190"/>
      <c r="O42" s="190"/>
      <c r="P42" s="190">
        <v>39344</v>
      </c>
      <c r="Q42" s="190"/>
      <c r="R42" s="190"/>
      <c r="S42" s="190"/>
      <c r="T42" s="190"/>
      <c r="U42" s="190"/>
      <c r="V42" s="190"/>
      <c r="W42" s="190">
        <v>57196</v>
      </c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</row>
    <row r="43" spans="1:50" s="3" customFormat="1" ht="18" customHeight="1" thickBot="1" x14ac:dyDescent="0.35">
      <c r="A43" s="149" t="s">
        <v>37</v>
      </c>
      <c r="B43" s="135" t="s">
        <v>437</v>
      </c>
      <c r="C43" s="279">
        <v>297934</v>
      </c>
      <c r="D43" s="136"/>
      <c r="E43" s="187">
        <f t="shared" si="0"/>
        <v>297934</v>
      </c>
      <c r="F43" s="187">
        <f t="shared" si="1"/>
        <v>297934</v>
      </c>
      <c r="G43" s="187">
        <f t="shared" si="2"/>
        <v>0</v>
      </c>
      <c r="H43" s="190"/>
      <c r="I43" s="190"/>
      <c r="J43" s="190">
        <v>17720.91</v>
      </c>
      <c r="K43" s="190">
        <v>20421.900000000001</v>
      </c>
      <c r="L43" s="190"/>
      <c r="M43" s="190">
        <f>20842.02+20842.02</f>
        <v>41684.04</v>
      </c>
      <c r="N43" s="190">
        <v>20842.009999999998</v>
      </c>
      <c r="O43" s="190">
        <v>20842.02</v>
      </c>
      <c r="P43" s="190">
        <v>19421.02</v>
      </c>
      <c r="Q43" s="190">
        <v>20630.87</v>
      </c>
      <c r="R43" s="190">
        <v>20628.099999999999</v>
      </c>
      <c r="S43" s="190">
        <v>24341.83</v>
      </c>
      <c r="T43" s="190">
        <v>28867.25</v>
      </c>
      <c r="U43" s="190">
        <v>24346.23</v>
      </c>
      <c r="V43" s="190">
        <v>34829.58</v>
      </c>
      <c r="W43" s="190">
        <v>3358.24</v>
      </c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</row>
    <row r="44" spans="1:50" s="3" customFormat="1" ht="18" customHeight="1" thickBot="1" x14ac:dyDescent="0.35">
      <c r="A44" s="149" t="s">
        <v>38</v>
      </c>
      <c r="B44" s="135" t="s">
        <v>216</v>
      </c>
      <c r="C44" s="279">
        <v>74635</v>
      </c>
      <c r="D44" s="136"/>
      <c r="E44" s="187">
        <f t="shared" si="0"/>
        <v>74635</v>
      </c>
      <c r="F44" s="187">
        <f t="shared" si="1"/>
        <v>74635</v>
      </c>
      <c r="G44" s="187">
        <f t="shared" si="2"/>
        <v>0</v>
      </c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>
        <v>74019</v>
      </c>
      <c r="Y44" s="190"/>
      <c r="Z44" s="190"/>
      <c r="AA44" s="190"/>
      <c r="AB44" s="190"/>
      <c r="AC44" s="190">
        <f>119+497</f>
        <v>616</v>
      </c>
      <c r="AD44" s="190"/>
      <c r="AE44" s="190"/>
      <c r="AF44" s="190"/>
      <c r="AG44" s="190"/>
      <c r="AH44" s="190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</row>
    <row r="45" spans="1:50" s="3" customFormat="1" ht="18" customHeight="1" thickBot="1" x14ac:dyDescent="0.35">
      <c r="A45" s="149" t="s">
        <v>39</v>
      </c>
      <c r="B45" s="135" t="s">
        <v>439</v>
      </c>
      <c r="C45" s="279">
        <v>144710</v>
      </c>
      <c r="D45" s="136"/>
      <c r="E45" s="187">
        <f t="shared" si="0"/>
        <v>144710</v>
      </c>
      <c r="F45" s="187">
        <f t="shared" si="1"/>
        <v>144710</v>
      </c>
      <c r="G45" s="187">
        <f t="shared" si="2"/>
        <v>0</v>
      </c>
      <c r="H45" s="190"/>
      <c r="I45" s="190"/>
      <c r="J45" s="190"/>
      <c r="K45" s="190"/>
      <c r="L45" s="190"/>
      <c r="M45" s="190">
        <v>22207</v>
      </c>
      <c r="N45" s="190"/>
      <c r="O45" s="190">
        <f>6977.95+26227.92</f>
        <v>33205.869999999995</v>
      </c>
      <c r="P45" s="190"/>
      <c r="Q45" s="190">
        <v>8160.51</v>
      </c>
      <c r="R45" s="190">
        <v>10335.469999999999</v>
      </c>
      <c r="S45" s="285">
        <f>8342.69+8408.01</f>
        <v>16750.7</v>
      </c>
      <c r="T45" s="190">
        <v>9526.64</v>
      </c>
      <c r="U45" s="190">
        <v>16690.84</v>
      </c>
      <c r="V45" s="190">
        <v>181.02</v>
      </c>
      <c r="W45" s="190">
        <v>9489</v>
      </c>
      <c r="X45" s="190"/>
      <c r="Y45" s="190">
        <f>15508.32+2654.63</f>
        <v>18162.95</v>
      </c>
      <c r="Z45" s="190"/>
      <c r="AA45" s="190"/>
      <c r="AB45" s="190"/>
      <c r="AC45" s="190"/>
      <c r="AD45" s="190"/>
      <c r="AE45" s="190"/>
      <c r="AF45" s="190"/>
      <c r="AG45" s="190"/>
      <c r="AH45" s="190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</row>
    <row r="46" spans="1:50" s="3" customFormat="1" ht="18" customHeight="1" thickBot="1" x14ac:dyDescent="0.35">
      <c r="A46" s="149" t="s">
        <v>40</v>
      </c>
      <c r="B46" s="135" t="s">
        <v>218</v>
      </c>
      <c r="C46" s="279">
        <v>158545</v>
      </c>
      <c r="D46" s="136"/>
      <c r="E46" s="187">
        <f t="shared" si="0"/>
        <v>158545</v>
      </c>
      <c r="F46" s="187">
        <f t="shared" si="1"/>
        <v>158545</v>
      </c>
      <c r="G46" s="187">
        <f t="shared" si="2"/>
        <v>0</v>
      </c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>
        <v>158545</v>
      </c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</row>
    <row r="47" spans="1:50" s="3" customFormat="1" ht="18" customHeight="1" thickBot="1" x14ac:dyDescent="0.35">
      <c r="A47" s="149" t="s">
        <v>41</v>
      </c>
      <c r="B47" s="135" t="s">
        <v>219</v>
      </c>
      <c r="C47" s="279">
        <v>168940</v>
      </c>
      <c r="D47" s="136"/>
      <c r="E47" s="187">
        <f t="shared" si="0"/>
        <v>168940</v>
      </c>
      <c r="F47" s="187">
        <f t="shared" si="1"/>
        <v>168940</v>
      </c>
      <c r="G47" s="187">
        <f t="shared" si="2"/>
        <v>0</v>
      </c>
      <c r="H47" s="190"/>
      <c r="I47" s="190"/>
      <c r="J47" s="190"/>
      <c r="K47" s="190"/>
      <c r="L47" s="190">
        <v>46865.33</v>
      </c>
      <c r="M47" s="190"/>
      <c r="N47" s="190"/>
      <c r="O47" s="190"/>
      <c r="P47" s="190"/>
      <c r="Q47" s="190"/>
      <c r="R47" s="190">
        <v>70025</v>
      </c>
      <c r="S47" s="190">
        <v>52049.67</v>
      </c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</row>
    <row r="48" spans="1:50" s="3" customFormat="1" ht="18" customHeight="1" thickBot="1" x14ac:dyDescent="0.35">
      <c r="A48" s="149" t="s">
        <v>42</v>
      </c>
      <c r="B48" s="135" t="s">
        <v>441</v>
      </c>
      <c r="C48" s="279">
        <v>233027</v>
      </c>
      <c r="D48" s="136"/>
      <c r="E48" s="187">
        <f t="shared" si="0"/>
        <v>233027</v>
      </c>
      <c r="F48" s="187">
        <f t="shared" si="1"/>
        <v>233027</v>
      </c>
      <c r="G48" s="187">
        <f t="shared" si="2"/>
        <v>0</v>
      </c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>
        <v>200847.79</v>
      </c>
      <c r="Y48" s="190"/>
      <c r="Z48" s="190"/>
      <c r="AA48" s="190"/>
      <c r="AB48" s="190"/>
      <c r="AC48" s="190"/>
      <c r="AD48" s="190"/>
      <c r="AE48" s="190">
        <v>32179.21</v>
      </c>
      <c r="AF48" s="190"/>
      <c r="AG48" s="190"/>
      <c r="AH48" s="190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</row>
    <row r="49" spans="1:50" s="3" customFormat="1" ht="18" customHeight="1" thickBot="1" x14ac:dyDescent="0.35">
      <c r="A49" s="149" t="s">
        <v>43</v>
      </c>
      <c r="B49" s="135" t="s">
        <v>443</v>
      </c>
      <c r="C49" s="279">
        <v>120871</v>
      </c>
      <c r="D49" s="136"/>
      <c r="E49" s="187">
        <f t="shared" si="0"/>
        <v>120871</v>
      </c>
      <c r="F49" s="187">
        <f t="shared" si="1"/>
        <v>120871</v>
      </c>
      <c r="G49" s="187">
        <f t="shared" si="2"/>
        <v>0</v>
      </c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>
        <v>120871</v>
      </c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</row>
    <row r="50" spans="1:50" s="3" customFormat="1" ht="18" customHeight="1" thickBot="1" x14ac:dyDescent="0.35">
      <c r="A50" s="149" t="s">
        <v>44</v>
      </c>
      <c r="B50" s="135" t="s">
        <v>222</v>
      </c>
      <c r="C50" s="279">
        <v>976308</v>
      </c>
      <c r="D50" s="136"/>
      <c r="E50" s="187">
        <f t="shared" si="0"/>
        <v>976308</v>
      </c>
      <c r="F50" s="187">
        <f t="shared" si="1"/>
        <v>976308</v>
      </c>
      <c r="G50" s="187">
        <f t="shared" si="2"/>
        <v>0</v>
      </c>
      <c r="H50" s="190"/>
      <c r="I50" s="190"/>
      <c r="J50" s="190"/>
      <c r="K50" s="190"/>
      <c r="L50" s="190"/>
      <c r="M50" s="190"/>
      <c r="N50" s="190"/>
      <c r="O50" s="190"/>
      <c r="P50" s="190"/>
      <c r="Q50" s="190">
        <v>661916.06999999995</v>
      </c>
      <c r="R50" s="190">
        <v>79029.759999999995</v>
      </c>
      <c r="S50" s="190">
        <v>1410.79</v>
      </c>
      <c r="T50" s="190"/>
      <c r="U50" s="190">
        <v>152714.65</v>
      </c>
      <c r="V50" s="190">
        <v>3598.95</v>
      </c>
      <c r="W50" s="190"/>
      <c r="X50" s="190">
        <v>77637.78</v>
      </c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</row>
    <row r="51" spans="1:50" s="3" customFormat="1" ht="18" customHeight="1" thickBot="1" x14ac:dyDescent="0.35">
      <c r="A51" s="149" t="s">
        <v>45</v>
      </c>
      <c r="B51" s="135" t="s">
        <v>223</v>
      </c>
      <c r="C51" s="279">
        <v>28379747</v>
      </c>
      <c r="D51" s="136"/>
      <c r="E51" s="187">
        <f t="shared" si="0"/>
        <v>28379747</v>
      </c>
      <c r="F51" s="187">
        <f t="shared" si="1"/>
        <v>28379747.000000004</v>
      </c>
      <c r="G51" s="187">
        <f t="shared" si="2"/>
        <v>0</v>
      </c>
      <c r="H51" s="190"/>
      <c r="I51" s="190"/>
      <c r="J51" s="190"/>
      <c r="K51" s="190"/>
      <c r="L51" s="190"/>
      <c r="M51" s="190"/>
      <c r="N51" s="190">
        <v>4097792.65</v>
      </c>
      <c r="O51" s="190">
        <v>1450104.01</v>
      </c>
      <c r="P51" s="190"/>
      <c r="Q51" s="190">
        <v>7898854.46</v>
      </c>
      <c r="R51" s="190"/>
      <c r="S51" s="190">
        <v>2649030.56</v>
      </c>
      <c r="T51" s="190">
        <v>2757234.22</v>
      </c>
      <c r="U51" s="190"/>
      <c r="V51" s="190"/>
      <c r="W51" s="190"/>
      <c r="X51" s="190">
        <v>7414091.2800000003</v>
      </c>
      <c r="Y51" s="190"/>
      <c r="Z51" s="190"/>
      <c r="AA51" s="190"/>
      <c r="AB51" s="190"/>
      <c r="AC51" s="190">
        <v>2112639.8199999998</v>
      </c>
      <c r="AD51" s="190"/>
      <c r="AE51" s="190"/>
      <c r="AF51" s="190"/>
      <c r="AG51" s="190"/>
      <c r="AH51" s="190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</row>
    <row r="52" spans="1:50" s="3" customFormat="1" ht="18" customHeight="1" thickBot="1" x14ac:dyDescent="0.35">
      <c r="A52" s="149" t="s">
        <v>46</v>
      </c>
      <c r="B52" s="135" t="s">
        <v>603</v>
      </c>
      <c r="C52" s="279">
        <v>49922</v>
      </c>
      <c r="D52" s="136"/>
      <c r="E52" s="187">
        <f t="shared" si="0"/>
        <v>49922</v>
      </c>
      <c r="F52" s="187">
        <f t="shared" si="1"/>
        <v>49922</v>
      </c>
      <c r="G52" s="187">
        <f t="shared" si="2"/>
        <v>0</v>
      </c>
      <c r="H52" s="190"/>
      <c r="I52" s="190"/>
      <c r="J52" s="190"/>
      <c r="K52" s="190"/>
      <c r="L52" s="190"/>
      <c r="M52" s="190"/>
      <c r="N52" s="190"/>
      <c r="O52" s="190">
        <v>33069</v>
      </c>
      <c r="P52" s="190"/>
      <c r="Q52" s="190"/>
      <c r="R52" s="190">
        <v>12428</v>
      </c>
      <c r="S52" s="190">
        <v>4425</v>
      </c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</row>
    <row r="53" spans="1:50" s="3" customFormat="1" ht="18" customHeight="1" thickBot="1" x14ac:dyDescent="0.35">
      <c r="A53" s="149" t="s">
        <v>47</v>
      </c>
      <c r="B53" s="135" t="s">
        <v>449</v>
      </c>
      <c r="C53" s="279">
        <v>1585588</v>
      </c>
      <c r="D53" s="136"/>
      <c r="E53" s="187">
        <f t="shared" si="0"/>
        <v>1585588</v>
      </c>
      <c r="F53" s="187">
        <f t="shared" si="1"/>
        <v>1585588</v>
      </c>
      <c r="G53" s="187">
        <f t="shared" si="2"/>
        <v>0</v>
      </c>
      <c r="H53" s="190"/>
      <c r="I53" s="190"/>
      <c r="J53" s="190"/>
      <c r="K53" s="190">
        <v>294490.5</v>
      </c>
      <c r="L53" s="190"/>
      <c r="M53" s="190">
        <v>117276.02</v>
      </c>
      <c r="N53" s="190">
        <v>155933.29</v>
      </c>
      <c r="O53" s="190">
        <f>79924.09+125552.8</f>
        <v>205476.89</v>
      </c>
      <c r="P53" s="190">
        <v>122202.6</v>
      </c>
      <c r="Q53" s="190">
        <v>164906.57999999999</v>
      </c>
      <c r="R53" s="190">
        <v>90588.18</v>
      </c>
      <c r="S53" s="190">
        <v>127313.22</v>
      </c>
      <c r="T53" s="190">
        <v>162918.91</v>
      </c>
      <c r="U53" s="190"/>
      <c r="V53" s="190">
        <v>22438.93</v>
      </c>
      <c r="W53" s="190"/>
      <c r="X53" s="190">
        <v>122042.88</v>
      </c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</row>
    <row r="54" spans="1:50" s="3" customFormat="1" ht="18" customHeight="1" thickBot="1" x14ac:dyDescent="0.35">
      <c r="A54" s="149" t="s">
        <v>48</v>
      </c>
      <c r="B54" s="135" t="s">
        <v>226</v>
      </c>
      <c r="C54" s="279">
        <v>604876</v>
      </c>
      <c r="D54" s="136"/>
      <c r="E54" s="187">
        <f t="shared" si="0"/>
        <v>604876</v>
      </c>
      <c r="F54" s="187">
        <f t="shared" si="1"/>
        <v>604876</v>
      </c>
      <c r="G54" s="187">
        <f t="shared" si="2"/>
        <v>0</v>
      </c>
      <c r="H54" s="190"/>
      <c r="I54" s="190"/>
      <c r="J54" s="190"/>
      <c r="K54" s="190"/>
      <c r="L54" s="190"/>
      <c r="M54" s="190"/>
      <c r="N54" s="190">
        <f>81670.48+87314.81+66052.64</f>
        <v>235037.93</v>
      </c>
      <c r="O54" s="190"/>
      <c r="P54" s="190"/>
      <c r="Q54" s="190">
        <v>162950.12</v>
      </c>
      <c r="R54" s="190">
        <v>82485.47</v>
      </c>
      <c r="S54" s="190">
        <v>124402.48</v>
      </c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</row>
    <row r="55" spans="1:50" s="3" customFormat="1" ht="18" customHeight="1" thickBot="1" x14ac:dyDescent="0.35">
      <c r="A55" s="149" t="s">
        <v>49</v>
      </c>
      <c r="B55" s="135" t="s">
        <v>227</v>
      </c>
      <c r="C55" s="279">
        <v>148106</v>
      </c>
      <c r="D55" s="136"/>
      <c r="E55" s="187">
        <f t="shared" si="0"/>
        <v>148106</v>
      </c>
      <c r="F55" s="187">
        <f t="shared" si="1"/>
        <v>148106.00000000003</v>
      </c>
      <c r="G55" s="187">
        <f t="shared" si="2"/>
        <v>0</v>
      </c>
      <c r="H55" s="190"/>
      <c r="I55" s="190"/>
      <c r="J55" s="190"/>
      <c r="K55" s="190"/>
      <c r="L55" s="190"/>
      <c r="M55" s="190"/>
      <c r="N55" s="190"/>
      <c r="O55" s="190">
        <v>57690.59</v>
      </c>
      <c r="P55" s="190"/>
      <c r="Q55" s="190"/>
      <c r="R55" s="190"/>
      <c r="S55" s="190">
        <f>37878.44+11987.08</f>
        <v>49865.520000000004</v>
      </c>
      <c r="T55" s="190"/>
      <c r="U55" s="190">
        <v>34876.22</v>
      </c>
      <c r="V55" s="190"/>
      <c r="W55" s="190"/>
      <c r="X55" s="190"/>
      <c r="Y55" s="190"/>
      <c r="Z55" s="190"/>
      <c r="AA55" s="190">
        <v>5673.67</v>
      </c>
      <c r="AB55" s="190"/>
      <c r="AC55" s="190"/>
      <c r="AD55" s="190"/>
      <c r="AE55" s="190"/>
      <c r="AF55" s="190"/>
      <c r="AG55" s="190"/>
      <c r="AH55" s="190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</row>
    <row r="56" spans="1:50" s="3" customFormat="1" ht="18" customHeight="1" thickBot="1" x14ac:dyDescent="0.35">
      <c r="A56" s="149" t="s">
        <v>50</v>
      </c>
      <c r="B56" s="135" t="s">
        <v>228</v>
      </c>
      <c r="C56" s="279">
        <v>31610</v>
      </c>
      <c r="D56" s="136">
        <v>9025</v>
      </c>
      <c r="E56" s="187">
        <f>0</f>
        <v>0</v>
      </c>
      <c r="F56" s="187">
        <f t="shared" si="1"/>
        <v>0</v>
      </c>
      <c r="G56" s="187">
        <f t="shared" si="2"/>
        <v>0</v>
      </c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</row>
    <row r="57" spans="1:50" s="3" customFormat="1" ht="18" customHeight="1" thickBot="1" x14ac:dyDescent="0.35">
      <c r="A57" s="149" t="s">
        <v>51</v>
      </c>
      <c r="B57" s="135" t="s">
        <v>229</v>
      </c>
      <c r="C57" s="279">
        <v>35998</v>
      </c>
      <c r="D57" s="136"/>
      <c r="E57" s="187">
        <f t="shared" si="0"/>
        <v>35998</v>
      </c>
      <c r="F57" s="187">
        <f t="shared" si="1"/>
        <v>35998</v>
      </c>
      <c r="G57" s="187">
        <f t="shared" si="2"/>
        <v>0</v>
      </c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>
        <v>35998</v>
      </c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</row>
    <row r="58" spans="1:50" s="3" customFormat="1" ht="18" customHeight="1" thickBot="1" x14ac:dyDescent="0.35">
      <c r="A58" s="149" t="s">
        <v>52</v>
      </c>
      <c r="B58" s="135" t="s">
        <v>230</v>
      </c>
      <c r="C58" s="279">
        <v>21581</v>
      </c>
      <c r="D58" s="136"/>
      <c r="E58" s="187">
        <f t="shared" si="0"/>
        <v>21581</v>
      </c>
      <c r="F58" s="187">
        <f t="shared" si="1"/>
        <v>21581</v>
      </c>
      <c r="G58" s="187">
        <f t="shared" si="2"/>
        <v>0</v>
      </c>
      <c r="H58" s="190"/>
      <c r="I58" s="190"/>
      <c r="J58" s="190"/>
      <c r="K58" s="190"/>
      <c r="L58" s="190"/>
      <c r="M58" s="190"/>
      <c r="N58" s="190"/>
      <c r="O58" s="190"/>
      <c r="P58" s="190">
        <v>10911</v>
      </c>
      <c r="Q58" s="190"/>
      <c r="R58" s="190">
        <v>5461</v>
      </c>
      <c r="S58" s="190">
        <v>5209</v>
      </c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</row>
    <row r="59" spans="1:50" s="3" customFormat="1" ht="18" customHeight="1" thickBot="1" x14ac:dyDescent="0.35">
      <c r="A59" s="149" t="s">
        <v>53</v>
      </c>
      <c r="B59" s="135" t="s">
        <v>231</v>
      </c>
      <c r="C59" s="279">
        <v>9440</v>
      </c>
      <c r="D59" s="136">
        <v>9025</v>
      </c>
      <c r="E59" s="187">
        <f>0</f>
        <v>0</v>
      </c>
      <c r="F59" s="187">
        <f t="shared" si="1"/>
        <v>0</v>
      </c>
      <c r="G59" s="187">
        <f t="shared" si="2"/>
        <v>0</v>
      </c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</row>
    <row r="60" spans="1:50" s="3" customFormat="1" ht="18" customHeight="1" thickBot="1" x14ac:dyDescent="0.35">
      <c r="A60" s="149" t="s">
        <v>54</v>
      </c>
      <c r="B60" s="135" t="s">
        <v>232</v>
      </c>
      <c r="C60" s="279">
        <v>85733</v>
      </c>
      <c r="D60" s="136"/>
      <c r="E60" s="187">
        <f t="shared" si="0"/>
        <v>85733</v>
      </c>
      <c r="F60" s="187">
        <f t="shared" si="1"/>
        <v>85733</v>
      </c>
      <c r="G60" s="187">
        <f t="shared" si="2"/>
        <v>0</v>
      </c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>
        <v>57752.68</v>
      </c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1">
        <v>27980.32</v>
      </c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</row>
    <row r="61" spans="1:50" s="3" customFormat="1" ht="18" customHeight="1" thickBot="1" x14ac:dyDescent="0.35">
      <c r="A61" s="149" t="s">
        <v>55</v>
      </c>
      <c r="B61" s="135" t="s">
        <v>233</v>
      </c>
      <c r="C61" s="279">
        <v>4178516</v>
      </c>
      <c r="D61" s="136"/>
      <c r="E61" s="187">
        <f t="shared" si="0"/>
        <v>4178516</v>
      </c>
      <c r="F61" s="187">
        <f t="shared" si="1"/>
        <v>4178516.0000000005</v>
      </c>
      <c r="G61" s="187">
        <f t="shared" si="2"/>
        <v>0</v>
      </c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>
        <f>299062.63+1622805.34</f>
        <v>1921867.9700000002</v>
      </c>
      <c r="S61" s="190">
        <v>534873.76</v>
      </c>
      <c r="T61" s="190"/>
      <c r="U61" s="190"/>
      <c r="V61" s="190"/>
      <c r="W61" s="190"/>
      <c r="X61" s="190"/>
      <c r="Y61" s="190"/>
      <c r="Z61" s="190"/>
      <c r="AA61" s="190"/>
      <c r="AB61" s="190">
        <v>1721774.27</v>
      </c>
      <c r="AC61" s="190"/>
      <c r="AD61" s="190"/>
      <c r="AE61" s="190"/>
      <c r="AF61" s="190"/>
      <c r="AG61" s="190"/>
      <c r="AH61" s="190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</row>
    <row r="62" spans="1:50" s="3" customFormat="1" ht="18" customHeight="1" thickBot="1" x14ac:dyDescent="0.35">
      <c r="A62" s="149" t="s">
        <v>56</v>
      </c>
      <c r="B62" s="135" t="s">
        <v>234</v>
      </c>
      <c r="C62" s="279">
        <v>1513088</v>
      </c>
      <c r="D62" s="136"/>
      <c r="E62" s="187">
        <f t="shared" si="0"/>
        <v>1513088</v>
      </c>
      <c r="F62" s="187">
        <f t="shared" si="1"/>
        <v>1513088</v>
      </c>
      <c r="G62" s="187">
        <f t="shared" si="2"/>
        <v>0</v>
      </c>
      <c r="H62" s="190"/>
      <c r="I62" s="190"/>
      <c r="J62" s="190"/>
      <c r="K62" s="190"/>
      <c r="L62" s="190">
        <v>280960.58</v>
      </c>
      <c r="M62" s="190"/>
      <c r="N62" s="190"/>
      <c r="O62" s="190">
        <v>240346.91</v>
      </c>
      <c r="P62" s="190">
        <v>242020.79</v>
      </c>
      <c r="Q62" s="190">
        <v>120926.16</v>
      </c>
      <c r="R62" s="190">
        <v>119697.38</v>
      </c>
      <c r="S62" s="190">
        <v>137394.26999999999</v>
      </c>
      <c r="T62" s="190"/>
      <c r="U62" s="190"/>
      <c r="V62" s="190"/>
      <c r="W62" s="190">
        <v>271441.68</v>
      </c>
      <c r="X62" s="190"/>
      <c r="Y62" s="190">
        <v>100300.23</v>
      </c>
      <c r="Z62" s="190"/>
      <c r="AA62" s="190"/>
      <c r="AB62" s="190"/>
      <c r="AC62" s="190"/>
      <c r="AD62" s="190"/>
      <c r="AE62" s="190"/>
      <c r="AF62" s="190"/>
      <c r="AG62" s="190"/>
      <c r="AH62" s="190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</row>
    <row r="63" spans="1:50" s="3" customFormat="1" ht="18" customHeight="1" thickBot="1" x14ac:dyDescent="0.35">
      <c r="A63" s="149" t="s">
        <v>57</v>
      </c>
      <c r="B63" s="135" t="s">
        <v>235</v>
      </c>
      <c r="C63" s="279">
        <v>1346314</v>
      </c>
      <c r="D63" s="136"/>
      <c r="E63" s="187">
        <f t="shared" si="0"/>
        <v>1346314</v>
      </c>
      <c r="F63" s="187">
        <f t="shared" si="1"/>
        <v>1346314</v>
      </c>
      <c r="G63" s="187">
        <f t="shared" si="2"/>
        <v>0</v>
      </c>
      <c r="H63" s="190"/>
      <c r="I63" s="190"/>
      <c r="J63" s="190"/>
      <c r="K63" s="190">
        <v>284194.12</v>
      </c>
      <c r="L63" s="190"/>
      <c r="M63" s="190">
        <f>118185.16+395028.29</f>
        <v>513213.44999999995</v>
      </c>
      <c r="N63" s="190">
        <v>227411.05</v>
      </c>
      <c r="O63" s="190">
        <v>321495.38</v>
      </c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</row>
    <row r="64" spans="1:50" s="3" customFormat="1" ht="18" customHeight="1" thickBot="1" x14ac:dyDescent="0.35">
      <c r="A64" s="149" t="s">
        <v>58</v>
      </c>
      <c r="B64" s="135" t="s">
        <v>236</v>
      </c>
      <c r="C64" s="279">
        <v>7342998</v>
      </c>
      <c r="D64" s="136"/>
      <c r="E64" s="187">
        <f t="shared" si="0"/>
        <v>7342998</v>
      </c>
      <c r="F64" s="187">
        <f t="shared" si="1"/>
        <v>7342997.9999999991</v>
      </c>
      <c r="G64" s="187">
        <f t="shared" si="2"/>
        <v>0</v>
      </c>
      <c r="H64" s="190"/>
      <c r="I64" s="190"/>
      <c r="J64" s="190"/>
      <c r="K64" s="190"/>
      <c r="L64" s="190"/>
      <c r="M64" s="190"/>
      <c r="N64" s="190">
        <f>514992.57+684445</f>
        <v>1199437.57</v>
      </c>
      <c r="O64" s="190">
        <f>836996.96+475185.05</f>
        <v>1312182.01</v>
      </c>
      <c r="P64" s="190">
        <v>594265.31999999995</v>
      </c>
      <c r="Q64" s="190">
        <v>655088.89</v>
      </c>
      <c r="R64" s="190">
        <v>615512.31000000006</v>
      </c>
      <c r="S64" s="190">
        <v>645596.97</v>
      </c>
      <c r="T64" s="190"/>
      <c r="U64" s="190">
        <v>119057.14</v>
      </c>
      <c r="V64" s="190">
        <v>626320.9</v>
      </c>
      <c r="W64" s="190"/>
      <c r="X64" s="190">
        <v>1575536.89</v>
      </c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</row>
    <row r="65" spans="1:50" s="3" customFormat="1" ht="18" customHeight="1" thickBot="1" x14ac:dyDescent="0.35">
      <c r="A65" s="149" t="s">
        <v>59</v>
      </c>
      <c r="B65" s="135" t="s">
        <v>237</v>
      </c>
      <c r="C65" s="279">
        <v>264621</v>
      </c>
      <c r="D65" s="136"/>
      <c r="E65" s="187">
        <f t="shared" si="0"/>
        <v>264621</v>
      </c>
      <c r="F65" s="187">
        <f t="shared" si="1"/>
        <v>264621</v>
      </c>
      <c r="G65" s="187">
        <f t="shared" si="2"/>
        <v>0</v>
      </c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>
        <v>165921</v>
      </c>
      <c r="T65" s="190"/>
      <c r="U65" s="190"/>
      <c r="V65" s="190"/>
      <c r="W65" s="190">
        <v>52112.54</v>
      </c>
      <c r="X65" s="190"/>
      <c r="Y65" s="190"/>
      <c r="Z65" s="190"/>
      <c r="AA65" s="190"/>
      <c r="AB65" s="190"/>
      <c r="AC65" s="190">
        <v>46587.46</v>
      </c>
      <c r="AD65" s="190"/>
      <c r="AE65" s="190"/>
      <c r="AF65" s="190"/>
      <c r="AG65" s="190"/>
      <c r="AH65" s="190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</row>
    <row r="66" spans="1:50" s="3" customFormat="1" ht="18" customHeight="1" thickBot="1" x14ac:dyDescent="0.35">
      <c r="A66" s="149" t="s">
        <v>60</v>
      </c>
      <c r="B66" s="135" t="s">
        <v>238</v>
      </c>
      <c r="C66" s="279">
        <v>154081</v>
      </c>
      <c r="D66" s="136"/>
      <c r="E66" s="187">
        <f t="shared" si="0"/>
        <v>154081</v>
      </c>
      <c r="F66" s="187">
        <f t="shared" si="1"/>
        <v>154081</v>
      </c>
      <c r="G66" s="187">
        <f t="shared" si="2"/>
        <v>0</v>
      </c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>
        <v>117090</v>
      </c>
      <c r="S66" s="190">
        <v>36991</v>
      </c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</row>
    <row r="67" spans="1:50" s="3" customFormat="1" ht="18" customHeight="1" thickBot="1" x14ac:dyDescent="0.35">
      <c r="A67" s="149" t="s">
        <v>61</v>
      </c>
      <c r="B67" s="135" t="s">
        <v>239</v>
      </c>
      <c r="C67" s="279">
        <v>1067829</v>
      </c>
      <c r="D67" s="136"/>
      <c r="E67" s="187">
        <f t="shared" si="0"/>
        <v>1067829</v>
      </c>
      <c r="F67" s="187">
        <f t="shared" si="1"/>
        <v>1067829</v>
      </c>
      <c r="G67" s="187">
        <f t="shared" si="2"/>
        <v>0</v>
      </c>
      <c r="H67" s="190"/>
      <c r="I67" s="190"/>
      <c r="J67" s="190"/>
      <c r="K67" s="190"/>
      <c r="L67" s="190"/>
      <c r="M67" s="190"/>
      <c r="N67" s="190"/>
      <c r="O67" s="190">
        <v>414992.19</v>
      </c>
      <c r="P67" s="190"/>
      <c r="Q67" s="190"/>
      <c r="R67" s="190">
        <v>181040.49</v>
      </c>
      <c r="S67" s="190"/>
      <c r="T67" s="190">
        <v>178884.88</v>
      </c>
      <c r="U67" s="190">
        <v>79435.14</v>
      </c>
      <c r="V67" s="190"/>
      <c r="W67" s="190">
        <v>72958.3</v>
      </c>
      <c r="X67" s="190"/>
      <c r="Y67" s="190">
        <v>140518</v>
      </c>
      <c r="Z67" s="190"/>
      <c r="AA67" s="190"/>
      <c r="AB67" s="190"/>
      <c r="AC67" s="190"/>
      <c r="AD67" s="190"/>
      <c r="AE67" s="190"/>
      <c r="AF67" s="190"/>
      <c r="AG67" s="190"/>
      <c r="AH67" s="190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</row>
    <row r="68" spans="1:50" s="3" customFormat="1" ht="18" customHeight="1" thickBot="1" x14ac:dyDescent="0.35">
      <c r="A68" s="149" t="s">
        <v>62</v>
      </c>
      <c r="B68" s="135" t="s">
        <v>240</v>
      </c>
      <c r="C68" s="279">
        <v>178374</v>
      </c>
      <c r="D68" s="136"/>
      <c r="E68" s="187">
        <f t="shared" si="0"/>
        <v>178374</v>
      </c>
      <c r="F68" s="187">
        <f t="shared" si="1"/>
        <v>178374</v>
      </c>
      <c r="G68" s="187">
        <f t="shared" si="2"/>
        <v>0</v>
      </c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>
        <v>178374</v>
      </c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</row>
    <row r="69" spans="1:50" s="3" customFormat="1" ht="18" customHeight="1" thickBot="1" x14ac:dyDescent="0.35">
      <c r="A69" s="149" t="s">
        <v>63</v>
      </c>
      <c r="B69" s="135" t="s">
        <v>456</v>
      </c>
      <c r="C69" s="279">
        <v>76056</v>
      </c>
      <c r="D69" s="136"/>
      <c r="E69" s="187">
        <f t="shared" si="0"/>
        <v>76056</v>
      </c>
      <c r="F69" s="187">
        <f t="shared" si="1"/>
        <v>76056</v>
      </c>
      <c r="G69" s="187">
        <f t="shared" si="2"/>
        <v>0</v>
      </c>
      <c r="H69" s="190"/>
      <c r="I69" s="190"/>
      <c r="J69" s="190"/>
      <c r="K69" s="190"/>
      <c r="L69" s="190"/>
      <c r="M69" s="190"/>
      <c r="N69" s="190">
        <v>48615</v>
      </c>
      <c r="O69" s="190"/>
      <c r="P69" s="190"/>
      <c r="Q69" s="190"/>
      <c r="R69" s="190">
        <v>27441</v>
      </c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</row>
    <row r="70" spans="1:50" s="3" customFormat="1" ht="18" customHeight="1" thickBot="1" x14ac:dyDescent="0.35">
      <c r="A70" s="149" t="s">
        <v>64</v>
      </c>
      <c r="B70" s="135" t="s">
        <v>242</v>
      </c>
      <c r="C70" s="279">
        <v>53746</v>
      </c>
      <c r="D70" s="136"/>
      <c r="E70" s="187">
        <f t="shared" si="0"/>
        <v>53746</v>
      </c>
      <c r="F70" s="187">
        <f t="shared" si="1"/>
        <v>53746</v>
      </c>
      <c r="G70" s="187">
        <f t="shared" si="2"/>
        <v>0</v>
      </c>
      <c r="H70" s="190"/>
      <c r="I70" s="190"/>
      <c r="J70" s="190"/>
      <c r="K70" s="190"/>
      <c r="L70" s="190"/>
      <c r="M70" s="190"/>
      <c r="N70" s="190"/>
      <c r="O70" s="190">
        <v>53746</v>
      </c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</row>
    <row r="71" spans="1:50" s="3" customFormat="1" ht="16.899999999999999" customHeight="1" thickBot="1" x14ac:dyDescent="0.35">
      <c r="A71" s="149" t="s">
        <v>65</v>
      </c>
      <c r="B71" s="135" t="s">
        <v>243</v>
      </c>
      <c r="C71" s="279">
        <v>359975</v>
      </c>
      <c r="D71" s="136"/>
      <c r="E71" s="187">
        <f t="shared" si="0"/>
        <v>359975</v>
      </c>
      <c r="F71" s="187">
        <f t="shared" si="1"/>
        <v>359975</v>
      </c>
      <c r="G71" s="187">
        <f t="shared" si="2"/>
        <v>0</v>
      </c>
      <c r="H71" s="190"/>
      <c r="I71" s="190"/>
      <c r="J71" s="190"/>
      <c r="K71" s="190"/>
      <c r="L71" s="190"/>
      <c r="M71" s="190"/>
      <c r="N71" s="190"/>
      <c r="O71" s="190">
        <v>23250.18</v>
      </c>
      <c r="P71" s="190"/>
      <c r="Q71" s="190"/>
      <c r="R71" s="190">
        <v>82382.759999999995</v>
      </c>
      <c r="S71" s="190">
        <v>27515.599999999999</v>
      </c>
      <c r="T71" s="190">
        <v>30588.07</v>
      </c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>
        <v>196238.39</v>
      </c>
      <c r="AF71" s="190"/>
      <c r="AG71" s="190"/>
      <c r="AH71" s="190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</row>
    <row r="72" spans="1:50" s="3" customFormat="1" ht="18" customHeight="1" thickBot="1" x14ac:dyDescent="0.35">
      <c r="A72" s="149" t="s">
        <v>66</v>
      </c>
      <c r="B72" s="135" t="s">
        <v>244</v>
      </c>
      <c r="C72" s="279">
        <v>1591005</v>
      </c>
      <c r="D72" s="136"/>
      <c r="E72" s="187">
        <f t="shared" si="0"/>
        <v>1591005</v>
      </c>
      <c r="F72" s="187">
        <f t="shared" si="1"/>
        <v>1591005</v>
      </c>
      <c r="G72" s="187">
        <f t="shared" si="2"/>
        <v>0</v>
      </c>
      <c r="H72" s="190"/>
      <c r="I72" s="190"/>
      <c r="J72" s="190"/>
      <c r="K72" s="190"/>
      <c r="L72" s="190"/>
      <c r="M72" s="190"/>
      <c r="N72" s="190"/>
      <c r="O72" s="190"/>
      <c r="P72" s="190"/>
      <c r="Q72" s="190">
        <v>320346</v>
      </c>
      <c r="R72" s="190"/>
      <c r="S72" s="190">
        <v>278448</v>
      </c>
      <c r="T72" s="190"/>
      <c r="U72" s="190"/>
      <c r="V72" s="190">
        <f>880942-556286</f>
        <v>324656</v>
      </c>
      <c r="W72" s="190"/>
      <c r="X72" s="190"/>
      <c r="Y72" s="190">
        <v>380008</v>
      </c>
      <c r="Z72" s="190"/>
      <c r="AA72" s="190"/>
      <c r="AB72" s="190">
        <v>287547</v>
      </c>
      <c r="AC72" s="190"/>
      <c r="AD72" s="190"/>
      <c r="AE72" s="190"/>
      <c r="AF72" s="190"/>
      <c r="AG72" s="190"/>
      <c r="AH72" s="190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</row>
    <row r="73" spans="1:50" s="3" customFormat="1" ht="18" customHeight="1" thickBot="1" x14ac:dyDescent="0.35">
      <c r="A73" s="149" t="s">
        <v>67</v>
      </c>
      <c r="B73" s="135" t="s">
        <v>457</v>
      </c>
      <c r="C73" s="279">
        <v>20502</v>
      </c>
      <c r="D73" s="136"/>
      <c r="E73" s="187">
        <f t="shared" si="0"/>
        <v>20502</v>
      </c>
      <c r="F73" s="187">
        <f t="shared" si="1"/>
        <v>20502</v>
      </c>
      <c r="G73" s="187">
        <f t="shared" si="2"/>
        <v>0</v>
      </c>
      <c r="H73" s="190"/>
      <c r="I73" s="190"/>
      <c r="J73" s="190"/>
      <c r="K73" s="190"/>
      <c r="L73" s="190"/>
      <c r="M73" s="190"/>
      <c r="N73" s="190">
        <v>6825.32</v>
      </c>
      <c r="O73" s="190"/>
      <c r="P73" s="190">
        <v>3412.67</v>
      </c>
      <c r="Q73" s="190"/>
      <c r="R73" s="190">
        <v>10264.01</v>
      </c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</row>
    <row r="74" spans="1:50" s="3" customFormat="1" ht="18" customHeight="1" thickBot="1" x14ac:dyDescent="0.35">
      <c r="A74" s="149" t="s">
        <v>68</v>
      </c>
      <c r="B74" s="135" t="s">
        <v>604</v>
      </c>
      <c r="C74" s="279">
        <v>103323</v>
      </c>
      <c r="D74" s="136"/>
      <c r="E74" s="187">
        <f t="shared" si="0"/>
        <v>103323</v>
      </c>
      <c r="F74" s="187">
        <f t="shared" si="1"/>
        <v>103323</v>
      </c>
      <c r="G74" s="187">
        <f t="shared" si="2"/>
        <v>0</v>
      </c>
      <c r="H74" s="190"/>
      <c r="I74" s="190"/>
      <c r="J74" s="190"/>
      <c r="K74" s="190">
        <v>26284</v>
      </c>
      <c r="L74" s="190"/>
      <c r="M74" s="190"/>
      <c r="N74" s="190"/>
      <c r="O74" s="190">
        <v>30335.67</v>
      </c>
      <c r="P74" s="190"/>
      <c r="Q74" s="190">
        <v>46703</v>
      </c>
      <c r="R74" s="190"/>
      <c r="S74" s="190"/>
      <c r="T74" s="190"/>
      <c r="U74" s="190"/>
      <c r="V74" s="190"/>
      <c r="W74" s="190"/>
      <c r="X74" s="190">
        <v>0.33</v>
      </c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</row>
    <row r="75" spans="1:50" s="3" customFormat="1" ht="18" customHeight="1" thickBot="1" x14ac:dyDescent="0.35">
      <c r="A75" s="149" t="s">
        <v>69</v>
      </c>
      <c r="B75" s="135" t="s">
        <v>459</v>
      </c>
      <c r="C75" s="279">
        <v>907150</v>
      </c>
      <c r="D75" s="136"/>
      <c r="E75" s="187">
        <f t="shared" si="0"/>
        <v>907150</v>
      </c>
      <c r="F75" s="187">
        <f t="shared" si="1"/>
        <v>907150</v>
      </c>
      <c r="G75" s="187">
        <f t="shared" si="2"/>
        <v>0</v>
      </c>
      <c r="H75" s="190"/>
      <c r="I75" s="190"/>
      <c r="J75" s="190"/>
      <c r="K75" s="190"/>
      <c r="L75" s="190"/>
      <c r="M75" s="190"/>
      <c r="N75" s="190"/>
      <c r="O75" s="190"/>
      <c r="P75" s="190">
        <v>431400</v>
      </c>
      <c r="Q75" s="190">
        <v>65957</v>
      </c>
      <c r="R75" s="190"/>
      <c r="S75" s="190">
        <v>140974</v>
      </c>
      <c r="T75" s="190">
        <v>197005</v>
      </c>
      <c r="U75" s="190">
        <v>2241</v>
      </c>
      <c r="V75" s="190"/>
      <c r="W75" s="190"/>
      <c r="X75" s="190">
        <v>69573</v>
      </c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</row>
    <row r="76" spans="1:50" s="3" customFormat="1" ht="18" customHeight="1" thickBot="1" x14ac:dyDescent="0.35">
      <c r="A76" s="149" t="s">
        <v>70</v>
      </c>
      <c r="B76" s="135" t="s">
        <v>461</v>
      </c>
      <c r="C76" s="279">
        <v>350077</v>
      </c>
      <c r="D76" s="136"/>
      <c r="E76" s="187">
        <f t="shared" si="0"/>
        <v>350077</v>
      </c>
      <c r="F76" s="187">
        <f t="shared" si="1"/>
        <v>350077</v>
      </c>
      <c r="G76" s="187">
        <f t="shared" si="2"/>
        <v>0</v>
      </c>
      <c r="H76" s="190"/>
      <c r="I76" s="190"/>
      <c r="J76" s="190"/>
      <c r="K76" s="190">
        <f>3326.86+22660.23</f>
        <v>25987.09</v>
      </c>
      <c r="L76" s="190"/>
      <c r="M76" s="190">
        <v>46603.81</v>
      </c>
      <c r="N76" s="190"/>
      <c r="O76" s="190">
        <v>57128.82</v>
      </c>
      <c r="P76" s="190"/>
      <c r="Q76" s="273">
        <v>46627.17</v>
      </c>
      <c r="R76" s="190"/>
      <c r="S76" s="190"/>
      <c r="T76" s="190">
        <v>80920.649999999994</v>
      </c>
      <c r="U76" s="190"/>
      <c r="V76" s="190">
        <v>39388.44</v>
      </c>
      <c r="W76" s="190">
        <v>5004.82</v>
      </c>
      <c r="X76" s="190"/>
      <c r="Y76" s="190">
        <f>39388.44+9027.76</f>
        <v>48416.200000000004</v>
      </c>
      <c r="Z76" s="190"/>
      <c r="AA76" s="190"/>
      <c r="AB76" s="190"/>
      <c r="AC76" s="190"/>
      <c r="AD76" s="190"/>
      <c r="AE76" s="190"/>
      <c r="AF76" s="190"/>
      <c r="AG76" s="190"/>
      <c r="AH76" s="190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</row>
    <row r="77" spans="1:50" s="3" customFormat="1" ht="18" customHeight="1" thickBot="1" x14ac:dyDescent="0.35">
      <c r="A77" s="149" t="s">
        <v>71</v>
      </c>
      <c r="B77" s="135" t="s">
        <v>462</v>
      </c>
      <c r="C77" s="279">
        <v>57615</v>
      </c>
      <c r="D77" s="136"/>
      <c r="E77" s="187">
        <f t="shared" ref="E77:E140" si="3">C77</f>
        <v>57615</v>
      </c>
      <c r="F77" s="187">
        <f t="shared" ref="F77:F140" si="4">SUM(H77:AT77)</f>
        <v>57615</v>
      </c>
      <c r="G77" s="187">
        <f t="shared" si="2"/>
        <v>0</v>
      </c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>
        <v>57615</v>
      </c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1"/>
      <c r="AW77" s="191"/>
      <c r="AX77" s="191"/>
    </row>
    <row r="78" spans="1:50" s="3" customFormat="1" ht="18" customHeight="1" thickBot="1" x14ac:dyDescent="0.35">
      <c r="A78" s="149" t="s">
        <v>72</v>
      </c>
      <c r="B78" s="135" t="s">
        <v>463</v>
      </c>
      <c r="C78" s="279">
        <v>508284</v>
      </c>
      <c r="D78" s="136"/>
      <c r="E78" s="187">
        <f t="shared" si="3"/>
        <v>508284</v>
      </c>
      <c r="F78" s="187">
        <f t="shared" si="4"/>
        <v>508284</v>
      </c>
      <c r="G78" s="187">
        <f t="shared" ref="G78:G141" si="5">E78-(F78+AW78+AX78)</f>
        <v>0</v>
      </c>
      <c r="H78" s="190"/>
      <c r="I78" s="190"/>
      <c r="J78" s="190"/>
      <c r="K78" s="190"/>
      <c r="L78" s="190"/>
      <c r="M78" s="190"/>
      <c r="N78" s="190"/>
      <c r="O78" s="190">
        <v>184237</v>
      </c>
      <c r="P78" s="190"/>
      <c r="Q78" s="192"/>
      <c r="R78" s="190"/>
      <c r="S78" s="190">
        <v>243289.91</v>
      </c>
      <c r="T78" s="190"/>
      <c r="U78" s="190"/>
      <c r="V78" s="190"/>
      <c r="W78" s="190"/>
      <c r="X78" s="190">
        <v>80757.09</v>
      </c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</row>
    <row r="79" spans="1:50" s="3" customFormat="1" ht="18" customHeight="1" thickBot="1" x14ac:dyDescent="0.35">
      <c r="A79" s="149" t="s">
        <v>73</v>
      </c>
      <c r="B79" s="135" t="s">
        <v>465</v>
      </c>
      <c r="C79" s="279">
        <v>611825</v>
      </c>
      <c r="D79" s="136"/>
      <c r="E79" s="187">
        <f t="shared" si="3"/>
        <v>611825</v>
      </c>
      <c r="F79" s="187">
        <f t="shared" si="4"/>
        <v>611825</v>
      </c>
      <c r="G79" s="187">
        <f t="shared" si="5"/>
        <v>0</v>
      </c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>
        <f>360732.08+9192</f>
        <v>369924.08</v>
      </c>
      <c r="T79" s="190"/>
      <c r="U79" s="190"/>
      <c r="V79" s="190"/>
      <c r="W79" s="190">
        <v>89323.21</v>
      </c>
      <c r="X79" s="190"/>
      <c r="Y79" s="190"/>
      <c r="Z79" s="190"/>
      <c r="AA79" s="190"/>
      <c r="AB79" s="190"/>
      <c r="AC79" s="190">
        <v>152577.71</v>
      </c>
      <c r="AD79" s="190"/>
      <c r="AE79" s="190"/>
      <c r="AF79" s="190"/>
      <c r="AG79" s="190"/>
      <c r="AH79" s="190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</row>
    <row r="80" spans="1:50" s="3" customFormat="1" ht="18" customHeight="1" thickBot="1" x14ac:dyDescent="0.35">
      <c r="A80" s="149" t="s">
        <v>74</v>
      </c>
      <c r="B80" s="135" t="s">
        <v>252</v>
      </c>
      <c r="C80" s="279">
        <v>161614</v>
      </c>
      <c r="D80" s="136"/>
      <c r="E80" s="187">
        <f t="shared" si="3"/>
        <v>161614</v>
      </c>
      <c r="F80" s="187">
        <f t="shared" si="4"/>
        <v>161614</v>
      </c>
      <c r="G80" s="187">
        <f t="shared" si="5"/>
        <v>0</v>
      </c>
      <c r="H80" s="190"/>
      <c r="I80" s="190"/>
      <c r="J80" s="190"/>
      <c r="K80" s="190"/>
      <c r="L80" s="190"/>
      <c r="M80" s="190"/>
      <c r="N80" s="190"/>
      <c r="O80" s="190"/>
      <c r="P80" s="190"/>
      <c r="Q80" s="190">
        <v>58960.35</v>
      </c>
      <c r="R80" s="190"/>
      <c r="S80" s="190">
        <v>66880.179999999993</v>
      </c>
      <c r="T80" s="190"/>
      <c r="U80" s="190"/>
      <c r="V80" s="190"/>
      <c r="W80" s="190"/>
      <c r="X80" s="190">
        <v>33773.47</v>
      </c>
      <c r="Y80" s="190"/>
      <c r="Z80" s="190"/>
      <c r="AA80" s="190">
        <v>2000</v>
      </c>
      <c r="AB80" s="190"/>
      <c r="AC80" s="190"/>
      <c r="AD80" s="190"/>
      <c r="AE80" s="190"/>
      <c r="AF80" s="190"/>
      <c r="AG80" s="190"/>
      <c r="AH80" s="190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  <c r="AX80" s="191"/>
    </row>
    <row r="81" spans="1:50" s="3" customFormat="1" ht="18" customHeight="1" thickBot="1" x14ac:dyDescent="0.35">
      <c r="A81" s="149" t="s">
        <v>75</v>
      </c>
      <c r="B81" s="135" t="s">
        <v>466</v>
      </c>
      <c r="C81" s="279">
        <v>22087</v>
      </c>
      <c r="D81" s="136"/>
      <c r="E81" s="187">
        <f t="shared" si="3"/>
        <v>22087</v>
      </c>
      <c r="F81" s="187">
        <f t="shared" si="4"/>
        <v>22087</v>
      </c>
      <c r="G81" s="187">
        <f t="shared" si="5"/>
        <v>0</v>
      </c>
      <c r="H81" s="190"/>
      <c r="I81" s="190"/>
      <c r="J81" s="190"/>
      <c r="K81" s="190"/>
      <c r="L81" s="190"/>
      <c r="M81" s="190"/>
      <c r="N81" s="190"/>
      <c r="O81" s="190"/>
      <c r="P81" s="190">
        <v>7854</v>
      </c>
      <c r="Q81" s="190"/>
      <c r="R81" s="190">
        <v>7179</v>
      </c>
      <c r="S81" s="190"/>
      <c r="T81" s="190"/>
      <c r="U81" s="190">
        <v>4606</v>
      </c>
      <c r="V81" s="190"/>
      <c r="W81" s="190">
        <v>2448</v>
      </c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1"/>
      <c r="AV81" s="191"/>
      <c r="AW81" s="191"/>
      <c r="AX81" s="191"/>
    </row>
    <row r="82" spans="1:50" s="3" customFormat="1" ht="18" customHeight="1" thickBot="1" x14ac:dyDescent="0.35">
      <c r="A82" s="149" t="s">
        <v>76</v>
      </c>
      <c r="B82" s="135" t="s">
        <v>468</v>
      </c>
      <c r="C82" s="279">
        <v>75301</v>
      </c>
      <c r="D82" s="136"/>
      <c r="E82" s="187">
        <f t="shared" si="3"/>
        <v>75301</v>
      </c>
      <c r="F82" s="187">
        <f t="shared" si="4"/>
        <v>75301</v>
      </c>
      <c r="G82" s="187">
        <f t="shared" si="5"/>
        <v>0</v>
      </c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>
        <v>75301</v>
      </c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191"/>
      <c r="AU82" s="191"/>
      <c r="AV82" s="191"/>
      <c r="AW82" s="191"/>
      <c r="AX82" s="191"/>
    </row>
    <row r="83" spans="1:50" s="3" customFormat="1" ht="18" customHeight="1" thickBot="1" x14ac:dyDescent="0.35">
      <c r="A83" s="149" t="s">
        <v>77</v>
      </c>
      <c r="B83" s="135" t="s">
        <v>255</v>
      </c>
      <c r="C83" s="279">
        <v>116633</v>
      </c>
      <c r="D83" s="136"/>
      <c r="E83" s="187">
        <f t="shared" si="3"/>
        <v>116633</v>
      </c>
      <c r="F83" s="187">
        <f t="shared" si="4"/>
        <v>116633.00000000001</v>
      </c>
      <c r="G83" s="187">
        <f t="shared" si="5"/>
        <v>0</v>
      </c>
      <c r="H83" s="190"/>
      <c r="I83" s="190"/>
      <c r="J83" s="190"/>
      <c r="K83" s="190"/>
      <c r="L83" s="190"/>
      <c r="M83" s="190">
        <v>32641.200000000001</v>
      </c>
      <c r="N83" s="190"/>
      <c r="O83" s="190">
        <v>44337.96</v>
      </c>
      <c r="P83" s="190"/>
      <c r="Q83" s="190">
        <v>29172.6</v>
      </c>
      <c r="R83" s="190"/>
      <c r="S83" s="190">
        <v>10481.24</v>
      </c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  <c r="AV83" s="191"/>
      <c r="AW83" s="191"/>
      <c r="AX83" s="191"/>
    </row>
    <row r="84" spans="1:50" s="3" customFormat="1" ht="18" customHeight="1" thickBot="1" x14ac:dyDescent="0.35">
      <c r="A84" s="149" t="s">
        <v>78</v>
      </c>
      <c r="B84" s="135" t="s">
        <v>256</v>
      </c>
      <c r="C84" s="279">
        <v>228620</v>
      </c>
      <c r="D84" s="136"/>
      <c r="E84" s="187">
        <f t="shared" si="3"/>
        <v>228620</v>
      </c>
      <c r="F84" s="187">
        <f t="shared" si="4"/>
        <v>228620</v>
      </c>
      <c r="G84" s="187">
        <f t="shared" si="5"/>
        <v>0</v>
      </c>
      <c r="H84" s="190"/>
      <c r="I84" s="190"/>
      <c r="J84" s="190"/>
      <c r="K84" s="190"/>
      <c r="L84" s="190"/>
      <c r="M84" s="190">
        <v>20043</v>
      </c>
      <c r="N84" s="190"/>
      <c r="O84" s="190">
        <v>62686.2</v>
      </c>
      <c r="P84" s="190"/>
      <c r="Q84" s="190"/>
      <c r="R84" s="190">
        <v>60126.080000000002</v>
      </c>
      <c r="S84" s="190">
        <v>40093.050000000003</v>
      </c>
      <c r="T84" s="190"/>
      <c r="U84" s="190">
        <v>45671.67</v>
      </c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/>
      <c r="AX84" s="191"/>
    </row>
    <row r="85" spans="1:50" s="3" customFormat="1" ht="18" customHeight="1" thickBot="1" x14ac:dyDescent="0.35">
      <c r="A85" s="149" t="s">
        <v>79</v>
      </c>
      <c r="B85" s="135" t="s">
        <v>257</v>
      </c>
      <c r="C85" s="279">
        <v>23131</v>
      </c>
      <c r="D85" s="136"/>
      <c r="E85" s="187">
        <f t="shared" si="3"/>
        <v>23131</v>
      </c>
      <c r="F85" s="187">
        <f t="shared" si="4"/>
        <v>23131</v>
      </c>
      <c r="G85" s="187">
        <f t="shared" si="5"/>
        <v>0</v>
      </c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>
        <v>23128</v>
      </c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>
        <v>3</v>
      </c>
      <c r="AE85" s="190"/>
      <c r="AF85" s="190"/>
      <c r="AG85" s="190"/>
      <c r="AH85" s="190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</row>
    <row r="86" spans="1:50" s="3" customFormat="1" ht="18" customHeight="1" thickBot="1" x14ac:dyDescent="0.35">
      <c r="A86" s="149" t="s">
        <v>80</v>
      </c>
      <c r="B86" s="135" t="s">
        <v>474</v>
      </c>
      <c r="C86" s="279">
        <v>262218</v>
      </c>
      <c r="D86" s="136"/>
      <c r="E86" s="187">
        <f t="shared" si="3"/>
        <v>262218</v>
      </c>
      <c r="F86" s="187">
        <f t="shared" si="4"/>
        <v>262218.00000000006</v>
      </c>
      <c r="G86" s="187">
        <f t="shared" si="5"/>
        <v>0</v>
      </c>
      <c r="H86" s="190"/>
      <c r="I86" s="190"/>
      <c r="J86" s="190"/>
      <c r="K86" s="190"/>
      <c r="L86" s="190"/>
      <c r="M86" s="190">
        <f>26655.91+35490.68</f>
        <v>62146.59</v>
      </c>
      <c r="N86" s="190">
        <v>20956.3</v>
      </c>
      <c r="O86" s="190">
        <v>26920.77</v>
      </c>
      <c r="P86" s="190">
        <v>13110.58</v>
      </c>
      <c r="Q86" s="190">
        <v>13200.71</v>
      </c>
      <c r="R86" s="190">
        <v>37617.01</v>
      </c>
      <c r="S86" s="190">
        <v>17676.34</v>
      </c>
      <c r="T86" s="190">
        <v>28069.29</v>
      </c>
      <c r="U86" s="190">
        <v>16095.89</v>
      </c>
      <c r="V86" s="190"/>
      <c r="W86" s="190">
        <v>20025.39</v>
      </c>
      <c r="X86" s="190">
        <v>6399.13</v>
      </c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  <c r="AX86" s="191"/>
    </row>
    <row r="87" spans="1:50" s="3" customFormat="1" ht="18" customHeight="1" thickBot="1" x14ac:dyDescent="0.35">
      <c r="A87" s="149" t="s">
        <v>81</v>
      </c>
      <c r="B87" s="135" t="s">
        <v>476</v>
      </c>
      <c r="C87" s="279">
        <v>107971</v>
      </c>
      <c r="D87" s="136"/>
      <c r="E87" s="187">
        <f t="shared" si="3"/>
        <v>107971</v>
      </c>
      <c r="F87" s="187">
        <f t="shared" si="4"/>
        <v>107971</v>
      </c>
      <c r="G87" s="187">
        <f t="shared" si="5"/>
        <v>0</v>
      </c>
      <c r="H87" s="190"/>
      <c r="I87" s="190"/>
      <c r="J87" s="190"/>
      <c r="K87" s="190">
        <v>13384</v>
      </c>
      <c r="L87" s="190">
        <v>8959</v>
      </c>
      <c r="M87" s="190">
        <v>9728</v>
      </c>
      <c r="N87" s="190">
        <v>8922</v>
      </c>
      <c r="O87" s="190">
        <v>8923</v>
      </c>
      <c r="P87" s="190">
        <v>9051</v>
      </c>
      <c r="Q87" s="190">
        <v>9035</v>
      </c>
      <c r="R87" s="190">
        <v>9035</v>
      </c>
      <c r="S87" s="190">
        <v>16233</v>
      </c>
      <c r="T87" s="190"/>
      <c r="U87" s="190">
        <v>10828</v>
      </c>
      <c r="V87" s="190"/>
      <c r="W87" s="190">
        <v>3873</v>
      </c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</row>
    <row r="88" spans="1:50" s="3" customFormat="1" ht="18" customHeight="1" thickBot="1" x14ac:dyDescent="0.35">
      <c r="A88" s="149" t="s">
        <v>82</v>
      </c>
      <c r="B88" s="135" t="s">
        <v>260</v>
      </c>
      <c r="C88" s="279">
        <v>39857</v>
      </c>
      <c r="D88" s="136"/>
      <c r="E88" s="187">
        <f t="shared" si="3"/>
        <v>39857</v>
      </c>
      <c r="F88" s="187">
        <f t="shared" si="4"/>
        <v>39857</v>
      </c>
      <c r="G88" s="187">
        <f t="shared" si="5"/>
        <v>0</v>
      </c>
      <c r="H88" s="190"/>
      <c r="I88" s="190"/>
      <c r="J88" s="190"/>
      <c r="K88" s="190"/>
      <c r="L88" s="190"/>
      <c r="M88" s="190"/>
      <c r="N88" s="190"/>
      <c r="O88" s="190"/>
      <c r="P88" s="192"/>
      <c r="Q88" s="190"/>
      <c r="R88" s="190"/>
      <c r="S88" s="190"/>
      <c r="T88" s="190"/>
      <c r="U88" s="190"/>
      <c r="V88" s="190"/>
      <c r="W88" s="190"/>
      <c r="X88" s="190"/>
      <c r="Y88" s="190">
        <v>39852</v>
      </c>
      <c r="Z88" s="190"/>
      <c r="AA88" s="190"/>
      <c r="AB88" s="190"/>
      <c r="AC88" s="190"/>
      <c r="AD88" s="190"/>
      <c r="AE88" s="190"/>
      <c r="AF88" s="190"/>
      <c r="AG88" s="190"/>
      <c r="AH88" s="190"/>
      <c r="AI88" s="191">
        <v>5</v>
      </c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</row>
    <row r="89" spans="1:50" s="3" customFormat="1" ht="18" customHeight="1" thickBot="1" x14ac:dyDescent="0.35">
      <c r="A89" s="149" t="s">
        <v>83</v>
      </c>
      <c r="B89" s="135" t="s">
        <v>261</v>
      </c>
      <c r="C89" s="279">
        <v>8717115</v>
      </c>
      <c r="D89" s="136"/>
      <c r="E89" s="187">
        <f t="shared" si="3"/>
        <v>8717115</v>
      </c>
      <c r="F89" s="187">
        <f t="shared" si="4"/>
        <v>8717115</v>
      </c>
      <c r="G89" s="187">
        <f t="shared" si="5"/>
        <v>0</v>
      </c>
      <c r="H89" s="190"/>
      <c r="I89" s="190"/>
      <c r="J89" s="190"/>
      <c r="K89" s="190"/>
      <c r="L89" s="190"/>
      <c r="M89" s="190">
        <v>2119870.84</v>
      </c>
      <c r="N89" s="190"/>
      <c r="O89" s="190">
        <v>1277904.21</v>
      </c>
      <c r="P89" s="190">
        <v>772608.51</v>
      </c>
      <c r="Q89" s="190">
        <v>787122.82</v>
      </c>
      <c r="R89" s="190">
        <v>782959.08</v>
      </c>
      <c r="S89" s="224">
        <v>784015.53</v>
      </c>
      <c r="T89" s="190">
        <v>691044.97</v>
      </c>
      <c r="U89" s="190"/>
      <c r="V89" s="190">
        <v>920215.49</v>
      </c>
      <c r="W89" s="190"/>
      <c r="X89" s="190"/>
      <c r="Y89" s="190"/>
      <c r="Z89" s="190">
        <v>581373.55000000005</v>
      </c>
      <c r="AA89" s="190"/>
      <c r="AB89" s="190"/>
      <c r="AC89" s="190"/>
      <c r="AD89" s="190"/>
      <c r="AE89" s="190"/>
      <c r="AF89" s="190"/>
      <c r="AG89" s="190"/>
      <c r="AH89" s="190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  <c r="AX89" s="191"/>
    </row>
    <row r="90" spans="1:50" s="3" customFormat="1" ht="18" customHeight="1" thickBot="1" x14ac:dyDescent="0.35">
      <c r="A90" s="149" t="s">
        <v>84</v>
      </c>
      <c r="B90" s="135" t="s">
        <v>479</v>
      </c>
      <c r="C90" s="279">
        <v>28449</v>
      </c>
      <c r="D90" s="136"/>
      <c r="E90" s="187">
        <f t="shared" si="3"/>
        <v>28449</v>
      </c>
      <c r="F90" s="187">
        <f t="shared" si="4"/>
        <v>28449</v>
      </c>
      <c r="G90" s="187">
        <f t="shared" si="5"/>
        <v>0</v>
      </c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>
        <v>28449</v>
      </c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</row>
    <row r="91" spans="1:50" s="3" customFormat="1" ht="18" customHeight="1" thickBot="1" x14ac:dyDescent="0.35">
      <c r="A91" s="149" t="s">
        <v>85</v>
      </c>
      <c r="B91" s="135" t="s">
        <v>481</v>
      </c>
      <c r="C91" s="279">
        <v>19394</v>
      </c>
      <c r="D91" s="136"/>
      <c r="E91" s="187">
        <f t="shared" si="3"/>
        <v>19394</v>
      </c>
      <c r="F91" s="187">
        <f t="shared" si="4"/>
        <v>19394</v>
      </c>
      <c r="G91" s="187">
        <f t="shared" si="5"/>
        <v>0</v>
      </c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>
        <v>19394</v>
      </c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</row>
    <row r="92" spans="1:50" s="3" customFormat="1" ht="18" customHeight="1" thickBot="1" x14ac:dyDescent="0.35">
      <c r="A92" s="149" t="s">
        <v>86</v>
      </c>
      <c r="B92" s="135" t="s">
        <v>264</v>
      </c>
      <c r="C92" s="279">
        <v>31116</v>
      </c>
      <c r="D92" s="136">
        <v>9025</v>
      </c>
      <c r="E92" s="187">
        <v>0</v>
      </c>
      <c r="F92" s="187">
        <f t="shared" si="4"/>
        <v>0</v>
      </c>
      <c r="G92" s="187">
        <f t="shared" si="5"/>
        <v>0</v>
      </c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</row>
    <row r="93" spans="1:50" s="3" customFormat="1" ht="18" customHeight="1" thickBot="1" x14ac:dyDescent="0.35">
      <c r="A93" s="149" t="s">
        <v>87</v>
      </c>
      <c r="B93" s="135" t="s">
        <v>265</v>
      </c>
      <c r="C93" s="279">
        <v>19112</v>
      </c>
      <c r="D93" s="136">
        <v>9025</v>
      </c>
      <c r="E93" s="187">
        <v>0</v>
      </c>
      <c r="F93" s="187">
        <f t="shared" si="4"/>
        <v>0</v>
      </c>
      <c r="G93" s="187">
        <f t="shared" si="5"/>
        <v>0</v>
      </c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1"/>
      <c r="AJ93" s="191"/>
      <c r="AK93" s="191"/>
      <c r="AL93" s="191"/>
      <c r="AM93" s="191"/>
      <c r="AN93" s="191"/>
      <c r="AO93" s="191"/>
      <c r="AP93" s="191"/>
      <c r="AQ93" s="191"/>
      <c r="AR93" s="191"/>
      <c r="AS93" s="191"/>
      <c r="AT93" s="191"/>
      <c r="AU93" s="191"/>
      <c r="AV93" s="191"/>
      <c r="AW93" s="191"/>
      <c r="AX93" s="191"/>
    </row>
    <row r="94" spans="1:50" s="3" customFormat="1" ht="18" customHeight="1" thickBot="1" x14ac:dyDescent="0.35">
      <c r="A94" s="149" t="s">
        <v>88</v>
      </c>
      <c r="B94" s="135" t="s">
        <v>266</v>
      </c>
      <c r="C94" s="279">
        <v>39835</v>
      </c>
      <c r="D94" s="136">
        <v>9025</v>
      </c>
      <c r="E94" s="187">
        <v>0</v>
      </c>
      <c r="F94" s="187">
        <f t="shared" si="4"/>
        <v>0</v>
      </c>
      <c r="G94" s="187">
        <f t="shared" si="5"/>
        <v>0</v>
      </c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</row>
    <row r="95" spans="1:50" s="3" customFormat="1" ht="18" customHeight="1" thickBot="1" x14ac:dyDescent="0.35">
      <c r="A95" s="149" t="s">
        <v>89</v>
      </c>
      <c r="B95" s="135" t="s">
        <v>267</v>
      </c>
      <c r="C95" s="279">
        <v>18312</v>
      </c>
      <c r="D95" s="136">
        <v>9025</v>
      </c>
      <c r="E95" s="187">
        <v>0</v>
      </c>
      <c r="F95" s="187">
        <f t="shared" si="4"/>
        <v>0</v>
      </c>
      <c r="G95" s="187">
        <f t="shared" si="5"/>
        <v>0</v>
      </c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1"/>
      <c r="AJ95" s="191"/>
      <c r="AK95" s="191"/>
      <c r="AL95" s="191"/>
      <c r="AM95" s="191"/>
      <c r="AN95" s="191"/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</row>
    <row r="96" spans="1:50" s="3" customFormat="1" ht="18" customHeight="1" thickBot="1" x14ac:dyDescent="0.35">
      <c r="A96" s="149" t="s">
        <v>90</v>
      </c>
      <c r="B96" s="135" t="s">
        <v>483</v>
      </c>
      <c r="C96" s="279">
        <v>160971</v>
      </c>
      <c r="D96" s="136">
        <v>9025</v>
      </c>
      <c r="E96" s="187">
        <v>0</v>
      </c>
      <c r="F96" s="187">
        <f t="shared" si="4"/>
        <v>0</v>
      </c>
      <c r="G96" s="187">
        <f t="shared" si="5"/>
        <v>0</v>
      </c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  <c r="AX96" s="191"/>
    </row>
    <row r="97" spans="1:50" s="3" customFormat="1" ht="18" customHeight="1" thickBot="1" x14ac:dyDescent="0.35">
      <c r="A97" s="149" t="s">
        <v>91</v>
      </c>
      <c r="B97" s="135" t="s">
        <v>269</v>
      </c>
      <c r="C97" s="279">
        <v>234903</v>
      </c>
      <c r="D97" s="136"/>
      <c r="E97" s="187">
        <f t="shared" si="3"/>
        <v>234903</v>
      </c>
      <c r="F97" s="187">
        <f t="shared" si="4"/>
        <v>234903</v>
      </c>
      <c r="G97" s="187">
        <f t="shared" si="5"/>
        <v>0</v>
      </c>
      <c r="H97" s="190"/>
      <c r="I97" s="190"/>
      <c r="J97" s="190"/>
      <c r="K97" s="190"/>
      <c r="L97" s="190"/>
      <c r="M97" s="190">
        <v>47630</v>
      </c>
      <c r="N97" s="190"/>
      <c r="O97" s="190"/>
      <c r="P97" s="190">
        <v>46968</v>
      </c>
      <c r="Q97" s="190"/>
      <c r="R97" s="190">
        <v>44796</v>
      </c>
      <c r="S97" s="190">
        <f>19232+64270</f>
        <v>83502</v>
      </c>
      <c r="T97" s="190"/>
      <c r="U97" s="190"/>
      <c r="V97" s="190">
        <v>12007</v>
      </c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</row>
    <row r="98" spans="1:50" s="3" customFormat="1" ht="18" customHeight="1" thickBot="1" x14ac:dyDescent="0.35">
      <c r="A98" s="149" t="s">
        <v>92</v>
      </c>
      <c r="B98" s="135" t="s">
        <v>270</v>
      </c>
      <c r="C98" s="279">
        <v>542602</v>
      </c>
      <c r="D98" s="136"/>
      <c r="E98" s="187">
        <f t="shared" si="3"/>
        <v>542602</v>
      </c>
      <c r="F98" s="187">
        <f t="shared" si="4"/>
        <v>542602</v>
      </c>
      <c r="G98" s="187">
        <f t="shared" si="5"/>
        <v>0</v>
      </c>
      <c r="H98" s="190"/>
      <c r="I98" s="190"/>
      <c r="J98" s="190"/>
      <c r="K98" s="190">
        <v>14507.84</v>
      </c>
      <c r="L98" s="190">
        <v>37687.339999999997</v>
      </c>
      <c r="M98" s="190"/>
      <c r="N98" s="190"/>
      <c r="O98" s="190"/>
      <c r="P98" s="190"/>
      <c r="Q98" s="190">
        <v>155042.78</v>
      </c>
      <c r="R98" s="190"/>
      <c r="S98" s="190"/>
      <c r="T98" s="190"/>
      <c r="U98" s="190">
        <v>179526.37</v>
      </c>
      <c r="V98" s="190"/>
      <c r="W98" s="190">
        <v>155837.67000000001</v>
      </c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  <c r="AS98" s="191"/>
      <c r="AT98" s="191"/>
      <c r="AU98" s="191"/>
      <c r="AV98" s="191"/>
      <c r="AW98" s="191"/>
      <c r="AX98" s="191"/>
    </row>
    <row r="99" spans="1:50" s="3" customFormat="1" ht="18" customHeight="1" thickBot="1" x14ac:dyDescent="0.35">
      <c r="A99" s="149" t="s">
        <v>93</v>
      </c>
      <c r="B99" s="135" t="s">
        <v>271</v>
      </c>
      <c r="C99" s="279">
        <v>99972</v>
      </c>
      <c r="D99" s="136"/>
      <c r="E99" s="187">
        <f t="shared" si="3"/>
        <v>99972</v>
      </c>
      <c r="F99" s="187">
        <f t="shared" si="4"/>
        <v>99972</v>
      </c>
      <c r="G99" s="187">
        <f t="shared" si="5"/>
        <v>0</v>
      </c>
      <c r="H99" s="190"/>
      <c r="I99" s="190"/>
      <c r="J99" s="190"/>
      <c r="K99" s="190"/>
      <c r="L99" s="190"/>
      <c r="M99" s="190"/>
      <c r="N99" s="190"/>
      <c r="O99" s="190"/>
      <c r="P99" s="190">
        <v>57195</v>
      </c>
      <c r="Q99" s="190"/>
      <c r="R99" s="190"/>
      <c r="S99" s="190">
        <v>25000</v>
      </c>
      <c r="T99" s="190"/>
      <c r="U99" s="190"/>
      <c r="V99" s="190">
        <v>17777</v>
      </c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</row>
    <row r="100" spans="1:50" s="3" customFormat="1" ht="18" customHeight="1" thickBot="1" x14ac:dyDescent="0.35">
      <c r="A100" s="149" t="s">
        <v>94</v>
      </c>
      <c r="B100" s="135" t="s">
        <v>487</v>
      </c>
      <c r="C100" s="279">
        <v>114290</v>
      </c>
      <c r="D100" s="136"/>
      <c r="E100" s="187">
        <f t="shared" si="3"/>
        <v>114290</v>
      </c>
      <c r="F100" s="187">
        <f t="shared" si="4"/>
        <v>114290</v>
      </c>
      <c r="G100" s="187">
        <f t="shared" si="5"/>
        <v>0</v>
      </c>
      <c r="H100" s="190"/>
      <c r="I100" s="190"/>
      <c r="J100" s="190"/>
      <c r="K100" s="190"/>
      <c r="L100" s="190"/>
      <c r="M100" s="190">
        <v>47597</v>
      </c>
      <c r="N100" s="190"/>
      <c r="O100" s="190"/>
      <c r="P100" s="190"/>
      <c r="Q100" s="190">
        <v>35795</v>
      </c>
      <c r="R100" s="190"/>
      <c r="S100" s="190">
        <v>30898</v>
      </c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  <c r="AW100" s="191"/>
      <c r="AX100" s="191"/>
    </row>
    <row r="101" spans="1:50" s="3" customFormat="1" ht="18" customHeight="1" thickBot="1" x14ac:dyDescent="0.35">
      <c r="A101" s="149" t="s">
        <v>95</v>
      </c>
      <c r="B101" s="135" t="s">
        <v>273</v>
      </c>
      <c r="C101" s="279">
        <v>2676857</v>
      </c>
      <c r="D101" s="136"/>
      <c r="E101" s="187">
        <f t="shared" si="3"/>
        <v>2676857</v>
      </c>
      <c r="F101" s="187">
        <f t="shared" si="4"/>
        <v>2676856.9999999995</v>
      </c>
      <c r="G101" s="187">
        <f t="shared" si="5"/>
        <v>0</v>
      </c>
      <c r="H101" s="190"/>
      <c r="I101" s="190"/>
      <c r="J101" s="190"/>
      <c r="K101" s="190"/>
      <c r="L101" s="190"/>
      <c r="M101" s="190"/>
      <c r="N101" s="190"/>
      <c r="O101" s="190">
        <v>204343.94</v>
      </c>
      <c r="P101" s="190"/>
      <c r="Q101" s="190"/>
      <c r="R101" s="190">
        <v>527838.57999999996</v>
      </c>
      <c r="S101" s="190">
        <v>336683.99</v>
      </c>
      <c r="T101" s="190"/>
      <c r="U101" s="190">
        <v>186321.9</v>
      </c>
      <c r="V101" s="190"/>
      <c r="W101" s="190"/>
      <c r="X101" s="190">
        <f>276217.59+398240.1</f>
        <v>674457.69</v>
      </c>
      <c r="Y101" s="190"/>
      <c r="Z101" s="190"/>
      <c r="AA101" s="190">
        <v>554623.32999999996</v>
      </c>
      <c r="AB101" s="190"/>
      <c r="AC101" s="190"/>
      <c r="AD101" s="190">
        <v>192587.57</v>
      </c>
      <c r="AE101" s="190"/>
      <c r="AF101" s="190"/>
      <c r="AG101" s="190"/>
      <c r="AH101" s="190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1"/>
      <c r="AW101" s="191"/>
      <c r="AX101" s="191"/>
    </row>
    <row r="102" spans="1:50" s="3" customFormat="1" ht="16.899999999999999" customHeight="1" thickBot="1" x14ac:dyDescent="0.35">
      <c r="A102" s="149" t="s">
        <v>96</v>
      </c>
      <c r="B102" s="135" t="s">
        <v>489</v>
      </c>
      <c r="C102" s="279">
        <v>1599058</v>
      </c>
      <c r="D102" s="136"/>
      <c r="E102" s="187">
        <f t="shared" si="3"/>
        <v>1599058</v>
      </c>
      <c r="F102" s="187">
        <f t="shared" si="4"/>
        <v>1599058.0000000002</v>
      </c>
      <c r="G102" s="187">
        <f t="shared" si="5"/>
        <v>0</v>
      </c>
      <c r="H102" s="190"/>
      <c r="I102" s="190"/>
      <c r="J102" s="190"/>
      <c r="K102" s="190"/>
      <c r="L102" s="190"/>
      <c r="M102" s="190">
        <v>38461.879999999997</v>
      </c>
      <c r="N102" s="190"/>
      <c r="O102" s="190">
        <v>213557.85</v>
      </c>
      <c r="P102" s="190">
        <v>142907.95000000001</v>
      </c>
      <c r="Q102" s="190">
        <v>127912.22</v>
      </c>
      <c r="R102" s="190">
        <v>183462.01</v>
      </c>
      <c r="S102" s="190">
        <f>183462.01+120218.82</f>
        <v>303680.83</v>
      </c>
      <c r="T102" s="190"/>
      <c r="U102" s="190">
        <v>37062.730000000003</v>
      </c>
      <c r="V102" s="190">
        <v>90158.31</v>
      </c>
      <c r="W102" s="190"/>
      <c r="X102" s="190">
        <v>200248.34</v>
      </c>
      <c r="Y102" s="190"/>
      <c r="Z102" s="190">
        <v>105087.37</v>
      </c>
      <c r="AA102" s="190">
        <v>156518.51</v>
      </c>
      <c r="AB102" s="190"/>
      <c r="AC102" s="190"/>
      <c r="AD102" s="190"/>
      <c r="AE102" s="190"/>
      <c r="AF102" s="190"/>
      <c r="AG102" s="190"/>
      <c r="AH102" s="190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  <c r="AX102" s="191"/>
    </row>
    <row r="103" spans="1:50" s="3" customFormat="1" ht="18" customHeight="1" thickBot="1" x14ac:dyDescent="0.35">
      <c r="A103" s="149" t="s">
        <v>97</v>
      </c>
      <c r="B103" s="135" t="s">
        <v>490</v>
      </c>
      <c r="C103" s="279">
        <v>284131</v>
      </c>
      <c r="D103" s="136"/>
      <c r="E103" s="187">
        <f t="shared" si="3"/>
        <v>284131</v>
      </c>
      <c r="F103" s="187">
        <f t="shared" si="4"/>
        <v>284131</v>
      </c>
      <c r="G103" s="187">
        <f t="shared" si="5"/>
        <v>0</v>
      </c>
      <c r="H103" s="190"/>
      <c r="I103" s="190"/>
      <c r="J103" s="190"/>
      <c r="K103" s="190"/>
      <c r="L103" s="190">
        <v>20276.8</v>
      </c>
      <c r="M103" s="190">
        <v>28638.42</v>
      </c>
      <c r="N103" s="190"/>
      <c r="O103" s="190">
        <v>28680.5</v>
      </c>
      <c r="P103" s="190">
        <f>27480.54+27894.83</f>
        <v>55375.37</v>
      </c>
      <c r="Q103" s="190">
        <v>27571.759999999998</v>
      </c>
      <c r="R103" s="190">
        <f>27571.76+27348.53</f>
        <v>54920.289999999994</v>
      </c>
      <c r="S103" s="190"/>
      <c r="T103" s="190">
        <f>27973.58+25849.21</f>
        <v>53822.79</v>
      </c>
      <c r="U103" s="190"/>
      <c r="V103" s="190">
        <v>14845.07</v>
      </c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</row>
    <row r="104" spans="1:50" s="3" customFormat="1" ht="18" customHeight="1" thickBot="1" x14ac:dyDescent="0.35">
      <c r="A104" s="149" t="s">
        <v>98</v>
      </c>
      <c r="B104" s="135" t="s">
        <v>276</v>
      </c>
      <c r="C104" s="279">
        <v>369479</v>
      </c>
      <c r="D104" s="136"/>
      <c r="E104" s="187">
        <f t="shared" si="3"/>
        <v>369479</v>
      </c>
      <c r="F104" s="187">
        <f t="shared" si="4"/>
        <v>369479</v>
      </c>
      <c r="G104" s="187">
        <f t="shared" si="5"/>
        <v>0</v>
      </c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>
        <v>245028.92</v>
      </c>
      <c r="T104" s="190">
        <v>88715.3</v>
      </c>
      <c r="U104" s="190"/>
      <c r="V104" s="190"/>
      <c r="W104" s="190"/>
      <c r="X104" s="190"/>
      <c r="Y104" s="190"/>
      <c r="Z104" s="190"/>
      <c r="AA104" s="190"/>
      <c r="AB104" s="190"/>
      <c r="AC104" s="190">
        <v>35734.78</v>
      </c>
      <c r="AD104" s="190"/>
      <c r="AE104" s="190"/>
      <c r="AF104" s="190"/>
      <c r="AG104" s="190"/>
      <c r="AH104" s="190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</row>
    <row r="105" spans="1:50" s="3" customFormat="1" ht="18" customHeight="1" thickBot="1" x14ac:dyDescent="0.35">
      <c r="A105" s="149" t="s">
        <v>99</v>
      </c>
      <c r="B105" s="135" t="s">
        <v>277</v>
      </c>
      <c r="C105" s="279">
        <v>38714</v>
      </c>
      <c r="D105" s="136"/>
      <c r="E105" s="187">
        <f t="shared" si="3"/>
        <v>38714</v>
      </c>
      <c r="F105" s="187">
        <f t="shared" si="4"/>
        <v>38714</v>
      </c>
      <c r="G105" s="187">
        <f t="shared" si="5"/>
        <v>0</v>
      </c>
      <c r="H105" s="190"/>
      <c r="I105" s="190"/>
      <c r="J105" s="190"/>
      <c r="K105" s="190"/>
      <c r="L105" s="190"/>
      <c r="M105" s="190"/>
      <c r="N105" s="190"/>
      <c r="O105" s="190"/>
      <c r="P105" s="190"/>
      <c r="Q105" s="190">
        <v>15972.9</v>
      </c>
      <c r="R105" s="190"/>
      <c r="S105" s="190">
        <v>22741.1</v>
      </c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1"/>
      <c r="AJ105" s="191"/>
      <c r="AK105" s="191"/>
      <c r="AL105" s="191"/>
      <c r="AM105" s="191"/>
      <c r="AN105" s="191"/>
      <c r="AO105" s="191"/>
      <c r="AP105" s="191"/>
      <c r="AQ105" s="191"/>
      <c r="AR105" s="191"/>
      <c r="AS105" s="191"/>
      <c r="AT105" s="191"/>
      <c r="AU105" s="191"/>
      <c r="AV105" s="191"/>
      <c r="AW105" s="191"/>
      <c r="AX105" s="191"/>
    </row>
    <row r="106" spans="1:50" s="3" customFormat="1" ht="18" customHeight="1" thickBot="1" x14ac:dyDescent="0.35">
      <c r="A106" s="149" t="s">
        <v>100</v>
      </c>
      <c r="B106" s="135" t="s">
        <v>278</v>
      </c>
      <c r="C106" s="279">
        <v>75367</v>
      </c>
      <c r="D106" s="136"/>
      <c r="E106" s="187">
        <f t="shared" si="3"/>
        <v>75367</v>
      </c>
      <c r="F106" s="187">
        <f t="shared" si="4"/>
        <v>75367</v>
      </c>
      <c r="G106" s="187">
        <f t="shared" si="5"/>
        <v>0</v>
      </c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>
        <v>59565</v>
      </c>
      <c r="T106" s="190"/>
      <c r="U106" s="190"/>
      <c r="V106" s="190"/>
      <c r="W106" s="190"/>
      <c r="X106" s="190"/>
      <c r="Y106" s="190"/>
      <c r="Z106" s="190"/>
      <c r="AA106" s="190"/>
      <c r="AB106" s="190">
        <v>15802</v>
      </c>
      <c r="AC106" s="190"/>
      <c r="AD106" s="190"/>
      <c r="AE106" s="190"/>
      <c r="AF106" s="190"/>
      <c r="AG106" s="190"/>
      <c r="AH106" s="190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</row>
    <row r="107" spans="1:50" s="3" customFormat="1" ht="18" customHeight="1" thickBot="1" x14ac:dyDescent="0.35">
      <c r="A107" s="149" t="s">
        <v>101</v>
      </c>
      <c r="B107" s="135" t="s">
        <v>492</v>
      </c>
      <c r="C107" s="279">
        <v>80085</v>
      </c>
      <c r="D107" s="136"/>
      <c r="E107" s="187">
        <f t="shared" si="3"/>
        <v>80085</v>
      </c>
      <c r="F107" s="187">
        <f t="shared" si="4"/>
        <v>80085</v>
      </c>
      <c r="G107" s="187">
        <f t="shared" si="5"/>
        <v>0</v>
      </c>
      <c r="H107" s="190"/>
      <c r="I107" s="190"/>
      <c r="J107" s="190"/>
      <c r="K107" s="190"/>
      <c r="L107" s="190"/>
      <c r="M107" s="190"/>
      <c r="N107" s="190">
        <v>28401.98</v>
      </c>
      <c r="O107" s="190"/>
      <c r="P107" s="190"/>
      <c r="Q107" s="190"/>
      <c r="R107" s="190"/>
      <c r="S107" s="190"/>
      <c r="T107" s="190"/>
      <c r="U107" s="190"/>
      <c r="V107" s="190"/>
      <c r="W107" s="190">
        <v>51683</v>
      </c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>
        <v>0.02</v>
      </c>
      <c r="AH107" s="190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191"/>
      <c r="AT107" s="191"/>
      <c r="AU107" s="191"/>
      <c r="AV107" s="191"/>
      <c r="AW107" s="191"/>
      <c r="AX107" s="191"/>
    </row>
    <row r="108" spans="1:50" s="3" customFormat="1" ht="18" customHeight="1" thickBot="1" x14ac:dyDescent="0.35">
      <c r="A108" s="149" t="s">
        <v>102</v>
      </c>
      <c r="B108" s="135" t="s">
        <v>280</v>
      </c>
      <c r="C108" s="279">
        <v>13101</v>
      </c>
      <c r="D108" s="136"/>
      <c r="E108" s="187">
        <f t="shared" si="3"/>
        <v>13101</v>
      </c>
      <c r="F108" s="187">
        <f t="shared" si="4"/>
        <v>13101</v>
      </c>
      <c r="G108" s="187">
        <f t="shared" si="5"/>
        <v>0</v>
      </c>
      <c r="H108" s="190"/>
      <c r="I108" s="190"/>
      <c r="J108" s="190"/>
      <c r="K108" s="190">
        <v>7175.69</v>
      </c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>
        <v>5870.79</v>
      </c>
      <c r="Y108" s="190">
        <v>54.52</v>
      </c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1"/>
      <c r="AJ108" s="191"/>
      <c r="AK108" s="191"/>
      <c r="AL108" s="191"/>
      <c r="AM108" s="191"/>
      <c r="AN108" s="191"/>
      <c r="AO108" s="191"/>
      <c r="AP108" s="191"/>
      <c r="AQ108" s="191"/>
      <c r="AR108" s="191"/>
      <c r="AS108" s="191"/>
      <c r="AT108" s="191"/>
      <c r="AU108" s="191"/>
      <c r="AV108" s="191"/>
      <c r="AW108" s="191"/>
      <c r="AX108" s="191"/>
    </row>
    <row r="109" spans="1:50" s="3" customFormat="1" ht="18" customHeight="1" thickBot="1" x14ac:dyDescent="0.35">
      <c r="A109" s="149" t="s">
        <v>103</v>
      </c>
      <c r="B109" s="135" t="s">
        <v>281</v>
      </c>
      <c r="C109" s="279">
        <v>1365</v>
      </c>
      <c r="D109" s="136"/>
      <c r="E109" s="187">
        <f t="shared" si="3"/>
        <v>1365</v>
      </c>
      <c r="F109" s="187">
        <f t="shared" si="4"/>
        <v>1367</v>
      </c>
      <c r="G109" s="187">
        <f t="shared" si="5"/>
        <v>-2</v>
      </c>
      <c r="H109" s="190"/>
      <c r="I109" s="190"/>
      <c r="J109" s="190"/>
      <c r="K109" s="190">
        <v>1367</v>
      </c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  <c r="AW109" s="191"/>
      <c r="AX109" s="191"/>
    </row>
    <row r="110" spans="1:50" s="3" customFormat="1" ht="18" customHeight="1" thickBot="1" x14ac:dyDescent="0.35">
      <c r="A110" s="149" t="s">
        <v>104</v>
      </c>
      <c r="B110" s="135" t="s">
        <v>282</v>
      </c>
      <c r="C110" s="279">
        <v>35542</v>
      </c>
      <c r="D110" s="136">
        <v>9025</v>
      </c>
      <c r="E110" s="187">
        <v>0</v>
      </c>
      <c r="F110" s="187">
        <f t="shared" si="4"/>
        <v>0</v>
      </c>
      <c r="G110" s="187">
        <f t="shared" si="5"/>
        <v>0</v>
      </c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1"/>
      <c r="AT110" s="191"/>
      <c r="AU110" s="191"/>
      <c r="AV110" s="191"/>
      <c r="AW110" s="191"/>
      <c r="AX110" s="191"/>
    </row>
    <row r="111" spans="1:50" s="3" customFormat="1" ht="18" customHeight="1" thickBot="1" x14ac:dyDescent="0.35">
      <c r="A111" s="149" t="s">
        <v>105</v>
      </c>
      <c r="B111" s="135" t="s">
        <v>494</v>
      </c>
      <c r="C111" s="279">
        <v>96953</v>
      </c>
      <c r="D111" s="136">
        <v>9025</v>
      </c>
      <c r="E111" s="187">
        <v>0</v>
      </c>
      <c r="F111" s="187">
        <f t="shared" si="4"/>
        <v>0</v>
      </c>
      <c r="G111" s="187">
        <f t="shared" si="5"/>
        <v>0</v>
      </c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  <c r="AF111" s="190"/>
      <c r="AG111" s="190"/>
      <c r="AH111" s="190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191"/>
      <c r="AT111" s="191"/>
      <c r="AU111" s="191"/>
      <c r="AV111" s="191"/>
      <c r="AW111" s="191"/>
      <c r="AX111" s="191"/>
    </row>
    <row r="112" spans="1:50" s="3" customFormat="1" ht="18" customHeight="1" thickBot="1" x14ac:dyDescent="0.35">
      <c r="A112" s="149" t="s">
        <v>106</v>
      </c>
      <c r="B112" s="135" t="s">
        <v>495</v>
      </c>
      <c r="C112" s="279">
        <v>21127</v>
      </c>
      <c r="D112" s="136">
        <v>9025</v>
      </c>
      <c r="E112" s="187">
        <v>0</v>
      </c>
      <c r="F112" s="187">
        <f t="shared" si="4"/>
        <v>0</v>
      </c>
      <c r="G112" s="187">
        <f t="shared" si="5"/>
        <v>0</v>
      </c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  <c r="AG112" s="190"/>
      <c r="AH112" s="190"/>
      <c r="AI112" s="191"/>
      <c r="AJ112" s="191"/>
      <c r="AK112" s="191"/>
      <c r="AL112" s="191"/>
      <c r="AM112" s="191"/>
      <c r="AN112" s="191"/>
      <c r="AO112" s="191"/>
      <c r="AP112" s="191"/>
      <c r="AQ112" s="191"/>
      <c r="AR112" s="191"/>
      <c r="AS112" s="191"/>
      <c r="AT112" s="191"/>
      <c r="AU112" s="191"/>
      <c r="AV112" s="191"/>
      <c r="AW112" s="191"/>
      <c r="AX112" s="191"/>
    </row>
    <row r="113" spans="1:50" s="3" customFormat="1" ht="18" customHeight="1" thickBot="1" x14ac:dyDescent="0.35">
      <c r="A113" s="149" t="s">
        <v>107</v>
      </c>
      <c r="B113" s="135" t="s">
        <v>496</v>
      </c>
      <c r="C113" s="279">
        <v>423633</v>
      </c>
      <c r="D113" s="136">
        <v>9035</v>
      </c>
      <c r="E113" s="187">
        <v>0</v>
      </c>
      <c r="F113" s="187">
        <f t="shared" si="4"/>
        <v>0</v>
      </c>
      <c r="G113" s="187">
        <f t="shared" si="5"/>
        <v>0</v>
      </c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  <c r="AF113" s="190"/>
      <c r="AG113" s="190"/>
      <c r="AH113" s="190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1"/>
      <c r="AS113" s="191"/>
      <c r="AT113" s="191"/>
      <c r="AU113" s="191"/>
      <c r="AV113" s="191"/>
      <c r="AW113" s="191"/>
      <c r="AX113" s="191"/>
    </row>
    <row r="114" spans="1:50" s="3" customFormat="1" ht="18" customHeight="1" thickBot="1" x14ac:dyDescent="0.35">
      <c r="A114" s="149" t="s">
        <v>108</v>
      </c>
      <c r="B114" s="135" t="s">
        <v>498</v>
      </c>
      <c r="C114" s="279">
        <v>17623</v>
      </c>
      <c r="D114" s="136">
        <v>9040</v>
      </c>
      <c r="E114" s="187">
        <v>0</v>
      </c>
      <c r="F114" s="187">
        <f t="shared" si="4"/>
        <v>0</v>
      </c>
      <c r="G114" s="187">
        <f t="shared" si="5"/>
        <v>0</v>
      </c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1"/>
      <c r="AT114" s="191"/>
      <c r="AU114" s="191"/>
      <c r="AV114" s="191"/>
      <c r="AW114" s="191"/>
      <c r="AX114" s="191"/>
    </row>
    <row r="115" spans="1:50" s="3" customFormat="1" ht="18" customHeight="1" thickBot="1" x14ac:dyDescent="0.35">
      <c r="A115" s="149" t="s">
        <v>109</v>
      </c>
      <c r="B115" s="135" t="s">
        <v>499</v>
      </c>
      <c r="C115" s="279">
        <v>20825</v>
      </c>
      <c r="D115" s="136">
        <v>9040</v>
      </c>
      <c r="E115" s="187">
        <v>0</v>
      </c>
      <c r="F115" s="187">
        <f t="shared" si="4"/>
        <v>0</v>
      </c>
      <c r="G115" s="187">
        <f t="shared" si="5"/>
        <v>0</v>
      </c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1"/>
      <c r="AT115" s="191"/>
      <c r="AU115" s="191"/>
      <c r="AV115" s="191"/>
      <c r="AW115" s="191"/>
      <c r="AX115" s="191"/>
    </row>
    <row r="116" spans="1:50" s="3" customFormat="1" ht="18" customHeight="1" thickBot="1" x14ac:dyDescent="0.35">
      <c r="A116" s="149" t="s">
        <v>110</v>
      </c>
      <c r="B116" s="135" t="s">
        <v>500</v>
      </c>
      <c r="C116" s="279">
        <v>12510</v>
      </c>
      <c r="D116" s="136">
        <v>9040</v>
      </c>
      <c r="E116" s="187">
        <v>0</v>
      </c>
      <c r="F116" s="187">
        <f t="shared" si="4"/>
        <v>0</v>
      </c>
      <c r="G116" s="187">
        <f t="shared" si="5"/>
        <v>0</v>
      </c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1"/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191"/>
      <c r="AT116" s="191"/>
      <c r="AU116" s="191"/>
      <c r="AV116" s="191"/>
      <c r="AW116" s="191"/>
      <c r="AX116" s="191"/>
    </row>
    <row r="117" spans="1:50" s="3" customFormat="1" ht="18" customHeight="1" thickBot="1" x14ac:dyDescent="0.35">
      <c r="A117" s="149" t="s">
        <v>111</v>
      </c>
      <c r="B117" s="135" t="s">
        <v>501</v>
      </c>
      <c r="C117" s="279">
        <v>15154</v>
      </c>
      <c r="D117" s="136"/>
      <c r="E117" s="187">
        <f t="shared" si="3"/>
        <v>15154</v>
      </c>
      <c r="F117" s="187">
        <f t="shared" si="4"/>
        <v>15154</v>
      </c>
      <c r="G117" s="187">
        <f t="shared" si="5"/>
        <v>0</v>
      </c>
      <c r="H117" s="190"/>
      <c r="I117" s="190"/>
      <c r="J117" s="190"/>
      <c r="K117" s="190"/>
      <c r="L117" s="190"/>
      <c r="M117" s="190"/>
      <c r="N117" s="190"/>
      <c r="O117" s="190">
        <v>15152</v>
      </c>
      <c r="P117" s="190"/>
      <c r="Q117" s="190"/>
      <c r="R117" s="190"/>
      <c r="S117" s="190"/>
      <c r="T117" s="190"/>
      <c r="U117" s="190"/>
      <c r="V117" s="190"/>
      <c r="W117" s="190"/>
      <c r="X117" s="190"/>
      <c r="Y117" s="190">
        <v>2</v>
      </c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1"/>
      <c r="AT117" s="191"/>
      <c r="AU117" s="191"/>
      <c r="AV117" s="191"/>
      <c r="AW117" s="191"/>
      <c r="AX117" s="191"/>
    </row>
    <row r="118" spans="1:50" s="3" customFormat="1" ht="18" customHeight="1" thickBot="1" x14ac:dyDescent="0.35">
      <c r="A118" s="149" t="s">
        <v>112</v>
      </c>
      <c r="B118" s="135" t="s">
        <v>290</v>
      </c>
      <c r="C118" s="279">
        <v>60447</v>
      </c>
      <c r="D118" s="136"/>
      <c r="E118" s="187">
        <f t="shared" si="3"/>
        <v>60447</v>
      </c>
      <c r="F118" s="187">
        <f t="shared" si="4"/>
        <v>60447</v>
      </c>
      <c r="G118" s="187">
        <f t="shared" si="5"/>
        <v>0</v>
      </c>
      <c r="H118" s="190"/>
      <c r="I118" s="190"/>
      <c r="J118" s="190"/>
      <c r="K118" s="190"/>
      <c r="L118" s="190"/>
      <c r="M118" s="190"/>
      <c r="N118" s="190">
        <v>20629.32</v>
      </c>
      <c r="O118" s="190"/>
      <c r="P118" s="190"/>
      <c r="Q118" s="190">
        <v>14778.99</v>
      </c>
      <c r="R118" s="190"/>
      <c r="S118" s="190">
        <v>14556.91</v>
      </c>
      <c r="T118" s="190">
        <v>10052.780000000001</v>
      </c>
      <c r="U118" s="190"/>
      <c r="V118" s="190"/>
      <c r="W118" s="190"/>
      <c r="X118" s="190"/>
      <c r="Y118" s="190"/>
      <c r="Z118" s="190"/>
      <c r="AA118" s="190"/>
      <c r="AB118" s="190">
        <v>429</v>
      </c>
      <c r="AC118" s="190"/>
      <c r="AD118" s="190"/>
      <c r="AE118" s="190"/>
      <c r="AF118" s="190"/>
      <c r="AG118" s="190"/>
      <c r="AH118" s="190"/>
      <c r="AI118" s="191"/>
      <c r="AJ118" s="191"/>
      <c r="AK118" s="191"/>
      <c r="AL118" s="191"/>
      <c r="AM118" s="191"/>
      <c r="AN118" s="191"/>
      <c r="AO118" s="191"/>
      <c r="AP118" s="191"/>
      <c r="AQ118" s="191"/>
      <c r="AR118" s="191"/>
      <c r="AS118" s="191"/>
      <c r="AT118" s="191"/>
      <c r="AU118" s="191"/>
      <c r="AV118" s="191"/>
      <c r="AW118" s="191"/>
      <c r="AX118" s="191"/>
    </row>
    <row r="119" spans="1:50" s="3" customFormat="1" ht="18" customHeight="1" thickBot="1" x14ac:dyDescent="0.35">
      <c r="A119" s="149" t="s">
        <v>113</v>
      </c>
      <c r="B119" s="135" t="s">
        <v>291</v>
      </c>
      <c r="C119" s="279">
        <v>4223806</v>
      </c>
      <c r="D119" s="136"/>
      <c r="E119" s="187">
        <f t="shared" si="3"/>
        <v>4223806</v>
      </c>
      <c r="F119" s="187">
        <f t="shared" si="4"/>
        <v>4223806</v>
      </c>
      <c r="G119" s="187">
        <f t="shared" si="5"/>
        <v>0</v>
      </c>
      <c r="H119" s="190"/>
      <c r="I119" s="190"/>
      <c r="J119" s="190"/>
      <c r="K119" s="190"/>
      <c r="L119" s="190"/>
      <c r="M119" s="190"/>
      <c r="N119" s="190">
        <v>1163417.3700000001</v>
      </c>
      <c r="O119" s="190"/>
      <c r="P119" s="190">
        <v>555847.53</v>
      </c>
      <c r="Q119" s="190">
        <v>326139.56</v>
      </c>
      <c r="R119" s="190">
        <v>245373.85</v>
      </c>
      <c r="S119" s="190">
        <v>393906.75</v>
      </c>
      <c r="T119" s="190"/>
      <c r="U119" s="190"/>
      <c r="V119" s="190"/>
      <c r="W119" s="190">
        <v>1139007.1200000001</v>
      </c>
      <c r="X119" s="190"/>
      <c r="Y119" s="190"/>
      <c r="Z119" s="190">
        <v>400113.82</v>
      </c>
      <c r="AA119" s="190"/>
      <c r="AB119" s="190"/>
      <c r="AC119" s="190"/>
      <c r="AD119" s="190"/>
      <c r="AE119" s="190"/>
      <c r="AF119" s="190"/>
      <c r="AG119" s="190"/>
      <c r="AH119" s="190"/>
      <c r="AI119" s="191"/>
      <c r="AJ119" s="191"/>
      <c r="AK119" s="191"/>
      <c r="AL119" s="191"/>
      <c r="AM119" s="191"/>
      <c r="AN119" s="191"/>
      <c r="AO119" s="191"/>
      <c r="AP119" s="191"/>
      <c r="AQ119" s="191"/>
      <c r="AR119" s="191"/>
      <c r="AS119" s="191"/>
      <c r="AT119" s="191"/>
      <c r="AU119" s="191"/>
      <c r="AV119" s="191"/>
      <c r="AW119" s="191"/>
      <c r="AX119" s="191"/>
    </row>
    <row r="120" spans="1:50" s="3" customFormat="1" ht="18" customHeight="1" thickBot="1" x14ac:dyDescent="0.35">
      <c r="A120" s="149" t="s">
        <v>114</v>
      </c>
      <c r="B120" s="135" t="s">
        <v>503</v>
      </c>
      <c r="C120" s="279">
        <v>1532</v>
      </c>
      <c r="D120" s="136"/>
      <c r="E120" s="187">
        <f t="shared" si="3"/>
        <v>1532</v>
      </c>
      <c r="F120" s="187">
        <f t="shared" si="4"/>
        <v>1532</v>
      </c>
      <c r="G120" s="187">
        <f t="shared" si="5"/>
        <v>0</v>
      </c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>
        <v>1532</v>
      </c>
      <c r="AE120" s="190"/>
      <c r="AF120" s="190"/>
      <c r="AG120" s="190"/>
      <c r="AH120" s="190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191"/>
      <c r="AX120" s="191"/>
    </row>
    <row r="121" spans="1:50" s="3" customFormat="1" ht="18" customHeight="1" thickBot="1" x14ac:dyDescent="0.35">
      <c r="A121" s="149" t="s">
        <v>115</v>
      </c>
      <c r="B121" s="135" t="s">
        <v>605</v>
      </c>
      <c r="C121" s="279">
        <v>323823</v>
      </c>
      <c r="D121" s="136"/>
      <c r="E121" s="187">
        <f t="shared" si="3"/>
        <v>323823</v>
      </c>
      <c r="F121" s="187">
        <f t="shared" si="4"/>
        <v>323823</v>
      </c>
      <c r="G121" s="187">
        <f t="shared" si="5"/>
        <v>0</v>
      </c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>
        <v>323823</v>
      </c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1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191"/>
      <c r="AT121" s="191"/>
      <c r="AU121" s="191"/>
      <c r="AV121" s="191"/>
      <c r="AW121" s="191"/>
      <c r="AX121" s="191"/>
    </row>
    <row r="122" spans="1:50" s="3" customFormat="1" ht="18" customHeight="1" thickBot="1" x14ac:dyDescent="0.35">
      <c r="A122" s="149" t="s">
        <v>116</v>
      </c>
      <c r="B122" s="135" t="s">
        <v>507</v>
      </c>
      <c r="C122" s="279">
        <v>889951</v>
      </c>
      <c r="D122" s="136"/>
      <c r="E122" s="187">
        <f t="shared" si="3"/>
        <v>889951</v>
      </c>
      <c r="F122" s="187">
        <f t="shared" si="4"/>
        <v>889950.99999999988</v>
      </c>
      <c r="G122" s="187">
        <f t="shared" si="5"/>
        <v>0</v>
      </c>
      <c r="H122" s="190"/>
      <c r="I122" s="190"/>
      <c r="J122" s="190"/>
      <c r="K122" s="190">
        <v>14903.35</v>
      </c>
      <c r="L122" s="190">
        <v>86812.65</v>
      </c>
      <c r="M122" s="190">
        <v>71205.399999999994</v>
      </c>
      <c r="N122" s="190">
        <v>74946.080000000002</v>
      </c>
      <c r="O122" s="190">
        <v>57269.06</v>
      </c>
      <c r="P122" s="190">
        <v>62939.17</v>
      </c>
      <c r="Q122" s="190">
        <v>73919.61</v>
      </c>
      <c r="R122" s="190">
        <v>53093.54</v>
      </c>
      <c r="S122" s="190">
        <v>62323.05</v>
      </c>
      <c r="T122" s="190">
        <f>51490.4+61760.06</f>
        <v>113250.45999999999</v>
      </c>
      <c r="U122" s="190">
        <v>3384.72</v>
      </c>
      <c r="V122" s="190"/>
      <c r="W122" s="190"/>
      <c r="X122" s="190">
        <f>177713.36</f>
        <v>177713.36</v>
      </c>
      <c r="Y122" s="190">
        <f>30997.64+7192.91</f>
        <v>38190.550000000003</v>
      </c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</row>
    <row r="123" spans="1:50" s="3" customFormat="1" ht="18" customHeight="1" thickBot="1" x14ac:dyDescent="0.35">
      <c r="A123" s="149" t="s">
        <v>117</v>
      </c>
      <c r="B123" s="135" t="s">
        <v>606</v>
      </c>
      <c r="C123" s="279">
        <v>82946</v>
      </c>
      <c r="D123" s="136"/>
      <c r="E123" s="187">
        <f t="shared" si="3"/>
        <v>82946</v>
      </c>
      <c r="F123" s="187">
        <f t="shared" si="4"/>
        <v>82946</v>
      </c>
      <c r="G123" s="187">
        <f t="shared" si="5"/>
        <v>0</v>
      </c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>
        <v>68075.289999999994</v>
      </c>
      <c r="T123" s="190"/>
      <c r="U123" s="190"/>
      <c r="V123" s="190"/>
      <c r="W123" s="190"/>
      <c r="X123" s="190">
        <v>9086</v>
      </c>
      <c r="Y123" s="190"/>
      <c r="Z123" s="190"/>
      <c r="AA123" s="190"/>
      <c r="AB123" s="190"/>
      <c r="AC123" s="190"/>
      <c r="AD123" s="190">
        <v>5784.71</v>
      </c>
      <c r="AE123" s="190"/>
      <c r="AF123" s="190"/>
      <c r="AG123" s="190"/>
      <c r="AH123" s="190"/>
      <c r="AI123" s="191"/>
      <c r="AJ123" s="191"/>
      <c r="AK123" s="191"/>
      <c r="AL123" s="191"/>
      <c r="AM123" s="191"/>
      <c r="AN123" s="191"/>
      <c r="AO123" s="191"/>
      <c r="AP123" s="191"/>
      <c r="AQ123" s="191"/>
      <c r="AR123" s="191"/>
      <c r="AS123" s="191"/>
      <c r="AT123" s="191"/>
      <c r="AU123" s="191"/>
      <c r="AV123" s="191"/>
      <c r="AW123" s="191"/>
      <c r="AX123" s="191"/>
    </row>
    <row r="124" spans="1:50" s="3" customFormat="1" ht="18" customHeight="1" thickBot="1" x14ac:dyDescent="0.35">
      <c r="A124" s="149" t="s">
        <v>118</v>
      </c>
      <c r="B124" s="135" t="s">
        <v>510</v>
      </c>
      <c r="C124" s="279">
        <v>108485</v>
      </c>
      <c r="D124" s="136"/>
      <c r="E124" s="187">
        <f t="shared" si="3"/>
        <v>108485</v>
      </c>
      <c r="F124" s="187">
        <f t="shared" si="4"/>
        <v>108485</v>
      </c>
      <c r="G124" s="187">
        <f t="shared" si="5"/>
        <v>0</v>
      </c>
      <c r="H124" s="190"/>
      <c r="I124" s="190"/>
      <c r="J124" s="190"/>
      <c r="K124" s="190"/>
      <c r="L124" s="190"/>
      <c r="M124" s="190">
        <f>8817.81+17643.62</f>
        <v>26461.43</v>
      </c>
      <c r="N124" s="190">
        <v>8171.96</v>
      </c>
      <c r="O124" s="190">
        <v>8570.19</v>
      </c>
      <c r="P124" s="190">
        <v>8821.81</v>
      </c>
      <c r="Q124" s="190">
        <v>8821.81</v>
      </c>
      <c r="R124" s="190">
        <v>23816.9</v>
      </c>
      <c r="S124" s="190">
        <v>23816.9</v>
      </c>
      <c r="T124" s="190"/>
      <c r="U124" s="190"/>
      <c r="V124" s="190"/>
      <c r="W124" s="190"/>
      <c r="X124" s="190"/>
      <c r="Y124" s="190">
        <v>4</v>
      </c>
      <c r="Z124" s="190"/>
      <c r="AA124" s="190"/>
      <c r="AB124" s="190"/>
      <c r="AC124" s="190"/>
      <c r="AD124" s="190"/>
      <c r="AE124" s="190"/>
      <c r="AF124" s="190"/>
      <c r="AG124" s="190"/>
      <c r="AH124" s="190"/>
      <c r="AI124" s="191"/>
      <c r="AJ124" s="191"/>
      <c r="AK124" s="191"/>
      <c r="AL124" s="191"/>
      <c r="AM124" s="191"/>
      <c r="AN124" s="191"/>
      <c r="AO124" s="191"/>
      <c r="AP124" s="191"/>
      <c r="AQ124" s="191"/>
      <c r="AR124" s="191"/>
      <c r="AS124" s="191"/>
      <c r="AT124" s="191"/>
      <c r="AU124" s="191"/>
      <c r="AV124" s="191"/>
      <c r="AW124" s="191"/>
      <c r="AX124" s="191"/>
    </row>
    <row r="125" spans="1:50" s="3" customFormat="1" ht="18" customHeight="1" thickBot="1" x14ac:dyDescent="0.35">
      <c r="A125" s="149" t="s">
        <v>119</v>
      </c>
      <c r="B125" s="135" t="s">
        <v>511</v>
      </c>
      <c r="C125" s="279">
        <v>1247968</v>
      </c>
      <c r="D125" s="136"/>
      <c r="E125" s="187">
        <f t="shared" si="3"/>
        <v>1247968</v>
      </c>
      <c r="F125" s="187">
        <f t="shared" si="4"/>
        <v>1247968</v>
      </c>
      <c r="G125" s="187">
        <f t="shared" si="5"/>
        <v>0</v>
      </c>
      <c r="H125" s="190"/>
      <c r="I125" s="190"/>
      <c r="J125" s="190"/>
      <c r="K125" s="190"/>
      <c r="L125" s="190"/>
      <c r="M125" s="190"/>
      <c r="N125" s="190">
        <v>244264.31</v>
      </c>
      <c r="O125" s="190">
        <v>212296.12</v>
      </c>
      <c r="P125" s="190"/>
      <c r="Q125" s="190">
        <v>113020.05</v>
      </c>
      <c r="R125" s="190">
        <v>99264.74</v>
      </c>
      <c r="S125" s="190">
        <v>217056.35</v>
      </c>
      <c r="T125" s="190"/>
      <c r="U125" s="190">
        <v>282686.49</v>
      </c>
      <c r="V125" s="190"/>
      <c r="W125" s="190"/>
      <c r="X125" s="190">
        <v>79379.94</v>
      </c>
      <c r="Y125" s="190"/>
      <c r="Z125" s="190"/>
      <c r="AA125" s="190"/>
      <c r="AB125" s="190"/>
      <c r="AC125" s="190"/>
      <c r="AD125" s="190"/>
      <c r="AE125" s="190"/>
      <c r="AF125" s="190"/>
      <c r="AG125" s="190"/>
      <c r="AH125" s="190"/>
      <c r="AI125" s="191"/>
      <c r="AJ125" s="191"/>
      <c r="AK125" s="191"/>
      <c r="AL125" s="191"/>
      <c r="AM125" s="191"/>
      <c r="AN125" s="191"/>
      <c r="AO125" s="191"/>
      <c r="AP125" s="191"/>
      <c r="AQ125" s="191"/>
      <c r="AR125" s="191"/>
      <c r="AS125" s="191"/>
      <c r="AT125" s="191"/>
      <c r="AU125" s="191"/>
      <c r="AV125" s="191"/>
      <c r="AW125" s="191"/>
      <c r="AX125" s="191"/>
    </row>
    <row r="126" spans="1:50" s="3" customFormat="1" ht="18" customHeight="1" thickBot="1" x14ac:dyDescent="0.35">
      <c r="A126" s="149" t="s">
        <v>120</v>
      </c>
      <c r="B126" s="135" t="s">
        <v>513</v>
      </c>
      <c r="C126" s="279">
        <v>65495</v>
      </c>
      <c r="D126" s="136"/>
      <c r="E126" s="187">
        <f t="shared" si="3"/>
        <v>65495</v>
      </c>
      <c r="F126" s="187">
        <f t="shared" si="4"/>
        <v>65495</v>
      </c>
      <c r="G126" s="187">
        <f t="shared" si="5"/>
        <v>0</v>
      </c>
      <c r="H126" s="190"/>
      <c r="I126" s="190"/>
      <c r="J126" s="190"/>
      <c r="K126" s="190"/>
      <c r="L126" s="190">
        <v>16193.18</v>
      </c>
      <c r="M126" s="190"/>
      <c r="N126" s="190"/>
      <c r="O126" s="190">
        <v>16990.04</v>
      </c>
      <c r="P126" s="190"/>
      <c r="Q126" s="190"/>
      <c r="R126" s="190"/>
      <c r="S126" s="190">
        <v>20130.25</v>
      </c>
      <c r="T126" s="190"/>
      <c r="U126" s="190">
        <v>11443.89</v>
      </c>
      <c r="V126" s="190"/>
      <c r="W126" s="190"/>
      <c r="X126" s="190"/>
      <c r="Y126" s="190"/>
      <c r="Z126" s="190"/>
      <c r="AA126" s="190"/>
      <c r="AB126" s="190"/>
      <c r="AC126" s="190">
        <v>737.64</v>
      </c>
      <c r="AD126" s="190"/>
      <c r="AE126" s="190"/>
      <c r="AF126" s="190"/>
      <c r="AG126" s="190"/>
      <c r="AH126" s="190"/>
      <c r="AI126" s="191"/>
      <c r="AJ126" s="191"/>
      <c r="AK126" s="191"/>
      <c r="AL126" s="191"/>
      <c r="AM126" s="191"/>
      <c r="AN126" s="191"/>
      <c r="AO126" s="191"/>
      <c r="AP126" s="191"/>
      <c r="AQ126" s="191"/>
      <c r="AR126" s="191"/>
      <c r="AS126" s="191"/>
      <c r="AT126" s="191"/>
      <c r="AU126" s="191"/>
      <c r="AV126" s="191"/>
      <c r="AW126" s="191"/>
      <c r="AX126" s="191"/>
    </row>
    <row r="127" spans="1:50" s="3" customFormat="1" ht="18" customHeight="1" thickBot="1" x14ac:dyDescent="0.35">
      <c r="A127" s="149" t="s">
        <v>121</v>
      </c>
      <c r="B127" s="135" t="s">
        <v>514</v>
      </c>
      <c r="C127" s="279">
        <v>179166</v>
      </c>
      <c r="D127" s="136">
        <v>9035</v>
      </c>
      <c r="E127" s="187">
        <v>0</v>
      </c>
      <c r="F127" s="187">
        <f t="shared" si="4"/>
        <v>0</v>
      </c>
      <c r="G127" s="187">
        <f t="shared" si="5"/>
        <v>0</v>
      </c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190"/>
      <c r="AH127" s="190"/>
      <c r="AI127" s="191"/>
      <c r="AJ127" s="191"/>
      <c r="AK127" s="191"/>
      <c r="AL127" s="191"/>
      <c r="AM127" s="191"/>
      <c r="AN127" s="191"/>
      <c r="AO127" s="191"/>
      <c r="AP127" s="191"/>
      <c r="AQ127" s="191"/>
      <c r="AR127" s="191"/>
      <c r="AS127" s="191"/>
      <c r="AT127" s="191"/>
      <c r="AU127" s="191"/>
      <c r="AV127" s="191"/>
      <c r="AW127" s="191"/>
      <c r="AX127" s="191"/>
    </row>
    <row r="128" spans="1:50" s="3" customFormat="1" ht="18" customHeight="1" thickBot="1" x14ac:dyDescent="0.35">
      <c r="A128" s="149" t="s">
        <v>122</v>
      </c>
      <c r="B128" s="135" t="s">
        <v>516</v>
      </c>
      <c r="C128" s="279">
        <v>498466</v>
      </c>
      <c r="D128" s="136"/>
      <c r="E128" s="187">
        <f t="shared" si="3"/>
        <v>498466</v>
      </c>
      <c r="F128" s="187">
        <f t="shared" si="4"/>
        <v>498466</v>
      </c>
      <c r="G128" s="187">
        <f t="shared" si="5"/>
        <v>0</v>
      </c>
      <c r="H128" s="190"/>
      <c r="I128" s="190"/>
      <c r="J128" s="190"/>
      <c r="K128" s="190"/>
      <c r="L128" s="190">
        <v>44168.31</v>
      </c>
      <c r="M128" s="190">
        <v>40844.339999999997</v>
      </c>
      <c r="N128" s="190"/>
      <c r="O128" s="190">
        <f>41234.29+38617.79</f>
        <v>79852.08</v>
      </c>
      <c r="P128" s="190">
        <v>46878.77</v>
      </c>
      <c r="Q128" s="190">
        <v>41824.980000000003</v>
      </c>
      <c r="R128" s="190">
        <v>37781.17</v>
      </c>
      <c r="S128" s="190">
        <v>47019.08</v>
      </c>
      <c r="T128" s="190">
        <v>36964.370000000003</v>
      </c>
      <c r="U128" s="190">
        <v>27593.09</v>
      </c>
      <c r="V128" s="190">
        <v>25694.07</v>
      </c>
      <c r="W128" s="190">
        <v>51794.69</v>
      </c>
      <c r="X128" s="190">
        <v>18051.05</v>
      </c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190"/>
      <c r="AI128" s="191"/>
      <c r="AJ128" s="191"/>
      <c r="AK128" s="191"/>
      <c r="AL128" s="191"/>
      <c r="AM128" s="191"/>
      <c r="AN128" s="191"/>
      <c r="AO128" s="191"/>
      <c r="AP128" s="191"/>
      <c r="AQ128" s="191"/>
      <c r="AR128" s="191"/>
      <c r="AS128" s="191"/>
      <c r="AT128" s="191"/>
      <c r="AU128" s="191"/>
      <c r="AV128" s="191"/>
      <c r="AW128" s="191"/>
      <c r="AX128" s="191"/>
    </row>
    <row r="129" spans="1:50" s="3" customFormat="1" ht="18" customHeight="1" thickBot="1" x14ac:dyDescent="0.35">
      <c r="A129" s="149" t="s">
        <v>123</v>
      </c>
      <c r="B129" s="135" t="s">
        <v>517</v>
      </c>
      <c r="C129" s="279">
        <v>14203</v>
      </c>
      <c r="D129" s="136">
        <v>9035</v>
      </c>
      <c r="E129" s="187">
        <v>0</v>
      </c>
      <c r="F129" s="187">
        <f t="shared" si="4"/>
        <v>0</v>
      </c>
      <c r="G129" s="187">
        <f t="shared" si="5"/>
        <v>0</v>
      </c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190"/>
      <c r="AF129" s="190"/>
      <c r="AG129" s="190"/>
      <c r="AH129" s="190"/>
      <c r="AI129" s="191"/>
      <c r="AJ129" s="191"/>
      <c r="AK129" s="191"/>
      <c r="AL129" s="191"/>
      <c r="AM129" s="191"/>
      <c r="AN129" s="191"/>
      <c r="AO129" s="191"/>
      <c r="AP129" s="191"/>
      <c r="AQ129" s="191"/>
      <c r="AR129" s="191"/>
      <c r="AS129" s="191"/>
      <c r="AT129" s="191"/>
      <c r="AU129" s="191"/>
      <c r="AV129" s="191"/>
      <c r="AW129" s="191"/>
      <c r="AX129" s="191"/>
    </row>
    <row r="130" spans="1:50" s="3" customFormat="1" ht="18" customHeight="1" thickBot="1" x14ac:dyDescent="0.35">
      <c r="A130" s="149" t="s">
        <v>124</v>
      </c>
      <c r="B130" s="135" t="s">
        <v>518</v>
      </c>
      <c r="C130" s="279">
        <v>108811</v>
      </c>
      <c r="D130" s="136">
        <v>9035</v>
      </c>
      <c r="E130" s="187">
        <v>0</v>
      </c>
      <c r="F130" s="187">
        <f t="shared" si="4"/>
        <v>0</v>
      </c>
      <c r="G130" s="187">
        <f t="shared" si="5"/>
        <v>0</v>
      </c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190"/>
      <c r="AH130" s="190"/>
      <c r="AI130" s="191"/>
      <c r="AJ130" s="191"/>
      <c r="AK130" s="191"/>
      <c r="AL130" s="191"/>
      <c r="AM130" s="191"/>
      <c r="AN130" s="191"/>
      <c r="AO130" s="191"/>
      <c r="AP130" s="191"/>
      <c r="AQ130" s="191"/>
      <c r="AR130" s="191"/>
      <c r="AS130" s="191"/>
      <c r="AT130" s="191"/>
      <c r="AU130" s="191"/>
      <c r="AV130" s="191"/>
      <c r="AW130" s="191"/>
      <c r="AX130" s="191"/>
    </row>
    <row r="131" spans="1:50" s="3" customFormat="1" ht="18" customHeight="1" thickBot="1" x14ac:dyDescent="0.35">
      <c r="A131" s="149" t="s">
        <v>125</v>
      </c>
      <c r="B131" s="135" t="s">
        <v>303</v>
      </c>
      <c r="C131" s="279">
        <v>564073</v>
      </c>
      <c r="D131" s="136"/>
      <c r="E131" s="187">
        <f t="shared" si="3"/>
        <v>564073</v>
      </c>
      <c r="F131" s="187">
        <f t="shared" si="4"/>
        <v>564073</v>
      </c>
      <c r="G131" s="187">
        <f t="shared" si="5"/>
        <v>0</v>
      </c>
      <c r="H131" s="190"/>
      <c r="I131" s="190"/>
      <c r="J131" s="190"/>
      <c r="K131" s="190"/>
      <c r="L131" s="190"/>
      <c r="M131" s="190"/>
      <c r="N131" s="190"/>
      <c r="O131" s="190"/>
      <c r="P131" s="190"/>
      <c r="Q131" s="190">
        <v>240093</v>
      </c>
      <c r="R131" s="190"/>
      <c r="S131" s="190">
        <v>150676</v>
      </c>
      <c r="T131" s="190"/>
      <c r="U131" s="190"/>
      <c r="V131" s="190"/>
      <c r="W131" s="190"/>
      <c r="X131" s="190"/>
      <c r="Y131" s="190"/>
      <c r="Z131" s="190">
        <v>150880</v>
      </c>
      <c r="AA131" s="190"/>
      <c r="AB131" s="190"/>
      <c r="AC131" s="190"/>
      <c r="AD131" s="190">
        <v>22424</v>
      </c>
      <c r="AE131" s="190"/>
      <c r="AF131" s="190"/>
      <c r="AG131" s="190"/>
      <c r="AH131" s="190"/>
      <c r="AI131" s="191"/>
      <c r="AJ131" s="191"/>
      <c r="AK131" s="191"/>
      <c r="AL131" s="191"/>
      <c r="AM131" s="191"/>
      <c r="AN131" s="191"/>
      <c r="AO131" s="191"/>
      <c r="AP131" s="191"/>
      <c r="AQ131" s="191"/>
      <c r="AR131" s="191"/>
      <c r="AS131" s="191"/>
      <c r="AT131" s="191"/>
      <c r="AU131" s="191"/>
      <c r="AV131" s="191"/>
      <c r="AW131" s="191"/>
      <c r="AX131" s="191"/>
    </row>
    <row r="132" spans="1:50" s="3" customFormat="1" ht="18" customHeight="1" thickBot="1" x14ac:dyDescent="0.35">
      <c r="A132" s="149" t="s">
        <v>126</v>
      </c>
      <c r="B132" s="135" t="s">
        <v>304</v>
      </c>
      <c r="C132" s="279">
        <v>395905</v>
      </c>
      <c r="D132" s="136"/>
      <c r="E132" s="187">
        <f t="shared" si="3"/>
        <v>395905</v>
      </c>
      <c r="F132" s="187">
        <f t="shared" si="4"/>
        <v>395905</v>
      </c>
      <c r="G132" s="187">
        <f t="shared" si="5"/>
        <v>0</v>
      </c>
      <c r="H132" s="190"/>
      <c r="I132" s="190"/>
      <c r="J132" s="190"/>
      <c r="K132" s="190"/>
      <c r="L132" s="190"/>
      <c r="M132" s="190"/>
      <c r="N132" s="190"/>
      <c r="O132" s="190"/>
      <c r="P132" s="190"/>
      <c r="Q132" s="190">
        <v>64080</v>
      </c>
      <c r="R132" s="190"/>
      <c r="S132" s="190">
        <v>148192</v>
      </c>
      <c r="T132" s="190"/>
      <c r="U132" s="190"/>
      <c r="V132" s="190"/>
      <c r="W132" s="190"/>
      <c r="X132" s="190">
        <v>183633</v>
      </c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1"/>
      <c r="AS132" s="191"/>
      <c r="AT132" s="191"/>
      <c r="AU132" s="191"/>
      <c r="AV132" s="191"/>
      <c r="AW132" s="191"/>
      <c r="AX132" s="191"/>
    </row>
    <row r="133" spans="1:50" s="3" customFormat="1" ht="18" customHeight="1" thickBot="1" x14ac:dyDescent="0.35">
      <c r="A133" s="149" t="s">
        <v>127</v>
      </c>
      <c r="B133" s="135" t="s">
        <v>305</v>
      </c>
      <c r="C133" s="279">
        <v>78422</v>
      </c>
      <c r="D133" s="136"/>
      <c r="E133" s="187">
        <f t="shared" si="3"/>
        <v>78422</v>
      </c>
      <c r="F133" s="187">
        <f t="shared" si="4"/>
        <v>78422</v>
      </c>
      <c r="G133" s="187">
        <f t="shared" si="5"/>
        <v>0</v>
      </c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>
        <v>78422</v>
      </c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1"/>
      <c r="AJ133" s="191"/>
      <c r="AK133" s="191"/>
      <c r="AL133" s="191"/>
      <c r="AM133" s="191"/>
      <c r="AN133" s="191"/>
      <c r="AO133" s="191"/>
      <c r="AP133" s="191"/>
      <c r="AQ133" s="191"/>
      <c r="AR133" s="191"/>
      <c r="AS133" s="191"/>
      <c r="AT133" s="191"/>
      <c r="AU133" s="191"/>
      <c r="AV133" s="191"/>
      <c r="AW133" s="191"/>
      <c r="AX133" s="191"/>
    </row>
    <row r="134" spans="1:50" s="3" customFormat="1" ht="18" customHeight="1" thickBot="1" x14ac:dyDescent="0.35">
      <c r="A134" s="149" t="s">
        <v>128</v>
      </c>
      <c r="B134" s="135" t="s">
        <v>306</v>
      </c>
      <c r="C134" s="279">
        <v>95604</v>
      </c>
      <c r="D134" s="136"/>
      <c r="E134" s="187">
        <f t="shared" si="3"/>
        <v>95604</v>
      </c>
      <c r="F134" s="187">
        <f t="shared" si="4"/>
        <v>95604</v>
      </c>
      <c r="G134" s="187">
        <f t="shared" si="5"/>
        <v>0</v>
      </c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>
        <v>94849</v>
      </c>
      <c r="T134" s="190"/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>
        <v>755</v>
      </c>
      <c r="AF134" s="190"/>
      <c r="AG134" s="190"/>
      <c r="AH134" s="190"/>
      <c r="AI134" s="191"/>
      <c r="AJ134" s="191"/>
      <c r="AK134" s="191"/>
      <c r="AL134" s="191"/>
      <c r="AM134" s="191"/>
      <c r="AN134" s="191"/>
      <c r="AO134" s="191"/>
      <c r="AP134" s="191"/>
      <c r="AQ134" s="191"/>
      <c r="AR134" s="191"/>
      <c r="AS134" s="191"/>
      <c r="AT134" s="191"/>
      <c r="AU134" s="191"/>
      <c r="AV134" s="191"/>
      <c r="AW134" s="191"/>
      <c r="AX134" s="191"/>
    </row>
    <row r="135" spans="1:50" s="3" customFormat="1" ht="18" customHeight="1" thickBot="1" x14ac:dyDescent="0.35">
      <c r="A135" s="149" t="s">
        <v>129</v>
      </c>
      <c r="B135" s="135" t="s">
        <v>307</v>
      </c>
      <c r="C135" s="279">
        <v>23332</v>
      </c>
      <c r="D135" s="136"/>
      <c r="E135" s="187">
        <f t="shared" si="3"/>
        <v>23332</v>
      </c>
      <c r="F135" s="187">
        <f t="shared" si="4"/>
        <v>23329</v>
      </c>
      <c r="G135" s="187">
        <f t="shared" si="5"/>
        <v>3</v>
      </c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0">
        <v>23329</v>
      </c>
      <c r="AE135" s="190"/>
      <c r="AF135" s="190"/>
      <c r="AG135" s="190"/>
      <c r="AH135" s="190"/>
      <c r="AI135" s="191"/>
      <c r="AJ135" s="191"/>
      <c r="AK135" s="191"/>
      <c r="AL135" s="191"/>
      <c r="AM135" s="191"/>
      <c r="AN135" s="191"/>
      <c r="AO135" s="191"/>
      <c r="AP135" s="191"/>
      <c r="AQ135" s="191"/>
      <c r="AR135" s="191"/>
      <c r="AS135" s="191"/>
      <c r="AT135" s="191"/>
      <c r="AU135" s="191"/>
      <c r="AV135" s="191"/>
      <c r="AW135" s="191"/>
      <c r="AX135" s="191"/>
    </row>
    <row r="136" spans="1:50" s="3" customFormat="1" ht="18" customHeight="1" thickBot="1" x14ac:dyDescent="0.35">
      <c r="A136" s="149" t="s">
        <v>130</v>
      </c>
      <c r="B136" s="135" t="s">
        <v>308</v>
      </c>
      <c r="C136" s="279">
        <v>67574</v>
      </c>
      <c r="D136" s="136"/>
      <c r="E136" s="187">
        <f t="shared" si="3"/>
        <v>67574</v>
      </c>
      <c r="F136" s="187">
        <f t="shared" si="4"/>
        <v>67574</v>
      </c>
      <c r="G136" s="187">
        <f t="shared" si="5"/>
        <v>0</v>
      </c>
      <c r="H136" s="190"/>
      <c r="I136" s="190"/>
      <c r="J136" s="190"/>
      <c r="K136" s="190">
        <v>6838</v>
      </c>
      <c r="L136" s="190">
        <v>6682</v>
      </c>
      <c r="M136" s="190">
        <v>6760</v>
      </c>
      <c r="N136" s="190">
        <v>6760</v>
      </c>
      <c r="O136" s="190">
        <v>6760</v>
      </c>
      <c r="P136" s="190">
        <v>6760</v>
      </c>
      <c r="Q136" s="190">
        <v>6760</v>
      </c>
      <c r="R136" s="190">
        <v>6760</v>
      </c>
      <c r="S136" s="190">
        <v>13494</v>
      </c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1"/>
      <c r="AJ136" s="191"/>
      <c r="AK136" s="191"/>
      <c r="AL136" s="191"/>
      <c r="AM136" s="191"/>
      <c r="AN136" s="191"/>
      <c r="AO136" s="191"/>
      <c r="AP136" s="191"/>
      <c r="AQ136" s="191"/>
      <c r="AR136" s="191"/>
      <c r="AS136" s="191"/>
      <c r="AT136" s="191"/>
      <c r="AU136" s="191"/>
      <c r="AV136" s="191"/>
      <c r="AW136" s="191"/>
      <c r="AX136" s="191"/>
    </row>
    <row r="137" spans="1:50" s="3" customFormat="1" ht="18" customHeight="1" thickBot="1" x14ac:dyDescent="0.35">
      <c r="A137" s="149" t="s">
        <v>131</v>
      </c>
      <c r="B137" s="135" t="s">
        <v>309</v>
      </c>
      <c r="C137" s="279">
        <v>22592</v>
      </c>
      <c r="D137" s="136"/>
      <c r="E137" s="187">
        <f t="shared" si="3"/>
        <v>22592</v>
      </c>
      <c r="F137" s="187">
        <f t="shared" si="4"/>
        <v>22592</v>
      </c>
      <c r="G137" s="187">
        <f t="shared" si="5"/>
        <v>0</v>
      </c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0"/>
      <c r="AE137" s="190">
        <v>20080.240000000002</v>
      </c>
      <c r="AF137" s="190"/>
      <c r="AG137" s="190"/>
      <c r="AH137" s="190"/>
      <c r="AI137" s="191"/>
      <c r="AJ137" s="191"/>
      <c r="AK137" s="191"/>
      <c r="AL137" s="191"/>
      <c r="AM137" s="191"/>
      <c r="AN137" s="191"/>
      <c r="AO137" s="191">
        <f>2167.76+344</f>
        <v>2511.7600000000002</v>
      </c>
      <c r="AP137" s="191"/>
      <c r="AQ137" s="191"/>
      <c r="AR137" s="191"/>
      <c r="AS137" s="191"/>
      <c r="AT137" s="191"/>
      <c r="AU137" s="191"/>
      <c r="AV137" s="191"/>
      <c r="AW137" s="191"/>
      <c r="AX137" s="191"/>
    </row>
    <row r="138" spans="1:50" s="3" customFormat="1" ht="18" customHeight="1" thickBot="1" x14ac:dyDescent="0.35">
      <c r="A138" s="149" t="s">
        <v>132</v>
      </c>
      <c r="B138" s="135" t="s">
        <v>310</v>
      </c>
      <c r="C138" s="279">
        <v>32711</v>
      </c>
      <c r="D138" s="136"/>
      <c r="E138" s="187">
        <f t="shared" si="3"/>
        <v>32711</v>
      </c>
      <c r="F138" s="187">
        <f t="shared" si="4"/>
        <v>32711</v>
      </c>
      <c r="G138" s="187">
        <f t="shared" si="5"/>
        <v>0</v>
      </c>
      <c r="H138" s="190"/>
      <c r="I138" s="190"/>
      <c r="J138" s="190"/>
      <c r="K138" s="190"/>
      <c r="L138" s="190"/>
      <c r="M138" s="190"/>
      <c r="N138" s="190"/>
      <c r="O138" s="190">
        <v>30001</v>
      </c>
      <c r="P138" s="190"/>
      <c r="Q138" s="190"/>
      <c r="R138" s="190">
        <v>2586</v>
      </c>
      <c r="S138" s="190"/>
      <c r="T138" s="190"/>
      <c r="U138" s="190"/>
      <c r="V138" s="190"/>
      <c r="W138" s="190"/>
      <c r="X138" s="190"/>
      <c r="Y138" s="190"/>
      <c r="Z138" s="190"/>
      <c r="AA138" s="190">
        <v>124</v>
      </c>
      <c r="AB138" s="190"/>
      <c r="AC138" s="190"/>
      <c r="AD138" s="190"/>
      <c r="AE138" s="190"/>
      <c r="AF138" s="190"/>
      <c r="AG138" s="190"/>
      <c r="AH138" s="190"/>
      <c r="AI138" s="191"/>
      <c r="AJ138" s="191"/>
      <c r="AK138" s="191"/>
      <c r="AL138" s="191"/>
      <c r="AM138" s="191"/>
      <c r="AN138" s="191"/>
      <c r="AO138" s="191"/>
      <c r="AP138" s="191"/>
      <c r="AQ138" s="191"/>
      <c r="AR138" s="191"/>
      <c r="AS138" s="191"/>
      <c r="AT138" s="191"/>
      <c r="AU138" s="191"/>
      <c r="AV138" s="191"/>
      <c r="AW138" s="191"/>
      <c r="AX138" s="191"/>
    </row>
    <row r="139" spans="1:50" s="3" customFormat="1" ht="18" customHeight="1" thickBot="1" x14ac:dyDescent="0.35">
      <c r="A139" s="149" t="s">
        <v>133</v>
      </c>
      <c r="B139" s="135" t="s">
        <v>311</v>
      </c>
      <c r="C139" s="279">
        <v>121812</v>
      </c>
      <c r="D139" s="136"/>
      <c r="E139" s="187">
        <f t="shared" si="3"/>
        <v>121812</v>
      </c>
      <c r="F139" s="187">
        <f t="shared" si="4"/>
        <v>121812</v>
      </c>
      <c r="G139" s="187">
        <f t="shared" si="5"/>
        <v>0</v>
      </c>
      <c r="H139" s="190"/>
      <c r="I139" s="190"/>
      <c r="J139" s="190"/>
      <c r="K139" s="190"/>
      <c r="L139" s="190"/>
      <c r="M139" s="190">
        <v>31109.58</v>
      </c>
      <c r="N139" s="190"/>
      <c r="O139" s="190">
        <v>34107.17</v>
      </c>
      <c r="P139" s="190"/>
      <c r="Q139" s="190"/>
      <c r="R139" s="190">
        <v>24791.34</v>
      </c>
      <c r="S139" s="190"/>
      <c r="T139" s="190">
        <v>17037.77</v>
      </c>
      <c r="U139" s="190">
        <v>14766.14</v>
      </c>
      <c r="V139" s="190"/>
      <c r="W139" s="190"/>
      <c r="X139" s="190"/>
      <c r="Y139" s="190"/>
      <c r="Z139" s="190"/>
      <c r="AA139" s="190"/>
      <c r="AB139" s="190"/>
      <c r="AC139" s="190"/>
      <c r="AD139" s="190"/>
      <c r="AE139" s="190"/>
      <c r="AF139" s="190"/>
      <c r="AG139" s="190"/>
      <c r="AH139" s="190"/>
      <c r="AI139" s="191"/>
      <c r="AJ139" s="191"/>
      <c r="AK139" s="191"/>
      <c r="AL139" s="191"/>
      <c r="AM139" s="191"/>
      <c r="AN139" s="191"/>
      <c r="AO139" s="191"/>
      <c r="AP139" s="191"/>
      <c r="AQ139" s="191"/>
      <c r="AR139" s="191"/>
      <c r="AS139" s="191"/>
      <c r="AT139" s="191"/>
      <c r="AU139" s="191"/>
      <c r="AV139" s="191"/>
      <c r="AW139" s="191"/>
      <c r="AX139" s="191"/>
    </row>
    <row r="140" spans="1:50" s="3" customFormat="1" ht="18" customHeight="1" thickBot="1" x14ac:dyDescent="0.35">
      <c r="A140" s="149" t="s">
        <v>134</v>
      </c>
      <c r="B140" s="135" t="s">
        <v>522</v>
      </c>
      <c r="C140" s="279">
        <v>109767</v>
      </c>
      <c r="D140" s="136"/>
      <c r="E140" s="187">
        <f t="shared" si="3"/>
        <v>109767</v>
      </c>
      <c r="F140" s="187">
        <f t="shared" si="4"/>
        <v>109767</v>
      </c>
      <c r="G140" s="187">
        <f t="shared" si="5"/>
        <v>0</v>
      </c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>
        <f>90765.18+5345</f>
        <v>96110.18</v>
      </c>
      <c r="T140" s="190"/>
      <c r="U140" s="190"/>
      <c r="V140" s="190"/>
      <c r="W140" s="190"/>
      <c r="X140" s="190"/>
      <c r="Y140" s="190"/>
      <c r="Z140" s="190"/>
      <c r="AA140" s="190"/>
      <c r="AB140" s="190"/>
      <c r="AC140" s="190"/>
      <c r="AD140" s="190"/>
      <c r="AE140" s="190">
        <v>13656.82</v>
      </c>
      <c r="AF140" s="190"/>
      <c r="AG140" s="190"/>
      <c r="AH140" s="190"/>
      <c r="AI140" s="191"/>
      <c r="AJ140" s="191"/>
      <c r="AK140" s="191"/>
      <c r="AL140" s="191"/>
      <c r="AM140" s="191"/>
      <c r="AN140" s="191"/>
      <c r="AO140" s="191"/>
      <c r="AP140" s="191"/>
      <c r="AQ140" s="191"/>
      <c r="AR140" s="191"/>
      <c r="AS140" s="191"/>
      <c r="AT140" s="191"/>
      <c r="AU140" s="191"/>
      <c r="AV140" s="191"/>
      <c r="AW140" s="191"/>
      <c r="AX140" s="191"/>
    </row>
    <row r="141" spans="1:50" s="3" customFormat="1" ht="18" customHeight="1" thickBot="1" x14ac:dyDescent="0.35">
      <c r="A141" s="149" t="s">
        <v>135</v>
      </c>
      <c r="B141" s="135" t="s">
        <v>523</v>
      </c>
      <c r="C141" s="279">
        <v>87064</v>
      </c>
      <c r="D141" s="136"/>
      <c r="E141" s="187">
        <f t="shared" ref="E141:E191" si="6">C141</f>
        <v>87064</v>
      </c>
      <c r="F141" s="187">
        <f t="shared" ref="F141:F194" si="7">SUM(H141:AT141)</f>
        <v>87064</v>
      </c>
      <c r="G141" s="187">
        <f t="shared" si="5"/>
        <v>0</v>
      </c>
      <c r="H141" s="190"/>
      <c r="I141" s="190"/>
      <c r="J141" s="190"/>
      <c r="K141" s="190"/>
      <c r="L141" s="190"/>
      <c r="M141" s="190"/>
      <c r="N141" s="190"/>
      <c r="O141" s="190">
        <v>39923</v>
      </c>
      <c r="P141" s="190"/>
      <c r="Q141" s="190"/>
      <c r="R141" s="190">
        <v>45835</v>
      </c>
      <c r="S141" s="190"/>
      <c r="T141" s="190"/>
      <c r="U141" s="190"/>
      <c r="V141" s="190"/>
      <c r="W141" s="190"/>
      <c r="X141" s="190"/>
      <c r="Y141" s="190"/>
      <c r="Z141" s="190">
        <v>1306</v>
      </c>
      <c r="AA141" s="190"/>
      <c r="AB141" s="190"/>
      <c r="AC141" s="190"/>
      <c r="AD141" s="190"/>
      <c r="AE141" s="190"/>
      <c r="AF141" s="190"/>
      <c r="AG141" s="190"/>
      <c r="AH141" s="190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  <c r="AW141" s="191"/>
      <c r="AX141" s="191"/>
    </row>
    <row r="142" spans="1:50" s="3" customFormat="1" ht="18" customHeight="1" thickBot="1" x14ac:dyDescent="0.35">
      <c r="A142" s="149" t="s">
        <v>136</v>
      </c>
      <c r="B142" s="135" t="s">
        <v>525</v>
      </c>
      <c r="C142" s="279">
        <v>31756</v>
      </c>
      <c r="D142" s="136">
        <v>9040</v>
      </c>
      <c r="E142" s="187">
        <v>0</v>
      </c>
      <c r="F142" s="187">
        <f t="shared" si="7"/>
        <v>0</v>
      </c>
      <c r="G142" s="187">
        <f t="shared" ref="G142:G194" si="8">E142-(F142+AW142+AX142)</f>
        <v>0</v>
      </c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  <c r="AA142" s="190"/>
      <c r="AB142" s="190"/>
      <c r="AC142" s="190"/>
      <c r="AD142" s="190"/>
      <c r="AE142" s="190"/>
      <c r="AF142" s="190"/>
      <c r="AG142" s="190"/>
      <c r="AH142" s="190"/>
      <c r="AI142" s="191"/>
      <c r="AJ142" s="191"/>
      <c r="AK142" s="191"/>
      <c r="AL142" s="191"/>
      <c r="AM142" s="191"/>
      <c r="AN142" s="191"/>
      <c r="AO142" s="191"/>
      <c r="AP142" s="191"/>
      <c r="AQ142" s="191"/>
      <c r="AR142" s="191"/>
      <c r="AS142" s="191"/>
      <c r="AT142" s="191"/>
      <c r="AU142" s="191"/>
      <c r="AV142" s="191"/>
      <c r="AW142" s="191"/>
      <c r="AX142" s="191"/>
    </row>
    <row r="143" spans="1:50" s="3" customFormat="1" ht="18" customHeight="1" thickBot="1" x14ac:dyDescent="0.35">
      <c r="A143" s="149" t="s">
        <v>137</v>
      </c>
      <c r="B143" s="135" t="s">
        <v>315</v>
      </c>
      <c r="C143" s="279">
        <v>38576</v>
      </c>
      <c r="D143" s="136"/>
      <c r="E143" s="187">
        <f t="shared" si="6"/>
        <v>38576</v>
      </c>
      <c r="F143" s="187">
        <f t="shared" si="7"/>
        <v>38576</v>
      </c>
      <c r="G143" s="187">
        <f t="shared" si="8"/>
        <v>0</v>
      </c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  <c r="Z143" s="190"/>
      <c r="AA143" s="190">
        <f>37177+1399</f>
        <v>38576</v>
      </c>
      <c r="AB143" s="190"/>
      <c r="AC143" s="190"/>
      <c r="AD143" s="190"/>
      <c r="AE143" s="190"/>
      <c r="AF143" s="190"/>
      <c r="AG143" s="190"/>
      <c r="AH143" s="190"/>
      <c r="AI143" s="191"/>
      <c r="AJ143" s="191"/>
      <c r="AK143" s="191"/>
      <c r="AL143" s="191"/>
      <c r="AM143" s="191"/>
      <c r="AN143" s="191"/>
      <c r="AO143" s="191"/>
      <c r="AP143" s="191"/>
      <c r="AQ143" s="191"/>
      <c r="AR143" s="191"/>
      <c r="AS143" s="191"/>
      <c r="AT143" s="191"/>
      <c r="AU143" s="191"/>
      <c r="AV143" s="191"/>
      <c r="AW143" s="191"/>
      <c r="AX143" s="191"/>
    </row>
    <row r="144" spans="1:50" s="3" customFormat="1" ht="18" customHeight="1" thickBot="1" x14ac:dyDescent="0.35">
      <c r="A144" s="149" t="s">
        <v>138</v>
      </c>
      <c r="B144" s="135" t="s">
        <v>527</v>
      </c>
      <c r="C144" s="279">
        <v>54007</v>
      </c>
      <c r="D144" s="136"/>
      <c r="E144" s="187">
        <f t="shared" si="6"/>
        <v>54007</v>
      </c>
      <c r="F144" s="187">
        <f t="shared" si="7"/>
        <v>54007</v>
      </c>
      <c r="G144" s="187">
        <f t="shared" si="8"/>
        <v>0</v>
      </c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>
        <v>53712</v>
      </c>
      <c r="Y144" s="190"/>
      <c r="Z144" s="190"/>
      <c r="AA144" s="190"/>
      <c r="AB144" s="190"/>
      <c r="AC144" s="190"/>
      <c r="AD144" s="190"/>
      <c r="AE144" s="190"/>
      <c r="AF144" s="190">
        <v>295</v>
      </c>
      <c r="AG144" s="190"/>
      <c r="AH144" s="190"/>
      <c r="AI144" s="191"/>
      <c r="AJ144" s="191"/>
      <c r="AK144" s="191"/>
      <c r="AL144" s="191"/>
      <c r="AM144" s="191"/>
      <c r="AN144" s="191"/>
      <c r="AO144" s="191"/>
      <c r="AP144" s="191"/>
      <c r="AQ144" s="191"/>
      <c r="AR144" s="191"/>
      <c r="AS144" s="191"/>
      <c r="AT144" s="191"/>
      <c r="AU144" s="191"/>
      <c r="AV144" s="191"/>
      <c r="AW144" s="191"/>
      <c r="AX144" s="191"/>
    </row>
    <row r="145" spans="1:50" s="3" customFormat="1" ht="18" customHeight="1" thickBot="1" x14ac:dyDescent="0.35">
      <c r="A145" s="149" t="s">
        <v>139</v>
      </c>
      <c r="B145" s="135" t="s">
        <v>529</v>
      </c>
      <c r="C145" s="279">
        <v>458261</v>
      </c>
      <c r="D145" s="136"/>
      <c r="E145" s="187">
        <f t="shared" si="6"/>
        <v>458261</v>
      </c>
      <c r="F145" s="187">
        <f t="shared" si="7"/>
        <v>458261</v>
      </c>
      <c r="G145" s="187">
        <f t="shared" si="8"/>
        <v>0</v>
      </c>
      <c r="H145" s="190"/>
      <c r="I145" s="190"/>
      <c r="J145" s="190"/>
      <c r="K145" s="190"/>
      <c r="L145" s="190"/>
      <c r="M145" s="190">
        <f>26514+36163</f>
        <v>62677</v>
      </c>
      <c r="N145" s="190">
        <v>37160</v>
      </c>
      <c r="O145" s="190">
        <v>36030</v>
      </c>
      <c r="P145" s="190">
        <v>37657</v>
      </c>
      <c r="Q145" s="190">
        <v>37162</v>
      </c>
      <c r="R145" s="190">
        <v>37164</v>
      </c>
      <c r="S145" s="190">
        <f>37164*2</f>
        <v>74328</v>
      </c>
      <c r="T145" s="190"/>
      <c r="U145" s="190"/>
      <c r="V145" s="190"/>
      <c r="W145" s="190">
        <v>109277</v>
      </c>
      <c r="X145" s="190">
        <v>26806</v>
      </c>
      <c r="Y145" s="190"/>
      <c r="Z145" s="190"/>
      <c r="AA145" s="190"/>
      <c r="AB145" s="190"/>
      <c r="AC145" s="190"/>
      <c r="AD145" s="190"/>
      <c r="AE145" s="190"/>
      <c r="AF145" s="190"/>
      <c r="AG145" s="190"/>
      <c r="AH145" s="190"/>
      <c r="AI145" s="191"/>
      <c r="AJ145" s="191"/>
      <c r="AK145" s="191"/>
      <c r="AL145" s="191"/>
      <c r="AM145" s="191"/>
      <c r="AN145" s="191"/>
      <c r="AO145" s="191"/>
      <c r="AP145" s="191"/>
      <c r="AQ145" s="191"/>
      <c r="AR145" s="191"/>
      <c r="AS145" s="191"/>
      <c r="AT145" s="191"/>
      <c r="AU145" s="191"/>
      <c r="AV145" s="191"/>
      <c r="AW145" s="191"/>
      <c r="AX145" s="191"/>
    </row>
    <row r="146" spans="1:50" s="3" customFormat="1" ht="18" customHeight="1" thickBot="1" x14ac:dyDescent="0.35">
      <c r="A146" s="149" t="s">
        <v>140</v>
      </c>
      <c r="B146" s="135" t="s">
        <v>530</v>
      </c>
      <c r="C146" s="279">
        <v>70689</v>
      </c>
      <c r="D146" s="136"/>
      <c r="E146" s="187">
        <f t="shared" si="6"/>
        <v>70689</v>
      </c>
      <c r="F146" s="187">
        <f t="shared" si="7"/>
        <v>70689</v>
      </c>
      <c r="G146" s="187">
        <f t="shared" si="8"/>
        <v>0</v>
      </c>
      <c r="H146" s="190"/>
      <c r="I146" s="190"/>
      <c r="J146" s="190"/>
      <c r="K146" s="190"/>
      <c r="L146" s="190"/>
      <c r="M146" s="192"/>
      <c r="N146" s="190"/>
      <c r="O146" s="190">
        <v>70686</v>
      </c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  <c r="AA146" s="190"/>
      <c r="AB146" s="190"/>
      <c r="AC146" s="190">
        <v>3</v>
      </c>
      <c r="AD146" s="190"/>
      <c r="AE146" s="190"/>
      <c r="AF146" s="190"/>
      <c r="AG146" s="190"/>
      <c r="AH146" s="190"/>
      <c r="AI146" s="191"/>
      <c r="AJ146" s="191"/>
      <c r="AK146" s="191"/>
      <c r="AL146" s="191"/>
      <c r="AM146" s="191"/>
      <c r="AN146" s="191"/>
      <c r="AO146" s="191"/>
      <c r="AP146" s="191"/>
      <c r="AQ146" s="191"/>
      <c r="AR146" s="191"/>
      <c r="AS146" s="191"/>
      <c r="AT146" s="191"/>
      <c r="AU146" s="191"/>
      <c r="AV146" s="191"/>
      <c r="AW146" s="191"/>
      <c r="AX146" s="191"/>
    </row>
    <row r="147" spans="1:50" s="3" customFormat="1" ht="18" customHeight="1" thickBot="1" x14ac:dyDescent="0.35">
      <c r="A147" s="149" t="s">
        <v>141</v>
      </c>
      <c r="B147" s="135" t="s">
        <v>531</v>
      </c>
      <c r="C147" s="279">
        <v>36354</v>
      </c>
      <c r="D147" s="136"/>
      <c r="E147" s="187">
        <f t="shared" si="6"/>
        <v>36354</v>
      </c>
      <c r="F147" s="187">
        <f t="shared" si="7"/>
        <v>36354</v>
      </c>
      <c r="G147" s="187">
        <f t="shared" si="8"/>
        <v>0</v>
      </c>
      <c r="H147" s="190"/>
      <c r="I147" s="190"/>
      <c r="J147" s="190"/>
      <c r="K147" s="190"/>
      <c r="L147" s="190"/>
      <c r="M147" s="190"/>
      <c r="N147" s="190"/>
      <c r="O147" s="190">
        <v>12355.5</v>
      </c>
      <c r="P147" s="190"/>
      <c r="Q147" s="190">
        <v>9243.75</v>
      </c>
      <c r="R147" s="190"/>
      <c r="S147" s="190">
        <v>8542.25</v>
      </c>
      <c r="T147" s="190"/>
      <c r="U147" s="190"/>
      <c r="V147" s="190">
        <v>6212.5</v>
      </c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190"/>
      <c r="AH147" s="190"/>
      <c r="AI147" s="191"/>
      <c r="AJ147" s="191"/>
      <c r="AK147" s="191"/>
      <c r="AL147" s="191"/>
      <c r="AM147" s="191"/>
      <c r="AN147" s="191"/>
      <c r="AO147" s="191"/>
      <c r="AP147" s="191"/>
      <c r="AQ147" s="191"/>
      <c r="AR147" s="191"/>
      <c r="AS147" s="191"/>
      <c r="AT147" s="191"/>
      <c r="AU147" s="191"/>
      <c r="AV147" s="191"/>
      <c r="AW147" s="191"/>
      <c r="AX147" s="191"/>
    </row>
    <row r="148" spans="1:50" s="3" customFormat="1" ht="18" customHeight="1" thickBot="1" x14ac:dyDescent="0.35">
      <c r="A148" s="149" t="s">
        <v>142</v>
      </c>
      <c r="B148" s="135" t="s">
        <v>320</v>
      </c>
      <c r="C148" s="279">
        <v>5819472</v>
      </c>
      <c r="D148" s="136"/>
      <c r="E148" s="187">
        <f t="shared" si="6"/>
        <v>5819472</v>
      </c>
      <c r="F148" s="187">
        <f t="shared" si="7"/>
        <v>5819472</v>
      </c>
      <c r="G148" s="187">
        <f t="shared" si="8"/>
        <v>0</v>
      </c>
      <c r="H148" s="190"/>
      <c r="I148" s="190"/>
      <c r="J148" s="190"/>
      <c r="K148" s="190"/>
      <c r="L148" s="190">
        <v>511105.02</v>
      </c>
      <c r="M148" s="190"/>
      <c r="N148" s="190">
        <v>799534.04</v>
      </c>
      <c r="O148" s="190">
        <v>560095.57999999996</v>
      </c>
      <c r="P148" s="190">
        <v>613317.14</v>
      </c>
      <c r="Q148" s="273">
        <v>392933.75</v>
      </c>
      <c r="R148" s="190">
        <v>415030.67</v>
      </c>
      <c r="S148" s="190">
        <v>519075.06</v>
      </c>
      <c r="T148" s="190"/>
      <c r="U148" s="190"/>
      <c r="V148" s="190">
        <v>1058349.9099999999</v>
      </c>
      <c r="W148" s="190">
        <v>32552</v>
      </c>
      <c r="X148" s="190">
        <v>917478.83</v>
      </c>
      <c r="Y148" s="190"/>
      <c r="Z148" s="190"/>
      <c r="AA148" s="190"/>
      <c r="AB148" s="190"/>
      <c r="AC148" s="190"/>
      <c r="AD148" s="190"/>
      <c r="AE148" s="190"/>
      <c r="AF148" s="190"/>
      <c r="AG148" s="190"/>
      <c r="AH148" s="190"/>
      <c r="AI148" s="191"/>
      <c r="AJ148" s="191"/>
      <c r="AK148" s="191"/>
      <c r="AL148" s="191"/>
      <c r="AM148" s="191"/>
      <c r="AN148" s="191"/>
      <c r="AO148" s="191"/>
      <c r="AP148" s="191"/>
      <c r="AQ148" s="191"/>
      <c r="AR148" s="191"/>
      <c r="AS148" s="191"/>
      <c r="AT148" s="191"/>
      <c r="AU148" s="191"/>
      <c r="AV148" s="191"/>
      <c r="AW148" s="191"/>
      <c r="AX148" s="191"/>
    </row>
    <row r="149" spans="1:50" s="3" customFormat="1" ht="18" customHeight="1" thickBot="1" x14ac:dyDescent="0.35">
      <c r="A149" s="149" t="s">
        <v>143</v>
      </c>
      <c r="B149" s="135" t="s">
        <v>533</v>
      </c>
      <c r="C149" s="279">
        <v>1071541</v>
      </c>
      <c r="D149" s="136"/>
      <c r="E149" s="187">
        <f t="shared" si="6"/>
        <v>1071541</v>
      </c>
      <c r="F149" s="187">
        <f t="shared" si="7"/>
        <v>1071541</v>
      </c>
      <c r="G149" s="187">
        <f t="shared" si="8"/>
        <v>0</v>
      </c>
      <c r="H149" s="190"/>
      <c r="I149" s="190"/>
      <c r="J149" s="190"/>
      <c r="K149" s="190"/>
      <c r="L149" s="190"/>
      <c r="M149" s="190"/>
      <c r="N149" s="190">
        <v>56394.22</v>
      </c>
      <c r="O149" s="190">
        <v>61951.12</v>
      </c>
      <c r="P149" s="190">
        <v>73921.17</v>
      </c>
      <c r="Q149" s="190">
        <v>72673.789999999994</v>
      </c>
      <c r="R149" s="190">
        <v>81605.19</v>
      </c>
      <c r="S149" s="190">
        <v>92258.92</v>
      </c>
      <c r="T149" s="190"/>
      <c r="U149" s="190">
        <v>112834.54</v>
      </c>
      <c r="V149" s="190"/>
      <c r="W149" s="190"/>
      <c r="X149" s="190"/>
      <c r="Y149" s="190">
        <v>223510.69</v>
      </c>
      <c r="Z149" s="190">
        <v>153854.39000000001</v>
      </c>
      <c r="AA149" s="190">
        <v>76291.62</v>
      </c>
      <c r="AB149" s="190"/>
      <c r="AC149" s="190">
        <v>66245.350000000006</v>
      </c>
      <c r="AD149" s="190"/>
      <c r="AE149" s="190"/>
      <c r="AF149" s="190"/>
      <c r="AG149" s="190"/>
      <c r="AH149" s="190"/>
      <c r="AI149" s="191"/>
      <c r="AJ149" s="191"/>
      <c r="AK149" s="191"/>
      <c r="AL149" s="191"/>
      <c r="AM149" s="191"/>
      <c r="AN149" s="191"/>
      <c r="AO149" s="191"/>
      <c r="AP149" s="191"/>
      <c r="AQ149" s="191"/>
      <c r="AR149" s="191"/>
      <c r="AS149" s="191"/>
      <c r="AT149" s="191"/>
      <c r="AU149" s="191"/>
      <c r="AV149" s="191"/>
      <c r="AW149" s="191"/>
      <c r="AX149" s="191"/>
    </row>
    <row r="150" spans="1:50" s="3" customFormat="1" ht="18" customHeight="1" thickBot="1" x14ac:dyDescent="0.35">
      <c r="A150" s="149" t="s">
        <v>144</v>
      </c>
      <c r="B150" s="135" t="s">
        <v>322</v>
      </c>
      <c r="C150" s="279">
        <v>94910</v>
      </c>
      <c r="D150" s="136"/>
      <c r="E150" s="187">
        <f t="shared" si="6"/>
        <v>94910</v>
      </c>
      <c r="F150" s="187">
        <f t="shared" si="7"/>
        <v>94910</v>
      </c>
      <c r="G150" s="187">
        <f t="shared" si="8"/>
        <v>0</v>
      </c>
      <c r="H150" s="190"/>
      <c r="I150" s="190"/>
      <c r="J150" s="190"/>
      <c r="K150" s="190">
        <v>22878.5</v>
      </c>
      <c r="L150" s="190"/>
      <c r="M150" s="190"/>
      <c r="N150" s="190"/>
      <c r="O150" s="190">
        <v>23807.5</v>
      </c>
      <c r="P150" s="190"/>
      <c r="Q150" s="190">
        <v>23807.5</v>
      </c>
      <c r="R150" s="190"/>
      <c r="S150" s="190">
        <v>23807.5</v>
      </c>
      <c r="T150" s="190"/>
      <c r="U150" s="190"/>
      <c r="V150" s="190"/>
      <c r="W150" s="190"/>
      <c r="X150" s="190">
        <v>609</v>
      </c>
      <c r="Y150" s="190"/>
      <c r="Z150" s="190"/>
      <c r="AA150" s="190"/>
      <c r="AB150" s="190"/>
      <c r="AC150" s="190"/>
      <c r="AD150" s="190"/>
      <c r="AE150" s="190"/>
      <c r="AF150" s="190"/>
      <c r="AG150" s="190"/>
      <c r="AH150" s="190"/>
      <c r="AI150" s="191"/>
      <c r="AJ150" s="191"/>
      <c r="AK150" s="191"/>
      <c r="AL150" s="191"/>
      <c r="AM150" s="191"/>
      <c r="AN150" s="191"/>
      <c r="AO150" s="191"/>
      <c r="AP150" s="191"/>
      <c r="AQ150" s="191"/>
      <c r="AR150" s="191"/>
      <c r="AS150" s="191"/>
      <c r="AT150" s="191"/>
      <c r="AU150" s="191"/>
      <c r="AV150" s="191"/>
      <c r="AW150" s="191"/>
      <c r="AX150" s="191"/>
    </row>
    <row r="151" spans="1:50" s="3" customFormat="1" ht="18" customHeight="1" thickBot="1" x14ac:dyDescent="0.35">
      <c r="A151" s="149" t="s">
        <v>145</v>
      </c>
      <c r="B151" s="135" t="s">
        <v>536</v>
      </c>
      <c r="C151" s="279">
        <v>40640</v>
      </c>
      <c r="D151" s="136"/>
      <c r="E151" s="187">
        <f t="shared" si="6"/>
        <v>40640</v>
      </c>
      <c r="F151" s="187">
        <f t="shared" si="7"/>
        <v>40640</v>
      </c>
      <c r="G151" s="187">
        <f t="shared" si="8"/>
        <v>0</v>
      </c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>
        <v>40640</v>
      </c>
      <c r="T151" s="190"/>
      <c r="U151" s="190"/>
      <c r="V151" s="190"/>
      <c r="W151" s="190"/>
      <c r="X151" s="190"/>
      <c r="Y151" s="190"/>
      <c r="Z151" s="190"/>
      <c r="AA151" s="190"/>
      <c r="AB151" s="190"/>
      <c r="AC151" s="190"/>
      <c r="AD151" s="190"/>
      <c r="AE151" s="190"/>
      <c r="AF151" s="190"/>
      <c r="AG151" s="190"/>
      <c r="AH151" s="190"/>
      <c r="AI151" s="191"/>
      <c r="AJ151" s="191"/>
      <c r="AK151" s="191"/>
      <c r="AL151" s="191"/>
      <c r="AM151" s="191"/>
      <c r="AN151" s="191"/>
      <c r="AO151" s="191"/>
      <c r="AP151" s="191"/>
      <c r="AQ151" s="191"/>
      <c r="AR151" s="191"/>
      <c r="AS151" s="191"/>
      <c r="AT151" s="191"/>
      <c r="AU151" s="191"/>
      <c r="AV151" s="191"/>
      <c r="AW151" s="191"/>
      <c r="AX151" s="191"/>
    </row>
    <row r="152" spans="1:50" s="3" customFormat="1" ht="18" customHeight="1" thickBot="1" x14ac:dyDescent="0.35">
      <c r="A152" s="149" t="s">
        <v>146</v>
      </c>
      <c r="B152" s="135" t="s">
        <v>324</v>
      </c>
      <c r="C152" s="279">
        <v>218768</v>
      </c>
      <c r="D152" s="136"/>
      <c r="E152" s="187">
        <f t="shared" si="6"/>
        <v>218768</v>
      </c>
      <c r="F152" s="187">
        <f t="shared" si="7"/>
        <v>218768</v>
      </c>
      <c r="G152" s="187">
        <f t="shared" si="8"/>
        <v>0</v>
      </c>
      <c r="H152" s="190"/>
      <c r="I152" s="190"/>
      <c r="J152" s="190"/>
      <c r="K152" s="190"/>
      <c r="L152" s="190"/>
      <c r="M152" s="190"/>
      <c r="N152" s="190"/>
      <c r="O152" s="190"/>
      <c r="P152" s="190">
        <v>93339.19</v>
      </c>
      <c r="Q152" s="190"/>
      <c r="R152" s="190"/>
      <c r="S152" s="190">
        <v>70916.509999999995</v>
      </c>
      <c r="T152" s="190"/>
      <c r="U152" s="190"/>
      <c r="V152" s="190"/>
      <c r="W152" s="190">
        <v>37630.769999999997</v>
      </c>
      <c r="X152" s="190"/>
      <c r="Y152" s="190"/>
      <c r="Z152" s="190"/>
      <c r="AA152" s="190"/>
      <c r="AB152" s="190">
        <v>16881.53</v>
      </c>
      <c r="AC152" s="190"/>
      <c r="AD152" s="190"/>
      <c r="AE152" s="190"/>
      <c r="AF152" s="190"/>
      <c r="AG152" s="190"/>
      <c r="AH152" s="190"/>
      <c r="AI152" s="191"/>
      <c r="AJ152" s="191"/>
      <c r="AK152" s="191"/>
      <c r="AL152" s="191"/>
      <c r="AM152" s="191"/>
      <c r="AN152" s="191"/>
      <c r="AO152" s="191"/>
      <c r="AP152" s="191"/>
      <c r="AQ152" s="191"/>
      <c r="AR152" s="191"/>
      <c r="AS152" s="191"/>
      <c r="AT152" s="191"/>
      <c r="AU152" s="191"/>
      <c r="AV152" s="191"/>
      <c r="AW152" s="191"/>
      <c r="AX152" s="191"/>
    </row>
    <row r="153" spans="1:50" s="3" customFormat="1" ht="18" customHeight="1" thickBot="1" x14ac:dyDescent="0.35">
      <c r="A153" s="149" t="s">
        <v>147</v>
      </c>
      <c r="B153" s="135" t="s">
        <v>325</v>
      </c>
      <c r="C153" s="279">
        <v>283186</v>
      </c>
      <c r="D153" s="136"/>
      <c r="E153" s="187">
        <f t="shared" si="6"/>
        <v>283186</v>
      </c>
      <c r="F153" s="187">
        <f t="shared" si="7"/>
        <v>283186</v>
      </c>
      <c r="G153" s="187">
        <f t="shared" si="8"/>
        <v>0</v>
      </c>
      <c r="H153" s="190"/>
      <c r="I153" s="190"/>
      <c r="J153" s="190"/>
      <c r="K153" s="190">
        <v>12223</v>
      </c>
      <c r="L153" s="190">
        <v>22783</v>
      </c>
      <c r="M153" s="190">
        <v>24430</v>
      </c>
      <c r="N153" s="190">
        <v>21406</v>
      </c>
      <c r="O153" s="190">
        <v>22482</v>
      </c>
      <c r="P153" s="190">
        <v>22773</v>
      </c>
      <c r="Q153" s="190">
        <v>22976</v>
      </c>
      <c r="R153" s="190">
        <v>23093</v>
      </c>
      <c r="S153" s="190">
        <v>22596</v>
      </c>
      <c r="T153" s="190">
        <v>21456</v>
      </c>
      <c r="U153" s="190"/>
      <c r="V153" s="190">
        <v>45584</v>
      </c>
      <c r="W153" s="190">
        <v>17917</v>
      </c>
      <c r="X153" s="190">
        <v>3467</v>
      </c>
      <c r="Y153" s="190"/>
      <c r="Z153" s="190"/>
      <c r="AA153" s="190"/>
      <c r="AB153" s="190"/>
      <c r="AC153" s="190"/>
      <c r="AD153" s="190"/>
      <c r="AE153" s="190"/>
      <c r="AF153" s="190"/>
      <c r="AG153" s="190"/>
      <c r="AH153" s="190"/>
      <c r="AI153" s="191"/>
      <c r="AJ153" s="191"/>
      <c r="AK153" s="191"/>
      <c r="AL153" s="191"/>
      <c r="AM153" s="191"/>
      <c r="AN153" s="191"/>
      <c r="AO153" s="191"/>
      <c r="AP153" s="191"/>
      <c r="AQ153" s="191"/>
      <c r="AR153" s="191"/>
      <c r="AS153" s="191"/>
      <c r="AT153" s="191"/>
      <c r="AU153" s="191"/>
      <c r="AV153" s="191"/>
      <c r="AW153" s="191"/>
      <c r="AX153" s="191"/>
    </row>
    <row r="154" spans="1:50" s="3" customFormat="1" ht="18" customHeight="1" thickBot="1" x14ac:dyDescent="0.35">
      <c r="A154" s="149" t="s">
        <v>148</v>
      </c>
      <c r="B154" s="135" t="s">
        <v>538</v>
      </c>
      <c r="C154" s="279">
        <v>42434</v>
      </c>
      <c r="D154" s="136"/>
      <c r="E154" s="187">
        <f t="shared" si="6"/>
        <v>42434</v>
      </c>
      <c r="F154" s="187">
        <f t="shared" si="7"/>
        <v>42434</v>
      </c>
      <c r="G154" s="187">
        <f t="shared" si="8"/>
        <v>0</v>
      </c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>
        <f>35942+6492</f>
        <v>42434</v>
      </c>
      <c r="T154" s="190"/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0"/>
      <c r="AE154" s="190"/>
      <c r="AF154" s="190"/>
      <c r="AG154" s="190"/>
      <c r="AH154" s="190"/>
      <c r="AI154" s="191"/>
      <c r="AJ154" s="191"/>
      <c r="AK154" s="191"/>
      <c r="AL154" s="191"/>
      <c r="AM154" s="191"/>
      <c r="AN154" s="191"/>
      <c r="AO154" s="191"/>
      <c r="AP154" s="191"/>
      <c r="AQ154" s="191"/>
      <c r="AR154" s="191"/>
      <c r="AS154" s="191"/>
      <c r="AT154" s="191"/>
      <c r="AU154" s="191"/>
      <c r="AV154" s="191"/>
      <c r="AW154" s="191"/>
      <c r="AX154" s="191"/>
    </row>
    <row r="155" spans="1:50" s="3" customFormat="1" ht="18" customHeight="1" thickBot="1" x14ac:dyDescent="0.35">
      <c r="A155" s="149" t="s">
        <v>149</v>
      </c>
      <c r="B155" s="135" t="s">
        <v>539</v>
      </c>
      <c r="C155" s="279">
        <v>25257</v>
      </c>
      <c r="D155" s="136"/>
      <c r="E155" s="187">
        <f t="shared" si="6"/>
        <v>25257</v>
      </c>
      <c r="F155" s="187">
        <f t="shared" si="7"/>
        <v>25257</v>
      </c>
      <c r="G155" s="187">
        <f t="shared" si="8"/>
        <v>0</v>
      </c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>
        <v>25251</v>
      </c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0"/>
      <c r="AE155" s="190"/>
      <c r="AF155" s="190"/>
      <c r="AG155" s="190"/>
      <c r="AH155" s="190"/>
      <c r="AI155" s="191"/>
      <c r="AJ155" s="191"/>
      <c r="AK155" s="191"/>
      <c r="AL155" s="191"/>
      <c r="AM155" s="191">
        <v>6</v>
      </c>
      <c r="AN155" s="191"/>
      <c r="AO155" s="191"/>
      <c r="AP155" s="191"/>
      <c r="AQ155" s="191"/>
      <c r="AR155" s="191"/>
      <c r="AS155" s="191"/>
      <c r="AT155" s="191"/>
      <c r="AU155" s="191"/>
      <c r="AV155" s="191"/>
      <c r="AW155" s="191"/>
      <c r="AX155" s="191"/>
    </row>
    <row r="156" spans="1:50" s="3" customFormat="1" ht="18" customHeight="1" thickBot="1" x14ac:dyDescent="0.35">
      <c r="A156" s="149" t="s">
        <v>150</v>
      </c>
      <c r="B156" s="135" t="s">
        <v>541</v>
      </c>
      <c r="C156" s="279">
        <v>121629</v>
      </c>
      <c r="D156" s="136"/>
      <c r="E156" s="187">
        <f t="shared" si="6"/>
        <v>121629</v>
      </c>
      <c r="F156" s="187">
        <f t="shared" si="7"/>
        <v>121629</v>
      </c>
      <c r="G156" s="187">
        <f t="shared" si="8"/>
        <v>0</v>
      </c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>
        <v>121629</v>
      </c>
      <c r="T156" s="190"/>
      <c r="U156" s="190"/>
      <c r="V156" s="190"/>
      <c r="W156" s="190"/>
      <c r="X156" s="190"/>
      <c r="Y156" s="190"/>
      <c r="Z156" s="190"/>
      <c r="AA156" s="190"/>
      <c r="AB156" s="190"/>
      <c r="AC156" s="190"/>
      <c r="AD156" s="190"/>
      <c r="AE156" s="190"/>
      <c r="AF156" s="190"/>
      <c r="AG156" s="190"/>
      <c r="AH156" s="190"/>
      <c r="AI156" s="191"/>
      <c r="AJ156" s="191"/>
      <c r="AK156" s="191"/>
      <c r="AL156" s="191"/>
      <c r="AM156" s="191"/>
      <c r="AN156" s="191"/>
      <c r="AO156" s="191"/>
      <c r="AP156" s="191"/>
      <c r="AQ156" s="191"/>
      <c r="AR156" s="191"/>
      <c r="AS156" s="191"/>
      <c r="AT156" s="191"/>
      <c r="AU156" s="191"/>
      <c r="AV156" s="191"/>
      <c r="AW156" s="191"/>
      <c r="AX156" s="191"/>
    </row>
    <row r="157" spans="1:50" s="3" customFormat="1" ht="18" customHeight="1" thickBot="1" x14ac:dyDescent="0.35">
      <c r="A157" s="149" t="s">
        <v>151</v>
      </c>
      <c r="B157" s="135" t="s">
        <v>329</v>
      </c>
      <c r="C157" s="279">
        <v>123591</v>
      </c>
      <c r="D157" s="136"/>
      <c r="E157" s="187">
        <f t="shared" si="6"/>
        <v>123591</v>
      </c>
      <c r="F157" s="187">
        <f t="shared" si="7"/>
        <v>123591</v>
      </c>
      <c r="G157" s="187">
        <f t="shared" si="8"/>
        <v>0</v>
      </c>
      <c r="H157" s="190"/>
      <c r="I157" s="190"/>
      <c r="J157" s="190"/>
      <c r="K157" s="190"/>
      <c r="L157" s="190"/>
      <c r="M157" s="190"/>
      <c r="N157" s="190"/>
      <c r="O157" s="190"/>
      <c r="P157" s="190"/>
      <c r="Q157" s="190">
        <v>87238</v>
      </c>
      <c r="R157" s="190"/>
      <c r="S157" s="285">
        <v>30591</v>
      </c>
      <c r="T157" s="190"/>
      <c r="U157" s="190"/>
      <c r="V157" s="190"/>
      <c r="W157" s="190"/>
      <c r="X157" s="190"/>
      <c r="Y157" s="190"/>
      <c r="Z157" s="190"/>
      <c r="AA157" s="190"/>
      <c r="AB157" s="190">
        <v>5762</v>
      </c>
      <c r="AC157" s="190"/>
      <c r="AD157" s="190"/>
      <c r="AE157" s="190"/>
      <c r="AF157" s="190"/>
      <c r="AG157" s="190"/>
      <c r="AH157" s="190"/>
      <c r="AI157" s="191"/>
      <c r="AJ157" s="191"/>
      <c r="AK157" s="191"/>
      <c r="AL157" s="191"/>
      <c r="AM157" s="191"/>
      <c r="AN157" s="191"/>
      <c r="AO157" s="191"/>
      <c r="AP157" s="191"/>
      <c r="AQ157" s="191"/>
      <c r="AR157" s="191"/>
      <c r="AS157" s="191"/>
      <c r="AT157" s="191"/>
      <c r="AU157" s="191"/>
      <c r="AV157" s="191"/>
      <c r="AW157" s="191"/>
      <c r="AX157" s="191"/>
    </row>
    <row r="158" spans="1:50" s="3" customFormat="1" ht="18" customHeight="1" thickBot="1" x14ac:dyDescent="0.35">
      <c r="A158" s="149" t="s">
        <v>152</v>
      </c>
      <c r="B158" s="135" t="s">
        <v>330</v>
      </c>
      <c r="C158" s="279">
        <v>83020</v>
      </c>
      <c r="D158" s="136"/>
      <c r="E158" s="187">
        <f t="shared" si="6"/>
        <v>83020</v>
      </c>
      <c r="F158" s="187">
        <f t="shared" si="7"/>
        <v>83020</v>
      </c>
      <c r="G158" s="187">
        <f t="shared" si="8"/>
        <v>0</v>
      </c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>
        <v>83020</v>
      </c>
      <c r="V158" s="190"/>
      <c r="W158" s="190"/>
      <c r="X158" s="190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191"/>
      <c r="AJ158" s="191"/>
      <c r="AK158" s="191"/>
      <c r="AL158" s="191"/>
      <c r="AM158" s="191"/>
      <c r="AN158" s="191"/>
      <c r="AO158" s="191"/>
      <c r="AP158" s="191"/>
      <c r="AQ158" s="191"/>
      <c r="AR158" s="191"/>
      <c r="AS158" s="191"/>
      <c r="AT158" s="191"/>
      <c r="AU158" s="191"/>
      <c r="AV158" s="191"/>
      <c r="AW158" s="191"/>
      <c r="AX158" s="191"/>
    </row>
    <row r="159" spans="1:50" s="3" customFormat="1" ht="18" customHeight="1" thickBot="1" x14ac:dyDescent="0.35">
      <c r="A159" s="149" t="s">
        <v>153</v>
      </c>
      <c r="B159" s="135" t="s">
        <v>331</v>
      </c>
      <c r="C159" s="279">
        <v>126230</v>
      </c>
      <c r="D159" s="136"/>
      <c r="E159" s="187">
        <f t="shared" si="6"/>
        <v>126230</v>
      </c>
      <c r="F159" s="187">
        <f t="shared" si="7"/>
        <v>126230</v>
      </c>
      <c r="G159" s="187">
        <f t="shared" si="8"/>
        <v>0</v>
      </c>
      <c r="H159" s="190"/>
      <c r="I159" s="190"/>
      <c r="J159" s="190">
        <v>9027</v>
      </c>
      <c r="K159" s="190">
        <v>7828.98</v>
      </c>
      <c r="L159" s="190">
        <v>13193.29</v>
      </c>
      <c r="M159" s="190">
        <v>10640.76</v>
      </c>
      <c r="N159" s="190"/>
      <c r="O159" s="190">
        <v>14308.06</v>
      </c>
      <c r="P159" s="190">
        <v>9420.5300000000007</v>
      </c>
      <c r="Q159" s="190">
        <v>14354.49</v>
      </c>
      <c r="R159" s="190">
        <v>6895.77</v>
      </c>
      <c r="S159" s="190">
        <f>17915.19+1965.48</f>
        <v>19880.669999999998</v>
      </c>
      <c r="T159" s="190">
        <v>3992.09</v>
      </c>
      <c r="U159" s="190">
        <v>1927.54</v>
      </c>
      <c r="V159" s="190"/>
      <c r="W159" s="190"/>
      <c r="X159" s="190">
        <v>14760.82</v>
      </c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1"/>
      <c r="AJ159" s="191"/>
      <c r="AK159" s="191"/>
      <c r="AL159" s="191"/>
      <c r="AM159" s="191"/>
      <c r="AN159" s="191"/>
      <c r="AO159" s="191"/>
      <c r="AP159" s="191"/>
      <c r="AQ159" s="191"/>
      <c r="AR159" s="191"/>
      <c r="AS159" s="191"/>
      <c r="AT159" s="191"/>
      <c r="AU159" s="191"/>
      <c r="AV159" s="191"/>
      <c r="AW159" s="191"/>
      <c r="AX159" s="191"/>
    </row>
    <row r="160" spans="1:50" s="3" customFormat="1" ht="18" customHeight="1" thickBot="1" x14ac:dyDescent="0.35">
      <c r="A160" s="149" t="s">
        <v>154</v>
      </c>
      <c r="B160" s="135" t="s">
        <v>545</v>
      </c>
      <c r="C160" s="279">
        <v>389851</v>
      </c>
      <c r="D160" s="136"/>
      <c r="E160" s="187">
        <f t="shared" si="6"/>
        <v>389851</v>
      </c>
      <c r="F160" s="187">
        <f t="shared" si="7"/>
        <v>389851</v>
      </c>
      <c r="G160" s="187">
        <f t="shared" si="8"/>
        <v>0</v>
      </c>
      <c r="H160" s="190"/>
      <c r="I160" s="190"/>
      <c r="J160" s="190"/>
      <c r="K160" s="190"/>
      <c r="L160" s="190"/>
      <c r="M160" s="190"/>
      <c r="N160" s="190">
        <v>95675.13</v>
      </c>
      <c r="O160" s="190"/>
      <c r="P160" s="190"/>
      <c r="Q160" s="190">
        <v>126866.51</v>
      </c>
      <c r="R160" s="190"/>
      <c r="S160" s="190">
        <v>65347.24</v>
      </c>
      <c r="T160" s="190"/>
      <c r="U160" s="190"/>
      <c r="V160" s="190">
        <v>101962.12</v>
      </c>
      <c r="W160" s="190"/>
      <c r="X160" s="190"/>
      <c r="Y160" s="190"/>
      <c r="Z160" s="190"/>
      <c r="AA160" s="190"/>
      <c r="AB160" s="190"/>
      <c r="AC160" s="190"/>
      <c r="AD160" s="190"/>
      <c r="AE160" s="190"/>
      <c r="AF160" s="190"/>
      <c r="AG160" s="190"/>
      <c r="AH160" s="190"/>
      <c r="AI160" s="191"/>
      <c r="AJ160" s="191"/>
      <c r="AK160" s="191"/>
      <c r="AL160" s="191"/>
      <c r="AM160" s="191"/>
      <c r="AN160" s="191"/>
      <c r="AO160" s="191"/>
      <c r="AP160" s="191"/>
      <c r="AQ160" s="191"/>
      <c r="AR160" s="191"/>
      <c r="AS160" s="191"/>
      <c r="AT160" s="191"/>
      <c r="AU160" s="191"/>
      <c r="AV160" s="191"/>
      <c r="AW160" s="191"/>
      <c r="AX160" s="191"/>
    </row>
    <row r="161" spans="1:50" s="3" customFormat="1" ht="18" customHeight="1" thickBot="1" x14ac:dyDescent="0.35">
      <c r="A161" s="149" t="s">
        <v>155</v>
      </c>
      <c r="B161" s="135" t="s">
        <v>333</v>
      </c>
      <c r="C161" s="279">
        <v>20502</v>
      </c>
      <c r="D161" s="136"/>
      <c r="E161" s="187">
        <f t="shared" si="6"/>
        <v>20502</v>
      </c>
      <c r="F161" s="187">
        <f t="shared" si="7"/>
        <v>20502</v>
      </c>
      <c r="G161" s="187">
        <f t="shared" si="8"/>
        <v>0</v>
      </c>
      <c r="H161" s="190"/>
      <c r="I161" s="190"/>
      <c r="J161" s="190"/>
      <c r="K161" s="190"/>
      <c r="L161" s="190"/>
      <c r="M161" s="190"/>
      <c r="N161" s="190"/>
      <c r="O161" s="190"/>
      <c r="P161" s="190">
        <v>9279.57</v>
      </c>
      <c r="Q161" s="190">
        <v>3703.94</v>
      </c>
      <c r="R161" s="190">
        <v>3703.62</v>
      </c>
      <c r="S161" s="190">
        <v>3814.87</v>
      </c>
      <c r="T161" s="190"/>
      <c r="U161" s="190"/>
      <c r="V161" s="190"/>
      <c r="W161" s="190"/>
      <c r="X161" s="190"/>
      <c r="Y161" s="190"/>
      <c r="Z161" s="190"/>
      <c r="AA161" s="190"/>
      <c r="AB161" s="190"/>
      <c r="AC161" s="190"/>
      <c r="AD161" s="190"/>
      <c r="AE161" s="190"/>
      <c r="AF161" s="190"/>
      <c r="AG161" s="190"/>
      <c r="AH161" s="190"/>
      <c r="AI161" s="191"/>
      <c r="AJ161" s="191"/>
      <c r="AK161" s="191"/>
      <c r="AL161" s="191"/>
      <c r="AM161" s="191"/>
      <c r="AN161" s="191"/>
      <c r="AO161" s="191"/>
      <c r="AP161" s="191"/>
      <c r="AQ161" s="191"/>
      <c r="AR161" s="191"/>
      <c r="AS161" s="191"/>
      <c r="AT161" s="191"/>
      <c r="AU161" s="191"/>
      <c r="AV161" s="191"/>
      <c r="AW161" s="191"/>
      <c r="AX161" s="191"/>
    </row>
    <row r="162" spans="1:50" s="3" customFormat="1" ht="18" customHeight="1" thickBot="1" x14ac:dyDescent="0.35">
      <c r="A162" s="149" t="s">
        <v>156</v>
      </c>
      <c r="B162" s="135" t="s">
        <v>334</v>
      </c>
      <c r="C162" s="279">
        <v>66942</v>
      </c>
      <c r="D162" s="136"/>
      <c r="E162" s="187">
        <f t="shared" si="6"/>
        <v>66942</v>
      </c>
      <c r="F162" s="187">
        <f t="shared" si="7"/>
        <v>66942</v>
      </c>
      <c r="G162" s="187">
        <f t="shared" si="8"/>
        <v>0</v>
      </c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>
        <v>50170</v>
      </c>
      <c r="T162" s="190"/>
      <c r="U162" s="190"/>
      <c r="V162" s="190"/>
      <c r="W162" s="190"/>
      <c r="X162" s="190"/>
      <c r="Y162" s="190"/>
      <c r="Z162" s="190"/>
      <c r="AA162" s="190">
        <v>16772</v>
      </c>
      <c r="AB162" s="190"/>
      <c r="AC162" s="190"/>
      <c r="AD162" s="190"/>
      <c r="AE162" s="190"/>
      <c r="AF162" s="190"/>
      <c r="AG162" s="190"/>
      <c r="AH162" s="190"/>
      <c r="AI162" s="191"/>
      <c r="AJ162" s="191"/>
      <c r="AK162" s="191"/>
      <c r="AL162" s="191"/>
      <c r="AM162" s="191"/>
      <c r="AN162" s="191"/>
      <c r="AO162" s="191"/>
      <c r="AP162" s="191"/>
      <c r="AQ162" s="191"/>
      <c r="AR162" s="191"/>
      <c r="AS162" s="191"/>
      <c r="AT162" s="191"/>
      <c r="AU162" s="191"/>
      <c r="AV162" s="191"/>
      <c r="AW162" s="191"/>
      <c r="AX162" s="191"/>
    </row>
    <row r="163" spans="1:50" s="3" customFormat="1" ht="18" customHeight="1" thickBot="1" x14ac:dyDescent="0.35">
      <c r="A163" s="149" t="s">
        <v>157</v>
      </c>
      <c r="B163" s="135" t="s">
        <v>335</v>
      </c>
      <c r="C163" s="279">
        <v>52231</v>
      </c>
      <c r="D163" s="136"/>
      <c r="E163" s="187">
        <f t="shared" si="6"/>
        <v>52231</v>
      </c>
      <c r="F163" s="187">
        <f t="shared" si="7"/>
        <v>52231</v>
      </c>
      <c r="G163" s="187">
        <f t="shared" si="8"/>
        <v>0</v>
      </c>
      <c r="H163" s="190"/>
      <c r="I163" s="190"/>
      <c r="J163" s="190"/>
      <c r="K163" s="190"/>
      <c r="L163" s="190"/>
      <c r="M163" s="190"/>
      <c r="N163" s="190"/>
      <c r="O163" s="190">
        <v>25694.75</v>
      </c>
      <c r="P163" s="190"/>
      <c r="Q163" s="190">
        <v>17456.43</v>
      </c>
      <c r="R163" s="190"/>
      <c r="S163" s="190">
        <v>9079.82</v>
      </c>
      <c r="T163" s="190"/>
      <c r="U163" s="190"/>
      <c r="V163" s="190"/>
      <c r="W163" s="190"/>
      <c r="X163" s="190"/>
      <c r="Y163" s="190"/>
      <c r="Z163" s="190"/>
      <c r="AA163" s="190"/>
      <c r="AB163" s="190"/>
      <c r="AC163" s="190"/>
      <c r="AD163" s="190"/>
      <c r="AE163" s="190"/>
      <c r="AF163" s="190"/>
      <c r="AG163" s="190"/>
      <c r="AH163" s="190"/>
      <c r="AI163" s="191"/>
      <c r="AJ163" s="191"/>
      <c r="AK163" s="191"/>
      <c r="AL163" s="191"/>
      <c r="AM163" s="191"/>
      <c r="AN163" s="191"/>
      <c r="AO163" s="191"/>
      <c r="AP163" s="191"/>
      <c r="AQ163" s="191"/>
      <c r="AR163" s="191"/>
      <c r="AS163" s="191"/>
      <c r="AT163" s="191"/>
      <c r="AU163" s="191"/>
      <c r="AV163" s="191"/>
      <c r="AW163" s="191"/>
      <c r="AX163" s="191"/>
    </row>
    <row r="164" spans="1:50" s="3" customFormat="1" ht="18" customHeight="1" thickBot="1" x14ac:dyDescent="0.35">
      <c r="A164" s="149" t="s">
        <v>158</v>
      </c>
      <c r="B164" s="135" t="s">
        <v>548</v>
      </c>
      <c r="C164" s="279">
        <v>76647</v>
      </c>
      <c r="D164" s="136">
        <v>9040</v>
      </c>
      <c r="E164" s="187">
        <v>0</v>
      </c>
      <c r="F164" s="187">
        <f t="shared" si="7"/>
        <v>0</v>
      </c>
      <c r="G164" s="187">
        <f t="shared" si="8"/>
        <v>0</v>
      </c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  <c r="AA164" s="190"/>
      <c r="AB164" s="190"/>
      <c r="AC164" s="190"/>
      <c r="AD164" s="190"/>
      <c r="AE164" s="190"/>
      <c r="AF164" s="190"/>
      <c r="AG164" s="190"/>
      <c r="AH164" s="190"/>
      <c r="AI164" s="191"/>
      <c r="AJ164" s="191"/>
      <c r="AK164" s="191"/>
      <c r="AL164" s="191"/>
      <c r="AM164" s="191"/>
      <c r="AN164" s="191"/>
      <c r="AO164" s="191"/>
      <c r="AP164" s="191"/>
      <c r="AQ164" s="191"/>
      <c r="AR164" s="191"/>
      <c r="AS164" s="191"/>
      <c r="AT164" s="191"/>
      <c r="AU164" s="191"/>
      <c r="AV164" s="191"/>
      <c r="AW164" s="191"/>
      <c r="AX164" s="191"/>
    </row>
    <row r="165" spans="1:50" s="3" customFormat="1" ht="18" customHeight="1" thickBot="1" x14ac:dyDescent="0.35">
      <c r="A165" s="149" t="s">
        <v>159</v>
      </c>
      <c r="B165" s="135" t="s">
        <v>397</v>
      </c>
      <c r="C165" s="279">
        <v>24860</v>
      </c>
      <c r="D165" s="136">
        <v>9040</v>
      </c>
      <c r="E165" s="187">
        <v>0</v>
      </c>
      <c r="F165" s="187">
        <f t="shared" si="7"/>
        <v>0</v>
      </c>
      <c r="G165" s="187">
        <f t="shared" si="8"/>
        <v>0</v>
      </c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  <c r="Z165" s="190"/>
      <c r="AA165" s="190"/>
      <c r="AB165" s="190"/>
      <c r="AC165" s="190"/>
      <c r="AD165" s="190"/>
      <c r="AE165" s="190"/>
      <c r="AF165" s="190"/>
      <c r="AG165" s="190"/>
      <c r="AH165" s="190"/>
      <c r="AI165" s="191"/>
      <c r="AJ165" s="191"/>
      <c r="AK165" s="191"/>
      <c r="AL165" s="191"/>
      <c r="AM165" s="191"/>
      <c r="AN165" s="191"/>
      <c r="AO165" s="191"/>
      <c r="AP165" s="191"/>
      <c r="AQ165" s="191"/>
      <c r="AR165" s="191"/>
      <c r="AS165" s="191"/>
      <c r="AT165" s="191"/>
      <c r="AU165" s="191"/>
      <c r="AV165" s="191"/>
      <c r="AW165" s="191"/>
      <c r="AX165" s="191"/>
    </row>
    <row r="166" spans="1:50" s="3" customFormat="1" ht="18" customHeight="1" thickBot="1" x14ac:dyDescent="0.35">
      <c r="A166" s="149" t="s">
        <v>160</v>
      </c>
      <c r="B166" s="135" t="s">
        <v>551</v>
      </c>
      <c r="C166" s="279">
        <v>226382</v>
      </c>
      <c r="D166" s="136"/>
      <c r="E166" s="187">
        <f t="shared" si="6"/>
        <v>226382</v>
      </c>
      <c r="F166" s="187">
        <f t="shared" si="7"/>
        <v>226382.00000000003</v>
      </c>
      <c r="G166" s="187">
        <f t="shared" si="8"/>
        <v>0</v>
      </c>
      <c r="H166" s="190"/>
      <c r="I166" s="190"/>
      <c r="J166" s="190"/>
      <c r="K166" s="190">
        <v>25291.08</v>
      </c>
      <c r="L166" s="190">
        <v>24836.79</v>
      </c>
      <c r="M166" s="190">
        <v>24268.84</v>
      </c>
      <c r="N166" s="190">
        <v>24268.58</v>
      </c>
      <c r="O166" s="190">
        <v>23846.99</v>
      </c>
      <c r="P166" s="190">
        <v>24268.58</v>
      </c>
      <c r="Q166" s="190">
        <v>26784.86</v>
      </c>
      <c r="R166" s="190">
        <v>24628.05</v>
      </c>
      <c r="S166" s="190">
        <v>25561.31</v>
      </c>
      <c r="T166" s="190">
        <v>2626.92</v>
      </c>
      <c r="U166" s="190"/>
      <c r="V166" s="190"/>
      <c r="W166" s="190"/>
      <c r="X166" s="190"/>
      <c r="Y166" s="190"/>
      <c r="Z166" s="190"/>
      <c r="AA166" s="190"/>
      <c r="AB166" s="190"/>
      <c r="AC166" s="190"/>
      <c r="AD166" s="190"/>
      <c r="AE166" s="190"/>
      <c r="AF166" s="190"/>
      <c r="AG166" s="190"/>
      <c r="AH166" s="190"/>
      <c r="AI166" s="191"/>
      <c r="AJ166" s="191"/>
      <c r="AK166" s="191"/>
      <c r="AL166" s="191"/>
      <c r="AM166" s="191"/>
      <c r="AN166" s="191"/>
      <c r="AO166" s="191"/>
      <c r="AP166" s="191"/>
      <c r="AQ166" s="191"/>
      <c r="AR166" s="191"/>
      <c r="AS166" s="191"/>
      <c r="AT166" s="191"/>
      <c r="AU166" s="191"/>
      <c r="AV166" s="191"/>
      <c r="AW166" s="191"/>
      <c r="AX166" s="191"/>
    </row>
    <row r="167" spans="1:50" s="3" customFormat="1" ht="18" customHeight="1" thickBot="1" x14ac:dyDescent="0.35">
      <c r="A167" s="149" t="s">
        <v>161</v>
      </c>
      <c r="B167" s="135" t="s">
        <v>553</v>
      </c>
      <c r="C167" s="279">
        <v>90589</v>
      </c>
      <c r="D167" s="136"/>
      <c r="E167" s="187">
        <f t="shared" si="6"/>
        <v>90589</v>
      </c>
      <c r="F167" s="187">
        <f t="shared" si="7"/>
        <v>90589</v>
      </c>
      <c r="G167" s="187">
        <f t="shared" si="8"/>
        <v>0</v>
      </c>
      <c r="H167" s="190"/>
      <c r="I167" s="190"/>
      <c r="J167" s="190"/>
      <c r="K167" s="190"/>
      <c r="L167" s="190"/>
      <c r="M167" s="190">
        <v>11274.2</v>
      </c>
      <c r="N167" s="190"/>
      <c r="O167" s="190">
        <v>21636</v>
      </c>
      <c r="P167" s="190"/>
      <c r="Q167" s="190">
        <v>12575.1</v>
      </c>
      <c r="R167" s="190">
        <v>6502.36</v>
      </c>
      <c r="S167" s="190">
        <v>4784.21</v>
      </c>
      <c r="T167" s="190"/>
      <c r="U167" s="190">
        <v>20653.419999999998</v>
      </c>
      <c r="V167" s="190"/>
      <c r="W167" s="190"/>
      <c r="X167" s="190">
        <f>2614.05+10549.66</f>
        <v>13163.71</v>
      </c>
      <c r="Y167" s="190"/>
      <c r="Z167" s="190"/>
      <c r="AA167" s="190"/>
      <c r="AB167" s="190"/>
      <c r="AC167" s="190"/>
      <c r="AD167" s="190"/>
      <c r="AE167" s="190"/>
      <c r="AF167" s="190"/>
      <c r="AG167" s="190"/>
      <c r="AH167" s="190"/>
      <c r="AI167" s="191"/>
      <c r="AJ167" s="191"/>
      <c r="AK167" s="191"/>
      <c r="AL167" s="191"/>
      <c r="AM167" s="191"/>
      <c r="AN167" s="191"/>
      <c r="AO167" s="191"/>
      <c r="AP167" s="191"/>
      <c r="AQ167" s="191"/>
      <c r="AR167" s="191"/>
      <c r="AS167" s="191"/>
      <c r="AT167" s="191"/>
      <c r="AU167" s="191"/>
      <c r="AV167" s="191"/>
      <c r="AW167" s="191"/>
      <c r="AX167" s="191"/>
    </row>
    <row r="168" spans="1:50" s="3" customFormat="1" ht="18" customHeight="1" thickBot="1" x14ac:dyDescent="0.35">
      <c r="A168" s="149" t="s">
        <v>162</v>
      </c>
      <c r="B168" s="135" t="s">
        <v>555</v>
      </c>
      <c r="C168" s="279">
        <v>270529</v>
      </c>
      <c r="D168" s="136"/>
      <c r="E168" s="187">
        <f t="shared" si="6"/>
        <v>270529</v>
      </c>
      <c r="F168" s="187">
        <f t="shared" si="7"/>
        <v>270529</v>
      </c>
      <c r="G168" s="187">
        <f t="shared" si="8"/>
        <v>0</v>
      </c>
      <c r="H168" s="190"/>
      <c r="I168" s="190"/>
      <c r="J168" s="190"/>
      <c r="K168" s="190"/>
      <c r="L168" s="190"/>
      <c r="M168" s="190"/>
      <c r="N168" s="192"/>
      <c r="O168" s="190"/>
      <c r="P168" s="190"/>
      <c r="Q168" s="190">
        <v>154604</v>
      </c>
      <c r="R168" s="190"/>
      <c r="S168" s="190">
        <v>85053</v>
      </c>
      <c r="T168" s="190"/>
      <c r="U168" s="190"/>
      <c r="V168" s="190"/>
      <c r="W168" s="190"/>
      <c r="X168" s="190"/>
      <c r="Y168" s="190"/>
      <c r="Z168" s="190">
        <v>30872</v>
      </c>
      <c r="AA168" s="190"/>
      <c r="AB168" s="190"/>
      <c r="AC168" s="190"/>
      <c r="AD168" s="190"/>
      <c r="AE168" s="190"/>
      <c r="AF168" s="190"/>
      <c r="AG168" s="190"/>
      <c r="AH168" s="190"/>
      <c r="AI168" s="191"/>
      <c r="AJ168" s="191"/>
      <c r="AK168" s="191"/>
      <c r="AL168" s="191"/>
      <c r="AM168" s="191"/>
      <c r="AN168" s="191"/>
      <c r="AO168" s="191"/>
      <c r="AP168" s="191"/>
      <c r="AQ168" s="191"/>
      <c r="AR168" s="191"/>
      <c r="AS168" s="191"/>
      <c r="AT168" s="191"/>
      <c r="AU168" s="191"/>
      <c r="AV168" s="191"/>
      <c r="AW168" s="191"/>
      <c r="AX168" s="191"/>
    </row>
    <row r="169" spans="1:50" s="3" customFormat="1" ht="18" customHeight="1" thickBot="1" x14ac:dyDescent="0.35">
      <c r="A169" s="149" t="s">
        <v>163</v>
      </c>
      <c r="B169" s="135" t="s">
        <v>340</v>
      </c>
      <c r="C169" s="279">
        <v>72955</v>
      </c>
      <c r="D169" s="136"/>
      <c r="E169" s="187">
        <f t="shared" si="6"/>
        <v>72955</v>
      </c>
      <c r="F169" s="187">
        <f t="shared" si="7"/>
        <v>72955</v>
      </c>
      <c r="G169" s="187">
        <f t="shared" si="8"/>
        <v>0</v>
      </c>
      <c r="H169" s="190"/>
      <c r="I169" s="190"/>
      <c r="J169" s="190"/>
      <c r="K169" s="190"/>
      <c r="L169" s="190"/>
      <c r="M169" s="190"/>
      <c r="N169" s="190">
        <v>16519.12</v>
      </c>
      <c r="O169" s="190"/>
      <c r="P169" s="190"/>
      <c r="Q169" s="190"/>
      <c r="R169" s="190"/>
      <c r="S169" s="190">
        <v>33960.519999999997</v>
      </c>
      <c r="T169" s="190">
        <v>6956.42</v>
      </c>
      <c r="U169" s="190"/>
      <c r="V169" s="190"/>
      <c r="W169" s="190"/>
      <c r="X169" s="190"/>
      <c r="Y169" s="190"/>
      <c r="Z169" s="190">
        <v>15518.94</v>
      </c>
      <c r="AA169" s="190"/>
      <c r="AB169" s="190"/>
      <c r="AC169" s="190"/>
      <c r="AD169" s="190"/>
      <c r="AE169" s="190"/>
      <c r="AF169" s="190"/>
      <c r="AG169" s="190"/>
      <c r="AH169" s="190"/>
      <c r="AI169" s="191"/>
      <c r="AJ169" s="191"/>
      <c r="AK169" s="191"/>
      <c r="AL169" s="191"/>
      <c r="AM169" s="191"/>
      <c r="AN169" s="191"/>
      <c r="AO169" s="191"/>
      <c r="AP169" s="191"/>
      <c r="AQ169" s="191"/>
      <c r="AR169" s="191"/>
      <c r="AS169" s="191"/>
      <c r="AT169" s="191"/>
      <c r="AU169" s="191"/>
      <c r="AV169" s="191"/>
      <c r="AW169" s="191"/>
      <c r="AX169" s="191"/>
    </row>
    <row r="170" spans="1:50" s="3" customFormat="1" ht="18" customHeight="1" thickBot="1" x14ac:dyDescent="0.35">
      <c r="A170" s="149" t="s">
        <v>164</v>
      </c>
      <c r="B170" s="135" t="s">
        <v>341</v>
      </c>
      <c r="C170" s="279">
        <v>18266</v>
      </c>
      <c r="D170" s="136">
        <v>9025</v>
      </c>
      <c r="E170" s="187">
        <v>0</v>
      </c>
      <c r="F170" s="187">
        <f t="shared" si="7"/>
        <v>0</v>
      </c>
      <c r="G170" s="187">
        <f t="shared" si="8"/>
        <v>0</v>
      </c>
      <c r="H170" s="190"/>
      <c r="I170" s="190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190"/>
      <c r="X170" s="190"/>
      <c r="Y170" s="190"/>
      <c r="Z170" s="190"/>
      <c r="AA170" s="190"/>
      <c r="AB170" s="190"/>
      <c r="AC170" s="190"/>
      <c r="AD170" s="190"/>
      <c r="AE170" s="190"/>
      <c r="AF170" s="190"/>
      <c r="AG170" s="190"/>
      <c r="AH170" s="190"/>
      <c r="AI170" s="191"/>
      <c r="AJ170" s="191"/>
      <c r="AK170" s="191"/>
      <c r="AL170" s="191"/>
      <c r="AM170" s="191"/>
      <c r="AN170" s="191"/>
      <c r="AO170" s="191"/>
      <c r="AP170" s="191"/>
      <c r="AQ170" s="191"/>
      <c r="AR170" s="191"/>
      <c r="AS170" s="191"/>
      <c r="AT170" s="191"/>
      <c r="AU170" s="191"/>
      <c r="AV170" s="191"/>
      <c r="AW170" s="191"/>
      <c r="AX170" s="191"/>
    </row>
    <row r="171" spans="1:50" s="3" customFormat="1" ht="18" customHeight="1" thickBot="1" x14ac:dyDescent="0.35">
      <c r="A171" s="149" t="s">
        <v>165</v>
      </c>
      <c r="B171" s="135" t="s">
        <v>342</v>
      </c>
      <c r="C171" s="279">
        <v>22292</v>
      </c>
      <c r="D171" s="136">
        <v>9040</v>
      </c>
      <c r="E171" s="187">
        <v>0</v>
      </c>
      <c r="F171" s="187">
        <f t="shared" si="7"/>
        <v>0</v>
      </c>
      <c r="G171" s="187">
        <f t="shared" si="8"/>
        <v>0</v>
      </c>
      <c r="H171" s="190"/>
      <c r="I171" s="190"/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  <c r="W171" s="190"/>
      <c r="X171" s="190"/>
      <c r="Y171" s="190"/>
      <c r="Z171" s="190"/>
      <c r="AA171" s="190"/>
      <c r="AB171" s="190"/>
      <c r="AC171" s="190"/>
      <c r="AD171" s="190"/>
      <c r="AE171" s="190"/>
      <c r="AF171" s="190"/>
      <c r="AG171" s="190"/>
      <c r="AH171" s="190"/>
      <c r="AI171" s="191"/>
      <c r="AJ171" s="191"/>
      <c r="AK171" s="191"/>
      <c r="AL171" s="191"/>
      <c r="AM171" s="191"/>
      <c r="AN171" s="191"/>
      <c r="AO171" s="191"/>
      <c r="AP171" s="191"/>
      <c r="AQ171" s="191"/>
      <c r="AR171" s="191"/>
      <c r="AS171" s="191"/>
      <c r="AT171" s="191"/>
      <c r="AU171" s="191"/>
      <c r="AV171" s="191"/>
      <c r="AW171" s="191"/>
      <c r="AX171" s="191"/>
    </row>
    <row r="172" spans="1:50" s="3" customFormat="1" ht="18" customHeight="1" thickBot="1" x14ac:dyDescent="0.35">
      <c r="A172" s="149" t="s">
        <v>166</v>
      </c>
      <c r="B172" s="135" t="s">
        <v>343</v>
      </c>
      <c r="C172" s="279">
        <v>8960</v>
      </c>
      <c r="D172" s="136">
        <v>9040</v>
      </c>
      <c r="E172" s="187">
        <v>0</v>
      </c>
      <c r="F172" s="187">
        <f t="shared" si="7"/>
        <v>0</v>
      </c>
      <c r="G172" s="187">
        <f t="shared" si="8"/>
        <v>0</v>
      </c>
      <c r="H172" s="190"/>
      <c r="I172" s="190"/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190"/>
      <c r="X172" s="190"/>
      <c r="Y172" s="190"/>
      <c r="Z172" s="190"/>
      <c r="AA172" s="190"/>
      <c r="AB172" s="190"/>
      <c r="AC172" s="190"/>
      <c r="AD172" s="190"/>
      <c r="AE172" s="190"/>
      <c r="AF172" s="190"/>
      <c r="AG172" s="190"/>
      <c r="AH172" s="190"/>
      <c r="AI172" s="191"/>
      <c r="AJ172" s="191"/>
      <c r="AK172" s="191"/>
      <c r="AL172" s="191"/>
      <c r="AM172" s="191"/>
      <c r="AN172" s="191"/>
      <c r="AO172" s="191"/>
      <c r="AP172" s="191"/>
      <c r="AQ172" s="191"/>
      <c r="AR172" s="191"/>
      <c r="AS172" s="191"/>
      <c r="AT172" s="191"/>
      <c r="AU172" s="191"/>
      <c r="AV172" s="191"/>
      <c r="AW172" s="191"/>
      <c r="AX172" s="191"/>
    </row>
    <row r="173" spans="1:50" s="3" customFormat="1" ht="18" customHeight="1" thickBot="1" x14ac:dyDescent="0.35">
      <c r="A173" s="149" t="s">
        <v>167</v>
      </c>
      <c r="B173" s="135" t="s">
        <v>344</v>
      </c>
      <c r="C173" s="279">
        <v>28061</v>
      </c>
      <c r="D173" s="136">
        <v>9025</v>
      </c>
      <c r="E173" s="187">
        <v>0</v>
      </c>
      <c r="F173" s="187">
        <f t="shared" si="7"/>
        <v>0</v>
      </c>
      <c r="G173" s="187">
        <f t="shared" si="8"/>
        <v>0</v>
      </c>
      <c r="H173" s="190"/>
      <c r="I173" s="190"/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  <c r="W173" s="190"/>
      <c r="X173" s="190"/>
      <c r="Y173" s="190"/>
      <c r="Z173" s="190"/>
      <c r="AA173" s="190"/>
      <c r="AB173" s="190"/>
      <c r="AC173" s="190"/>
      <c r="AD173" s="190"/>
      <c r="AE173" s="190"/>
      <c r="AF173" s="190"/>
      <c r="AG173" s="190"/>
      <c r="AH173" s="190"/>
      <c r="AI173" s="191"/>
      <c r="AJ173" s="191"/>
      <c r="AK173" s="191"/>
      <c r="AL173" s="191"/>
      <c r="AM173" s="191"/>
      <c r="AN173" s="191"/>
      <c r="AO173" s="191"/>
      <c r="AP173" s="191"/>
      <c r="AQ173" s="191"/>
      <c r="AR173" s="191"/>
      <c r="AS173" s="191"/>
      <c r="AT173" s="191"/>
      <c r="AU173" s="191"/>
      <c r="AV173" s="191"/>
      <c r="AW173" s="191"/>
      <c r="AX173" s="191"/>
    </row>
    <row r="174" spans="1:50" s="3" customFormat="1" ht="18" customHeight="1" thickBot="1" x14ac:dyDescent="0.35">
      <c r="A174" s="149" t="s">
        <v>168</v>
      </c>
      <c r="B174" s="135" t="s">
        <v>557</v>
      </c>
      <c r="C174" s="279">
        <v>295125</v>
      </c>
      <c r="D174" s="136">
        <v>9035</v>
      </c>
      <c r="E174" s="187">
        <v>0</v>
      </c>
      <c r="F174" s="187">
        <f t="shared" si="7"/>
        <v>0</v>
      </c>
      <c r="G174" s="187">
        <f t="shared" si="8"/>
        <v>0</v>
      </c>
      <c r="H174" s="190"/>
      <c r="I174" s="190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  <c r="W174" s="190"/>
      <c r="X174" s="190"/>
      <c r="Y174" s="190"/>
      <c r="Z174" s="190"/>
      <c r="AA174" s="190"/>
      <c r="AB174" s="190"/>
      <c r="AC174" s="190"/>
      <c r="AD174" s="190"/>
      <c r="AE174" s="190"/>
      <c r="AF174" s="190"/>
      <c r="AG174" s="190"/>
      <c r="AH174" s="190"/>
      <c r="AI174" s="191"/>
      <c r="AJ174" s="191"/>
      <c r="AK174" s="191"/>
      <c r="AL174" s="191"/>
      <c r="AM174" s="191"/>
      <c r="AN174" s="191"/>
      <c r="AO174" s="191"/>
      <c r="AP174" s="191"/>
      <c r="AQ174" s="191"/>
      <c r="AR174" s="191"/>
      <c r="AS174" s="191"/>
      <c r="AT174" s="191"/>
      <c r="AU174" s="191"/>
      <c r="AV174" s="191"/>
      <c r="AW174" s="191"/>
      <c r="AX174" s="191"/>
    </row>
    <row r="175" spans="1:50" s="3" customFormat="1" ht="18" customHeight="1" thickBot="1" x14ac:dyDescent="0.35">
      <c r="A175" s="149" t="s">
        <v>169</v>
      </c>
      <c r="B175" s="135" t="s">
        <v>559</v>
      </c>
      <c r="C175" s="279">
        <v>134667</v>
      </c>
      <c r="D175" s="136"/>
      <c r="E175" s="187">
        <f t="shared" si="6"/>
        <v>134667</v>
      </c>
      <c r="F175" s="187">
        <f t="shared" si="7"/>
        <v>134667</v>
      </c>
      <c r="G175" s="187">
        <f t="shared" si="8"/>
        <v>0</v>
      </c>
      <c r="H175" s="190"/>
      <c r="I175" s="190"/>
      <c r="J175" s="190"/>
      <c r="K175" s="190"/>
      <c r="L175" s="190"/>
      <c r="M175" s="190"/>
      <c r="N175" s="190"/>
      <c r="O175" s="190">
        <v>43526.57</v>
      </c>
      <c r="P175" s="190"/>
      <c r="Q175" s="190"/>
      <c r="R175" s="190"/>
      <c r="S175" s="190">
        <v>44296.480000000003</v>
      </c>
      <c r="T175" s="190"/>
      <c r="U175" s="190"/>
      <c r="V175" s="190">
        <v>46843.95</v>
      </c>
      <c r="W175" s="190"/>
      <c r="X175" s="190"/>
      <c r="Y175" s="190"/>
      <c r="Z175" s="190"/>
      <c r="AA175" s="190"/>
      <c r="AB175" s="190"/>
      <c r="AC175" s="190"/>
      <c r="AD175" s="190"/>
      <c r="AE175" s="190"/>
      <c r="AF175" s="190"/>
      <c r="AG175" s="190"/>
      <c r="AH175" s="190"/>
      <c r="AI175" s="191"/>
      <c r="AJ175" s="191"/>
      <c r="AK175" s="191"/>
      <c r="AL175" s="191"/>
      <c r="AM175" s="191"/>
      <c r="AN175" s="191"/>
      <c r="AO175" s="191"/>
      <c r="AP175" s="191"/>
      <c r="AQ175" s="191"/>
      <c r="AR175" s="191"/>
      <c r="AS175" s="191"/>
      <c r="AT175" s="191"/>
      <c r="AU175" s="191"/>
      <c r="AV175" s="191"/>
      <c r="AW175" s="191"/>
      <c r="AX175" s="191"/>
    </row>
    <row r="176" spans="1:50" s="3" customFormat="1" ht="18" customHeight="1" thickBot="1" x14ac:dyDescent="0.35">
      <c r="A176" s="149" t="s">
        <v>170</v>
      </c>
      <c r="B176" s="135" t="s">
        <v>398</v>
      </c>
      <c r="C176" s="279">
        <v>468336</v>
      </c>
      <c r="D176" s="136"/>
      <c r="E176" s="187">
        <f t="shared" si="6"/>
        <v>468336</v>
      </c>
      <c r="F176" s="187">
        <f t="shared" si="7"/>
        <v>468336</v>
      </c>
      <c r="G176" s="187">
        <f t="shared" si="8"/>
        <v>0</v>
      </c>
      <c r="H176" s="190"/>
      <c r="I176" s="190"/>
      <c r="J176" s="190"/>
      <c r="K176" s="190"/>
      <c r="L176" s="190"/>
      <c r="M176" s="190">
        <v>130656.4</v>
      </c>
      <c r="N176" s="190"/>
      <c r="O176" s="190"/>
      <c r="P176" s="190"/>
      <c r="Q176" s="190"/>
      <c r="R176" s="190"/>
      <c r="S176" s="190">
        <v>259623.6</v>
      </c>
      <c r="T176" s="190"/>
      <c r="U176" s="190"/>
      <c r="V176" s="190"/>
      <c r="W176" s="190">
        <v>78056</v>
      </c>
      <c r="X176" s="190"/>
      <c r="Y176" s="190"/>
      <c r="Z176" s="190"/>
      <c r="AA176" s="190"/>
      <c r="AB176" s="190"/>
      <c r="AC176" s="190"/>
      <c r="AD176" s="190"/>
      <c r="AE176" s="190"/>
      <c r="AF176" s="190"/>
      <c r="AG176" s="190"/>
      <c r="AH176" s="190"/>
      <c r="AI176" s="191"/>
      <c r="AJ176" s="191"/>
      <c r="AK176" s="191"/>
      <c r="AL176" s="191"/>
      <c r="AM176" s="191"/>
      <c r="AN176" s="191"/>
      <c r="AO176" s="191"/>
      <c r="AP176" s="191"/>
      <c r="AQ176" s="191"/>
      <c r="AR176" s="191"/>
      <c r="AS176" s="191"/>
      <c r="AT176" s="191"/>
      <c r="AU176" s="191"/>
      <c r="AV176" s="191"/>
      <c r="AW176" s="191"/>
      <c r="AX176" s="191"/>
    </row>
    <row r="177" spans="1:50" s="3" customFormat="1" ht="18" customHeight="1" thickBot="1" x14ac:dyDescent="0.35">
      <c r="A177" s="149" t="s">
        <v>171</v>
      </c>
      <c r="B177" s="135" t="s">
        <v>560</v>
      </c>
      <c r="C177" s="279">
        <v>250205</v>
      </c>
      <c r="D177" s="136"/>
      <c r="E177" s="187">
        <f t="shared" si="6"/>
        <v>250205</v>
      </c>
      <c r="F177" s="187">
        <f t="shared" si="7"/>
        <v>250205</v>
      </c>
      <c r="G177" s="187">
        <f t="shared" si="8"/>
        <v>0</v>
      </c>
      <c r="H177" s="190"/>
      <c r="I177" s="190"/>
      <c r="J177" s="190"/>
      <c r="K177" s="190"/>
      <c r="L177" s="190">
        <v>16666.62</v>
      </c>
      <c r="M177" s="190"/>
      <c r="N177" s="190">
        <v>11770.15</v>
      </c>
      <c r="O177" s="190">
        <v>23698.71</v>
      </c>
      <c r="P177" s="190"/>
      <c r="Q177" s="190">
        <v>39747.919999999998</v>
      </c>
      <c r="R177" s="190">
        <v>16142.86</v>
      </c>
      <c r="S177" s="190"/>
      <c r="T177" s="190">
        <v>46428.98</v>
      </c>
      <c r="U177" s="190"/>
      <c r="V177" s="190">
        <v>80648.210000000006</v>
      </c>
      <c r="W177" s="190">
        <v>15101.55</v>
      </c>
      <c r="X177" s="190"/>
      <c r="Y177" s="190"/>
      <c r="Z177" s="190"/>
      <c r="AA177" s="190"/>
      <c r="AB177" s="190"/>
      <c r="AC177" s="190"/>
      <c r="AD177" s="190"/>
      <c r="AE177" s="190"/>
      <c r="AF177" s="190"/>
      <c r="AG177" s="190"/>
      <c r="AH177" s="190"/>
      <c r="AI177" s="191"/>
      <c r="AJ177" s="191"/>
      <c r="AK177" s="191"/>
      <c r="AL177" s="191"/>
      <c r="AM177" s="191"/>
      <c r="AN177" s="191"/>
      <c r="AO177" s="191"/>
      <c r="AP177" s="191"/>
      <c r="AQ177" s="191"/>
      <c r="AR177" s="191"/>
      <c r="AS177" s="191"/>
      <c r="AT177" s="191"/>
      <c r="AU177" s="191"/>
      <c r="AV177" s="191"/>
      <c r="AW177" s="191"/>
      <c r="AX177" s="191"/>
    </row>
    <row r="178" spans="1:50" s="3" customFormat="1" ht="18" customHeight="1" thickBot="1" x14ac:dyDescent="0.35">
      <c r="A178" s="149" t="s">
        <v>172</v>
      </c>
      <c r="B178" s="135" t="s">
        <v>561</v>
      </c>
      <c r="C178" s="279">
        <v>217662</v>
      </c>
      <c r="D178" s="136"/>
      <c r="E178" s="187">
        <f t="shared" si="6"/>
        <v>217662</v>
      </c>
      <c r="F178" s="187">
        <f t="shared" si="7"/>
        <v>217662</v>
      </c>
      <c r="G178" s="187">
        <f t="shared" si="8"/>
        <v>0</v>
      </c>
      <c r="H178" s="190"/>
      <c r="I178" s="190"/>
      <c r="J178" s="190"/>
      <c r="K178" s="190"/>
      <c r="L178" s="190"/>
      <c r="M178" s="190">
        <v>42407</v>
      </c>
      <c r="N178" s="190">
        <v>32019</v>
      </c>
      <c r="O178" s="190">
        <f>13761.24+18430.93</f>
        <v>32192.17</v>
      </c>
      <c r="P178" s="190">
        <v>18430.46</v>
      </c>
      <c r="Q178" s="190"/>
      <c r="R178" s="190">
        <v>18429.46</v>
      </c>
      <c r="S178" s="190">
        <f>18432.6+18430.93</f>
        <v>36863.53</v>
      </c>
      <c r="T178" s="190"/>
      <c r="U178" s="190"/>
      <c r="V178" s="190"/>
      <c r="W178" s="190">
        <v>37320.379999999997</v>
      </c>
      <c r="X178" s="190"/>
      <c r="Y178" s="190"/>
      <c r="Z178" s="190"/>
      <c r="AA178" s="190"/>
      <c r="AB178" s="190"/>
      <c r="AC178" s="190"/>
      <c r="AD178" s="190"/>
      <c r="AE178" s="190"/>
      <c r="AF178" s="190"/>
      <c r="AG178" s="190"/>
      <c r="AH178" s="190"/>
      <c r="AI178" s="191"/>
      <c r="AJ178" s="191"/>
      <c r="AK178" s="191"/>
      <c r="AL178" s="191"/>
      <c r="AM178" s="191"/>
      <c r="AN178" s="191"/>
      <c r="AO178" s="191"/>
      <c r="AP178" s="191"/>
      <c r="AQ178" s="191"/>
      <c r="AR178" s="191"/>
      <c r="AS178" s="191"/>
      <c r="AT178" s="191"/>
      <c r="AU178" s="191"/>
      <c r="AV178" s="191"/>
      <c r="AW178" s="191"/>
      <c r="AX178" s="191"/>
    </row>
    <row r="179" spans="1:50" s="3" customFormat="1" ht="18" customHeight="1" thickBot="1" x14ac:dyDescent="0.35">
      <c r="A179" s="149" t="s">
        <v>173</v>
      </c>
      <c r="B179" s="135" t="s">
        <v>349</v>
      </c>
      <c r="C179" s="279">
        <v>4311537</v>
      </c>
      <c r="D179" s="136"/>
      <c r="E179" s="187">
        <f t="shared" si="6"/>
        <v>4311537</v>
      </c>
      <c r="F179" s="187">
        <f t="shared" si="7"/>
        <v>4311537</v>
      </c>
      <c r="G179" s="187">
        <f t="shared" si="8"/>
        <v>0</v>
      </c>
      <c r="H179" s="190"/>
      <c r="I179" s="190"/>
      <c r="J179" s="190"/>
      <c r="K179" s="190"/>
      <c r="L179" s="190">
        <v>96921.76</v>
      </c>
      <c r="M179" s="190"/>
      <c r="N179" s="190">
        <v>625252.32999999996</v>
      </c>
      <c r="O179" s="190"/>
      <c r="P179" s="190"/>
      <c r="Q179" s="190">
        <v>989678.17</v>
      </c>
      <c r="R179" s="190">
        <v>279118.19</v>
      </c>
      <c r="S179" s="190">
        <v>639253.18000000005</v>
      </c>
      <c r="T179" s="190"/>
      <c r="U179" s="190"/>
      <c r="V179" s="190"/>
      <c r="W179" s="190"/>
      <c r="X179" s="190">
        <v>915879.69</v>
      </c>
      <c r="Y179" s="190"/>
      <c r="Z179" s="190">
        <v>765433.68</v>
      </c>
      <c r="AA179" s="190"/>
      <c r="AB179" s="190"/>
      <c r="AC179" s="190"/>
      <c r="AD179" s="190"/>
      <c r="AE179" s="190"/>
      <c r="AF179" s="190"/>
      <c r="AG179" s="190"/>
      <c r="AH179" s="190"/>
      <c r="AI179" s="191"/>
      <c r="AJ179" s="191"/>
      <c r="AK179" s="191"/>
      <c r="AL179" s="191"/>
      <c r="AM179" s="191"/>
      <c r="AN179" s="191"/>
      <c r="AO179" s="191"/>
      <c r="AP179" s="191"/>
      <c r="AQ179" s="191"/>
      <c r="AR179" s="191"/>
      <c r="AS179" s="191"/>
      <c r="AT179" s="191"/>
      <c r="AU179" s="191"/>
      <c r="AV179" s="191"/>
      <c r="AW179" s="191"/>
      <c r="AX179" s="191"/>
    </row>
    <row r="180" spans="1:50" s="3" customFormat="1" ht="18" customHeight="1" thickBot="1" x14ac:dyDescent="0.35">
      <c r="A180" s="149" t="s">
        <v>174</v>
      </c>
      <c r="B180" s="135" t="s">
        <v>562</v>
      </c>
      <c r="C180" s="279">
        <v>127435</v>
      </c>
      <c r="D180" s="136">
        <v>9035</v>
      </c>
      <c r="E180" s="187">
        <v>0</v>
      </c>
      <c r="F180" s="187">
        <f t="shared" si="7"/>
        <v>0</v>
      </c>
      <c r="G180" s="187">
        <f t="shared" si="8"/>
        <v>0</v>
      </c>
      <c r="H180" s="190"/>
      <c r="I180" s="190"/>
      <c r="J180" s="190"/>
      <c r="K180" s="190"/>
      <c r="L180" s="190"/>
      <c r="M180" s="190"/>
      <c r="N180" s="190"/>
      <c r="O180" s="190"/>
      <c r="P180" s="190"/>
      <c r="Q180" s="190"/>
      <c r="R180" s="190"/>
      <c r="S180" s="190"/>
      <c r="T180" s="190"/>
      <c r="U180" s="190"/>
      <c r="V180" s="190"/>
      <c r="W180" s="190"/>
      <c r="X180" s="190"/>
      <c r="Y180" s="190"/>
      <c r="Z180" s="190"/>
      <c r="AA180" s="190"/>
      <c r="AB180" s="190"/>
      <c r="AC180" s="190"/>
      <c r="AD180" s="190"/>
      <c r="AE180" s="190"/>
      <c r="AF180" s="190"/>
      <c r="AG180" s="190"/>
      <c r="AH180" s="190"/>
      <c r="AI180" s="191"/>
      <c r="AJ180" s="191"/>
      <c r="AK180" s="191"/>
      <c r="AL180" s="191"/>
      <c r="AM180" s="191"/>
      <c r="AN180" s="191"/>
      <c r="AO180" s="191"/>
      <c r="AP180" s="191"/>
      <c r="AQ180" s="191"/>
      <c r="AR180" s="191"/>
      <c r="AS180" s="191"/>
      <c r="AT180" s="191"/>
      <c r="AU180" s="191"/>
      <c r="AV180" s="191"/>
      <c r="AW180" s="191"/>
      <c r="AX180" s="191"/>
    </row>
    <row r="181" spans="1:50" s="3" customFormat="1" ht="18" customHeight="1" thickBot="1" x14ac:dyDescent="0.35">
      <c r="A181" s="149" t="s">
        <v>175</v>
      </c>
      <c r="B181" s="135" t="s">
        <v>563</v>
      </c>
      <c r="C181" s="279">
        <v>391447</v>
      </c>
      <c r="D181" s="136"/>
      <c r="E181" s="187">
        <f t="shared" si="6"/>
        <v>391447</v>
      </c>
      <c r="F181" s="187">
        <f t="shared" si="7"/>
        <v>391447</v>
      </c>
      <c r="G181" s="187">
        <f t="shared" si="8"/>
        <v>0</v>
      </c>
      <c r="H181" s="190"/>
      <c r="I181" s="190"/>
      <c r="J181" s="190"/>
      <c r="K181" s="190"/>
      <c r="L181" s="190"/>
      <c r="M181" s="190">
        <v>25289.89</v>
      </c>
      <c r="N181" s="190">
        <v>23956.799999999999</v>
      </c>
      <c r="O181" s="190">
        <v>23580.959999999999</v>
      </c>
      <c r="P181" s="190">
        <v>23580.06</v>
      </c>
      <c r="Q181" s="190">
        <v>55898.27</v>
      </c>
      <c r="R181" s="190">
        <v>29616.21</v>
      </c>
      <c r="S181" s="190">
        <v>28764.54</v>
      </c>
      <c r="T181" s="190">
        <v>25853.07</v>
      </c>
      <c r="U181" s="190">
        <v>19614.419999999998</v>
      </c>
      <c r="V181" s="190">
        <v>54283.57</v>
      </c>
      <c r="W181" s="190">
        <v>33118.19</v>
      </c>
      <c r="X181" s="190"/>
      <c r="Y181" s="190"/>
      <c r="Z181" s="190"/>
      <c r="AA181" s="190"/>
      <c r="AB181" s="190">
        <f>47891+0.02</f>
        <v>47891.02</v>
      </c>
      <c r="AC181" s="190"/>
      <c r="AD181" s="190"/>
      <c r="AE181" s="190"/>
      <c r="AF181" s="190"/>
      <c r="AG181" s="190"/>
      <c r="AH181" s="190"/>
      <c r="AI181" s="191"/>
      <c r="AJ181" s="191"/>
      <c r="AK181" s="191"/>
      <c r="AL181" s="191"/>
      <c r="AM181" s="191"/>
      <c r="AN181" s="191"/>
      <c r="AO181" s="191"/>
      <c r="AP181" s="191"/>
      <c r="AQ181" s="191"/>
      <c r="AR181" s="191"/>
      <c r="AS181" s="191"/>
      <c r="AT181" s="191"/>
      <c r="AU181" s="191"/>
      <c r="AV181" s="191"/>
      <c r="AW181" s="191"/>
      <c r="AX181" s="191"/>
    </row>
    <row r="182" spans="1:50" s="3" customFormat="1" ht="18" customHeight="1" thickBot="1" x14ac:dyDescent="0.35">
      <c r="A182" s="149" t="s">
        <v>176</v>
      </c>
      <c r="B182" s="135" t="s">
        <v>564</v>
      </c>
      <c r="C182" s="279">
        <v>141248</v>
      </c>
      <c r="D182" s="136"/>
      <c r="E182" s="187">
        <f t="shared" si="6"/>
        <v>141248</v>
      </c>
      <c r="F182" s="187">
        <f t="shared" si="7"/>
        <v>141248</v>
      </c>
      <c r="G182" s="187">
        <f t="shared" si="8"/>
        <v>0</v>
      </c>
      <c r="H182" s="190"/>
      <c r="I182" s="190"/>
      <c r="J182" s="190"/>
      <c r="K182" s="190"/>
      <c r="L182" s="190"/>
      <c r="M182" s="190"/>
      <c r="N182" s="190"/>
      <c r="O182" s="190"/>
      <c r="P182" s="190">
        <v>35178.120000000003</v>
      </c>
      <c r="Q182" s="190">
        <v>48005.34</v>
      </c>
      <c r="R182" s="190"/>
      <c r="S182" s="190">
        <f>4772.97+7375.04</f>
        <v>12148.01</v>
      </c>
      <c r="T182" s="190"/>
      <c r="U182" s="190">
        <f>(7132.99+7140.27)</f>
        <v>14273.26</v>
      </c>
      <c r="V182" s="190">
        <v>7140.22</v>
      </c>
      <c r="W182" s="190"/>
      <c r="X182" s="190"/>
      <c r="Y182" s="190"/>
      <c r="Z182" s="190"/>
      <c r="AA182" s="190"/>
      <c r="AB182" s="190">
        <f>9158.62+15344.43</f>
        <v>24503.050000000003</v>
      </c>
      <c r="AC182" s="190"/>
      <c r="AD182" s="190"/>
      <c r="AE182" s="190"/>
      <c r="AF182" s="190"/>
      <c r="AG182" s="190"/>
      <c r="AH182" s="190"/>
      <c r="AI182" s="191"/>
      <c r="AJ182" s="191"/>
      <c r="AK182" s="191"/>
      <c r="AL182" s="191"/>
      <c r="AM182" s="191"/>
      <c r="AN182" s="191"/>
      <c r="AO182" s="191"/>
      <c r="AP182" s="191"/>
      <c r="AQ182" s="191"/>
      <c r="AR182" s="191"/>
      <c r="AS182" s="191"/>
      <c r="AT182" s="191"/>
      <c r="AU182" s="191"/>
      <c r="AV182" s="191"/>
      <c r="AW182" s="191"/>
      <c r="AX182" s="191"/>
    </row>
    <row r="183" spans="1:50" s="3" customFormat="1" ht="18" customHeight="1" thickBot="1" x14ac:dyDescent="0.35">
      <c r="A183" s="149" t="s">
        <v>177</v>
      </c>
      <c r="B183" s="135" t="s">
        <v>565</v>
      </c>
      <c r="C183" s="279">
        <v>12625</v>
      </c>
      <c r="D183" s="136">
        <v>9035</v>
      </c>
      <c r="E183" s="187">
        <v>0</v>
      </c>
      <c r="F183" s="187">
        <f t="shared" si="7"/>
        <v>0</v>
      </c>
      <c r="G183" s="187">
        <f t="shared" si="8"/>
        <v>0</v>
      </c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  <c r="W183" s="190"/>
      <c r="X183" s="190"/>
      <c r="Y183" s="190"/>
      <c r="Z183" s="190"/>
      <c r="AA183" s="190"/>
      <c r="AB183" s="190"/>
      <c r="AC183" s="190"/>
      <c r="AD183" s="190"/>
      <c r="AE183" s="190"/>
      <c r="AF183" s="190"/>
      <c r="AG183" s="190"/>
      <c r="AH183" s="190"/>
      <c r="AI183" s="191"/>
      <c r="AJ183" s="191"/>
      <c r="AK183" s="191"/>
      <c r="AL183" s="191"/>
      <c r="AM183" s="191"/>
      <c r="AN183" s="191"/>
      <c r="AO183" s="191"/>
      <c r="AP183" s="191"/>
      <c r="AQ183" s="191"/>
      <c r="AR183" s="191"/>
      <c r="AS183" s="191"/>
      <c r="AT183" s="191"/>
      <c r="AU183" s="191"/>
      <c r="AV183" s="191"/>
      <c r="AW183" s="191"/>
      <c r="AX183" s="191"/>
    </row>
    <row r="184" spans="1:50" s="3" customFormat="1" ht="18" customHeight="1" thickBot="1" x14ac:dyDescent="0.35">
      <c r="A184" s="149" t="s">
        <v>178</v>
      </c>
      <c r="B184" s="135" t="s">
        <v>354</v>
      </c>
      <c r="C184" s="279">
        <v>0</v>
      </c>
      <c r="D184" s="136" t="s">
        <v>371</v>
      </c>
      <c r="E184" s="187">
        <f t="shared" si="6"/>
        <v>0</v>
      </c>
      <c r="F184" s="187">
        <f t="shared" si="7"/>
        <v>0</v>
      </c>
      <c r="G184" s="187">
        <f t="shared" si="8"/>
        <v>0</v>
      </c>
      <c r="H184" s="190"/>
      <c r="I184" s="190"/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  <c r="W184" s="190"/>
      <c r="X184" s="190"/>
      <c r="Y184" s="190"/>
      <c r="Z184" s="190"/>
      <c r="AA184" s="190"/>
      <c r="AB184" s="190"/>
      <c r="AC184" s="190"/>
      <c r="AD184" s="190"/>
      <c r="AE184" s="190"/>
      <c r="AF184" s="190"/>
      <c r="AG184" s="190"/>
      <c r="AH184" s="190"/>
      <c r="AI184" s="191"/>
      <c r="AJ184" s="191"/>
      <c r="AK184" s="191"/>
      <c r="AL184" s="191"/>
      <c r="AM184" s="191"/>
      <c r="AN184" s="191"/>
      <c r="AO184" s="191"/>
      <c r="AP184" s="191"/>
      <c r="AQ184" s="191"/>
      <c r="AR184" s="191"/>
      <c r="AS184" s="191"/>
      <c r="AT184" s="191"/>
      <c r="AU184" s="191"/>
      <c r="AV184" s="191"/>
      <c r="AW184" s="191"/>
      <c r="AX184" s="191"/>
    </row>
    <row r="185" spans="1:50" s="3" customFormat="1" ht="18" customHeight="1" thickBot="1" x14ac:dyDescent="0.35">
      <c r="A185" s="149" t="s">
        <v>179</v>
      </c>
      <c r="B185" s="135" t="s">
        <v>567</v>
      </c>
      <c r="C185" s="279">
        <v>17319</v>
      </c>
      <c r="D185" s="136">
        <v>9035</v>
      </c>
      <c r="E185" s="187">
        <v>0</v>
      </c>
      <c r="F185" s="187">
        <f t="shared" si="7"/>
        <v>0</v>
      </c>
      <c r="G185" s="187">
        <f t="shared" si="8"/>
        <v>0</v>
      </c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0"/>
      <c r="Y185" s="190"/>
      <c r="Z185" s="190"/>
      <c r="AA185" s="190"/>
      <c r="AB185" s="190"/>
      <c r="AC185" s="190"/>
      <c r="AD185" s="190"/>
      <c r="AE185" s="190"/>
      <c r="AF185" s="190"/>
      <c r="AG185" s="190"/>
      <c r="AH185" s="190"/>
      <c r="AI185" s="191"/>
      <c r="AJ185" s="191"/>
      <c r="AK185" s="191"/>
      <c r="AL185" s="191"/>
      <c r="AM185" s="191"/>
      <c r="AN185" s="191"/>
      <c r="AO185" s="191"/>
      <c r="AP185" s="191"/>
      <c r="AQ185" s="191"/>
      <c r="AR185" s="191"/>
      <c r="AS185" s="191"/>
      <c r="AT185" s="191"/>
      <c r="AU185" s="191"/>
      <c r="AV185" s="191"/>
      <c r="AW185" s="191"/>
      <c r="AX185" s="191"/>
    </row>
    <row r="186" spans="1:50" s="3" customFormat="1" ht="18" customHeight="1" thickBot="1" x14ac:dyDescent="0.35">
      <c r="A186" s="149" t="s">
        <v>180</v>
      </c>
      <c r="B186" s="135" t="s">
        <v>356</v>
      </c>
      <c r="C186" s="279">
        <v>141959</v>
      </c>
      <c r="D186" s="136"/>
      <c r="E186" s="187">
        <f t="shared" si="6"/>
        <v>141959</v>
      </c>
      <c r="F186" s="187">
        <f t="shared" si="7"/>
        <v>141959</v>
      </c>
      <c r="G186" s="187">
        <f t="shared" si="8"/>
        <v>0</v>
      </c>
      <c r="H186" s="190"/>
      <c r="I186" s="190"/>
      <c r="J186" s="190"/>
      <c r="K186" s="190"/>
      <c r="L186" s="190"/>
      <c r="M186" s="190"/>
      <c r="N186" s="190"/>
      <c r="O186" s="190"/>
      <c r="P186" s="190">
        <v>75400</v>
      </c>
      <c r="Q186" s="190"/>
      <c r="R186" s="190"/>
      <c r="S186" s="190">
        <v>52556.98</v>
      </c>
      <c r="T186" s="190"/>
      <c r="U186" s="190"/>
      <c r="V186" s="190"/>
      <c r="W186" s="190"/>
      <c r="X186" s="190"/>
      <c r="Y186" s="190"/>
      <c r="Z186" s="190"/>
      <c r="AA186" s="190"/>
      <c r="AB186" s="190">
        <v>14002.02</v>
      </c>
      <c r="AC186" s="190"/>
      <c r="AD186" s="190"/>
      <c r="AE186" s="190"/>
      <c r="AF186" s="190"/>
      <c r="AG186" s="190"/>
      <c r="AH186" s="190"/>
      <c r="AI186" s="191"/>
      <c r="AJ186" s="191"/>
      <c r="AK186" s="191"/>
      <c r="AL186" s="191"/>
      <c r="AM186" s="191"/>
      <c r="AN186" s="191"/>
      <c r="AO186" s="191"/>
      <c r="AP186" s="191"/>
      <c r="AQ186" s="191"/>
      <c r="AR186" s="191"/>
      <c r="AS186" s="191"/>
      <c r="AT186" s="191"/>
      <c r="AU186" s="191"/>
      <c r="AV186" s="191"/>
      <c r="AW186" s="191"/>
      <c r="AX186" s="191"/>
    </row>
    <row r="187" spans="1:50" s="3" customFormat="1" ht="18" customHeight="1" thickBot="1" x14ac:dyDescent="0.35">
      <c r="A187" s="149" t="s">
        <v>181</v>
      </c>
      <c r="B187" s="135" t="s">
        <v>357</v>
      </c>
      <c r="C187" s="279">
        <v>117480</v>
      </c>
      <c r="D187" s="136"/>
      <c r="E187" s="187">
        <f t="shared" si="6"/>
        <v>117480</v>
      </c>
      <c r="F187" s="187">
        <f t="shared" si="7"/>
        <v>117480</v>
      </c>
      <c r="G187" s="187">
        <f t="shared" si="8"/>
        <v>0</v>
      </c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>
        <v>116657</v>
      </c>
      <c r="T187" s="190"/>
      <c r="U187" s="190"/>
      <c r="V187" s="190"/>
      <c r="W187" s="190"/>
      <c r="X187" s="190"/>
      <c r="Y187" s="190"/>
      <c r="Z187" s="190"/>
      <c r="AA187" s="190">
        <v>823</v>
      </c>
      <c r="AB187" s="190"/>
      <c r="AC187" s="190"/>
      <c r="AD187" s="190"/>
      <c r="AE187" s="190"/>
      <c r="AF187" s="190"/>
      <c r="AG187" s="190"/>
      <c r="AH187" s="190"/>
      <c r="AI187" s="191"/>
      <c r="AJ187" s="191"/>
      <c r="AK187" s="191"/>
      <c r="AL187" s="191"/>
      <c r="AM187" s="191"/>
      <c r="AN187" s="191"/>
      <c r="AO187" s="191"/>
      <c r="AP187" s="191"/>
      <c r="AQ187" s="191"/>
      <c r="AR187" s="191"/>
      <c r="AS187" s="191"/>
      <c r="AT187" s="191"/>
      <c r="AU187" s="191"/>
      <c r="AV187" s="191"/>
      <c r="AW187" s="191"/>
      <c r="AX187" s="191"/>
    </row>
    <row r="188" spans="1:50" s="3" customFormat="1" ht="18" customHeight="1" thickBot="1" x14ac:dyDescent="0.35">
      <c r="A188" s="149" t="s">
        <v>182</v>
      </c>
      <c r="B188" s="135" t="s">
        <v>358</v>
      </c>
      <c r="C188" s="279">
        <v>30235</v>
      </c>
      <c r="D188" s="136">
        <v>9025</v>
      </c>
      <c r="E188" s="187">
        <v>0</v>
      </c>
      <c r="F188" s="187">
        <f t="shared" si="7"/>
        <v>0</v>
      </c>
      <c r="G188" s="187">
        <f t="shared" si="8"/>
        <v>0</v>
      </c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  <c r="Y188" s="190"/>
      <c r="Z188" s="190"/>
      <c r="AA188" s="190"/>
      <c r="AB188" s="190"/>
      <c r="AC188" s="190"/>
      <c r="AD188" s="190"/>
      <c r="AE188" s="190"/>
      <c r="AF188" s="190"/>
      <c r="AG188" s="190"/>
      <c r="AH188" s="190"/>
      <c r="AI188" s="191"/>
      <c r="AJ188" s="191"/>
      <c r="AK188" s="191"/>
      <c r="AL188" s="191"/>
      <c r="AM188" s="191"/>
      <c r="AN188" s="191"/>
      <c r="AO188" s="191"/>
      <c r="AP188" s="191"/>
      <c r="AQ188" s="191"/>
      <c r="AR188" s="191"/>
      <c r="AS188" s="191"/>
      <c r="AT188" s="191"/>
      <c r="AU188" s="191"/>
      <c r="AV188" s="191"/>
      <c r="AW188" s="191"/>
      <c r="AX188" s="191"/>
    </row>
    <row r="189" spans="1:50" s="3" customFormat="1" ht="18" customHeight="1" thickBot="1" x14ac:dyDescent="0.35">
      <c r="A189" s="149" t="s">
        <v>183</v>
      </c>
      <c r="B189" s="135" t="s">
        <v>359</v>
      </c>
      <c r="C189" s="279">
        <v>962</v>
      </c>
      <c r="D189" s="136">
        <v>9025</v>
      </c>
      <c r="E189" s="187">
        <v>0</v>
      </c>
      <c r="F189" s="187">
        <f t="shared" si="7"/>
        <v>0</v>
      </c>
      <c r="G189" s="187">
        <f t="shared" si="8"/>
        <v>0</v>
      </c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  <c r="AA189" s="190"/>
      <c r="AB189" s="190"/>
      <c r="AC189" s="190"/>
      <c r="AD189" s="190"/>
      <c r="AE189" s="190"/>
      <c r="AF189" s="190"/>
      <c r="AG189" s="190"/>
      <c r="AH189" s="190"/>
      <c r="AI189" s="191"/>
      <c r="AJ189" s="191"/>
      <c r="AK189" s="191"/>
      <c r="AL189" s="191"/>
      <c r="AM189" s="191"/>
      <c r="AN189" s="191"/>
      <c r="AO189" s="191"/>
      <c r="AP189" s="191"/>
      <c r="AQ189" s="191"/>
      <c r="AR189" s="191"/>
      <c r="AS189" s="191"/>
      <c r="AT189" s="191"/>
      <c r="AU189" s="191"/>
      <c r="AV189" s="191"/>
      <c r="AW189" s="191"/>
      <c r="AX189" s="191"/>
    </row>
    <row r="190" spans="1:50" s="3" customFormat="1" ht="18" customHeight="1" thickBot="1" x14ac:dyDescent="0.35">
      <c r="A190" s="149" t="s">
        <v>402</v>
      </c>
      <c r="B190" s="135" t="s">
        <v>571</v>
      </c>
      <c r="C190" s="277">
        <v>1860894</v>
      </c>
      <c r="D190" s="136"/>
      <c r="E190" s="187">
        <f t="shared" si="6"/>
        <v>1860894</v>
      </c>
      <c r="F190" s="187">
        <f t="shared" si="7"/>
        <v>1860894</v>
      </c>
      <c r="G190" s="187">
        <f t="shared" si="8"/>
        <v>0</v>
      </c>
      <c r="H190" s="190"/>
      <c r="I190" s="190"/>
      <c r="J190" s="190"/>
      <c r="K190" s="190"/>
      <c r="L190" s="190"/>
      <c r="M190" s="190"/>
      <c r="N190" s="190">
        <v>51353</v>
      </c>
      <c r="O190" s="190">
        <v>292923</v>
      </c>
      <c r="P190" s="224">
        <v>233441</v>
      </c>
      <c r="Q190" s="190">
        <v>66565</v>
      </c>
      <c r="R190" s="190">
        <v>153360</v>
      </c>
      <c r="S190" s="190">
        <v>195728</v>
      </c>
      <c r="T190" s="190">
        <v>273622</v>
      </c>
      <c r="U190" s="190">
        <v>471415</v>
      </c>
      <c r="V190" s="190"/>
      <c r="W190" s="190"/>
      <c r="X190" s="190"/>
      <c r="Y190" s="190"/>
      <c r="Z190" s="190"/>
      <c r="AA190" s="190">
        <v>122487</v>
      </c>
      <c r="AB190" s="190"/>
      <c r="AC190" s="190"/>
      <c r="AD190" s="190"/>
      <c r="AE190" s="190"/>
      <c r="AF190" s="190"/>
      <c r="AG190" s="190"/>
      <c r="AH190" s="190"/>
      <c r="AI190" s="191"/>
      <c r="AJ190" s="191"/>
      <c r="AK190" s="191"/>
      <c r="AL190" s="191"/>
      <c r="AM190" s="191"/>
      <c r="AN190" s="191"/>
      <c r="AO190" s="191"/>
      <c r="AP190" s="191"/>
      <c r="AQ190" s="191"/>
      <c r="AR190" s="191"/>
      <c r="AS190" s="191"/>
      <c r="AT190" s="191"/>
      <c r="AU190" s="191"/>
      <c r="AV190" s="191"/>
      <c r="AW190" s="191"/>
      <c r="AX190" s="191"/>
    </row>
    <row r="191" spans="1:50" s="3" customFormat="1" ht="18" customHeight="1" thickBot="1" x14ac:dyDescent="0.35">
      <c r="A191" s="149" t="s">
        <v>362</v>
      </c>
      <c r="B191" s="135" t="s">
        <v>607</v>
      </c>
      <c r="C191" s="277">
        <v>63147</v>
      </c>
      <c r="D191" s="136"/>
      <c r="E191" s="187">
        <f t="shared" si="6"/>
        <v>63147</v>
      </c>
      <c r="F191" s="187">
        <f t="shared" si="7"/>
        <v>63147</v>
      </c>
      <c r="G191" s="187">
        <f t="shared" si="8"/>
        <v>0</v>
      </c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>
        <v>50401.16</v>
      </c>
      <c r="U191" s="190"/>
      <c r="V191" s="190"/>
      <c r="W191" s="190"/>
      <c r="X191" s="190"/>
      <c r="Y191" s="190"/>
      <c r="Z191" s="190"/>
      <c r="AA191" s="190"/>
      <c r="AB191" s="190"/>
      <c r="AC191" s="190"/>
      <c r="AD191" s="190"/>
      <c r="AE191" s="190"/>
      <c r="AF191" s="190"/>
      <c r="AG191" s="190">
        <v>12745.84</v>
      </c>
      <c r="AH191" s="190"/>
      <c r="AI191" s="191"/>
      <c r="AJ191" s="191"/>
      <c r="AK191" s="191"/>
      <c r="AL191" s="191"/>
      <c r="AM191" s="191"/>
      <c r="AN191" s="191"/>
      <c r="AO191" s="191"/>
      <c r="AP191" s="191"/>
      <c r="AQ191" s="191"/>
      <c r="AR191" s="191"/>
      <c r="AS191" s="191"/>
      <c r="AT191" s="191"/>
      <c r="AU191" s="191"/>
      <c r="AV191" s="191"/>
      <c r="AW191" s="191"/>
      <c r="AX191" s="191"/>
    </row>
    <row r="192" spans="1:50" ht="18" customHeight="1" thickBot="1" x14ac:dyDescent="0.3">
      <c r="A192" s="149" t="s">
        <v>370</v>
      </c>
      <c r="B192" s="135" t="s">
        <v>374</v>
      </c>
      <c r="C192" s="187">
        <v>0</v>
      </c>
      <c r="D192" s="136"/>
      <c r="E192" s="187">
        <v>777546</v>
      </c>
      <c r="F192" s="187">
        <f t="shared" si="7"/>
        <v>777546</v>
      </c>
      <c r="G192" s="187">
        <f t="shared" si="8"/>
        <v>0</v>
      </c>
      <c r="H192" s="193"/>
      <c r="I192" s="193"/>
      <c r="J192" s="193"/>
      <c r="K192" s="193"/>
      <c r="L192" s="193">
        <v>136331.81</v>
      </c>
      <c r="M192" s="193">
        <v>3092.44</v>
      </c>
      <c r="N192" s="193">
        <v>41955.86</v>
      </c>
      <c r="O192" s="190">
        <v>165578.34</v>
      </c>
      <c r="P192" s="193">
        <v>2822.42</v>
      </c>
      <c r="Q192" s="193">
        <v>43948.59</v>
      </c>
      <c r="R192" s="193">
        <v>123912.77</v>
      </c>
      <c r="S192" s="193">
        <v>40730.550000000003</v>
      </c>
      <c r="T192" s="193">
        <v>132154.26</v>
      </c>
      <c r="U192" s="193"/>
      <c r="V192" s="193"/>
      <c r="W192" s="193"/>
      <c r="X192" s="193"/>
      <c r="Y192" s="193">
        <v>87018.96</v>
      </c>
      <c r="Z192" s="193"/>
      <c r="AA192" s="193"/>
      <c r="AB192" s="193"/>
      <c r="AC192" s="193"/>
      <c r="AD192" s="193"/>
      <c r="AE192" s="193"/>
      <c r="AF192" s="193"/>
      <c r="AG192" s="193"/>
      <c r="AH192" s="193"/>
      <c r="AI192" s="194"/>
      <c r="AJ192" s="194"/>
      <c r="AK192" s="194"/>
      <c r="AL192" s="194"/>
      <c r="AM192" s="194"/>
      <c r="AN192" s="194"/>
      <c r="AO192" s="194"/>
      <c r="AP192" s="194"/>
      <c r="AQ192" s="194"/>
      <c r="AR192" s="194"/>
      <c r="AS192" s="194"/>
      <c r="AT192" s="194"/>
      <c r="AU192" s="194"/>
      <c r="AV192" s="194"/>
      <c r="AW192" s="194"/>
      <c r="AX192" s="194"/>
    </row>
    <row r="193" spans="1:50" ht="18" customHeight="1" thickBot="1" x14ac:dyDescent="0.3">
      <c r="A193" s="149" t="s">
        <v>371</v>
      </c>
      <c r="B193" s="135" t="s">
        <v>608</v>
      </c>
      <c r="C193" s="187">
        <v>0</v>
      </c>
      <c r="D193" s="136"/>
      <c r="E193" s="187">
        <v>1178317</v>
      </c>
      <c r="F193" s="187">
        <f t="shared" si="7"/>
        <v>1178317</v>
      </c>
      <c r="G193" s="187">
        <f t="shared" si="8"/>
        <v>0</v>
      </c>
      <c r="H193" s="193"/>
      <c r="I193" s="193"/>
      <c r="J193" s="193"/>
      <c r="K193" s="193">
        <v>54967</v>
      </c>
      <c r="L193" s="193">
        <v>101303</v>
      </c>
      <c r="M193" s="193">
        <v>35290</v>
      </c>
      <c r="N193" s="193">
        <v>30529</v>
      </c>
      <c r="O193" s="190">
        <v>180483</v>
      </c>
      <c r="P193" s="193">
        <v>79084</v>
      </c>
      <c r="Q193" s="193">
        <v>41695</v>
      </c>
      <c r="R193" s="193">
        <v>64668</v>
      </c>
      <c r="S193" s="193">
        <v>122321</v>
      </c>
      <c r="T193" s="193">
        <v>76306</v>
      </c>
      <c r="U193" s="193">
        <v>201196</v>
      </c>
      <c r="V193" s="193">
        <v>175899</v>
      </c>
      <c r="W193" s="193">
        <v>14576</v>
      </c>
      <c r="X193" s="193"/>
      <c r="Y193" s="193"/>
      <c r="Z193" s="193"/>
      <c r="AA193" s="193"/>
      <c r="AB193" s="193"/>
      <c r="AC193" s="193"/>
      <c r="AD193" s="193"/>
      <c r="AE193" s="193"/>
      <c r="AF193" s="193"/>
      <c r="AG193" s="193"/>
      <c r="AH193" s="193"/>
      <c r="AI193" s="194"/>
      <c r="AJ193" s="194"/>
      <c r="AK193" s="194"/>
      <c r="AL193" s="194"/>
      <c r="AM193" s="194"/>
      <c r="AN193" s="194"/>
      <c r="AO193" s="194"/>
      <c r="AP193" s="194"/>
      <c r="AQ193" s="194"/>
      <c r="AR193" s="194"/>
      <c r="AS193" s="194"/>
      <c r="AT193" s="194"/>
      <c r="AU193" s="194"/>
      <c r="AV193" s="194"/>
      <c r="AW193" s="194"/>
      <c r="AX193" s="194"/>
    </row>
    <row r="194" spans="1:50" ht="18" customHeight="1" thickBot="1" x14ac:dyDescent="0.3">
      <c r="A194" s="149" t="s">
        <v>372</v>
      </c>
      <c r="B194" s="135" t="s">
        <v>376</v>
      </c>
      <c r="C194" s="187">
        <v>0</v>
      </c>
      <c r="D194" s="136"/>
      <c r="E194" s="187">
        <v>215473</v>
      </c>
      <c r="F194" s="187">
        <f t="shared" si="7"/>
        <v>215473</v>
      </c>
      <c r="G194" s="187">
        <f t="shared" si="8"/>
        <v>0</v>
      </c>
      <c r="H194" s="193"/>
      <c r="I194" s="193"/>
      <c r="J194" s="193"/>
      <c r="K194" s="193">
        <v>12823.2</v>
      </c>
      <c r="L194" s="193">
        <v>9242.93</v>
      </c>
      <c r="M194" s="193">
        <v>1173.79</v>
      </c>
      <c r="N194" s="193"/>
      <c r="O194" s="190">
        <f>60852.91+55403.96</f>
        <v>116256.87</v>
      </c>
      <c r="P194" s="193">
        <v>6325.24</v>
      </c>
      <c r="Q194" s="193">
        <v>20607.62</v>
      </c>
      <c r="R194" s="193">
        <v>5920.73</v>
      </c>
      <c r="S194" s="193">
        <v>34459.82</v>
      </c>
      <c r="T194" s="193"/>
      <c r="U194" s="193"/>
      <c r="V194" s="193"/>
      <c r="W194" s="193">
        <v>7449.8</v>
      </c>
      <c r="X194" s="193"/>
      <c r="Y194" s="193"/>
      <c r="Z194" s="193"/>
      <c r="AA194" s="193">
        <v>1213</v>
      </c>
      <c r="AB194" s="193"/>
      <c r="AC194" s="193"/>
      <c r="AD194" s="193"/>
      <c r="AE194" s="193"/>
      <c r="AF194" s="193"/>
      <c r="AG194" s="193"/>
      <c r="AH194" s="193"/>
      <c r="AI194" s="194"/>
      <c r="AJ194" s="194"/>
      <c r="AK194" s="194"/>
      <c r="AL194" s="194"/>
      <c r="AM194" s="194"/>
      <c r="AN194" s="194"/>
      <c r="AO194" s="194"/>
      <c r="AP194" s="194"/>
      <c r="AQ194" s="194"/>
      <c r="AR194" s="194"/>
      <c r="AS194" s="194"/>
      <c r="AT194" s="194"/>
      <c r="AU194" s="194"/>
      <c r="AV194" s="194"/>
      <c r="AW194" s="194"/>
      <c r="AX194" s="194"/>
    </row>
    <row r="195" spans="1:50" s="147" customFormat="1" ht="18" customHeight="1" thickBot="1" x14ac:dyDescent="0.3">
      <c r="A195" s="150"/>
      <c r="B195" s="146"/>
      <c r="C195" s="188"/>
      <c r="D195" s="181"/>
      <c r="E195" s="188"/>
      <c r="F195" s="188"/>
      <c r="G195" s="188"/>
      <c r="H195" s="190"/>
      <c r="I195" s="190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  <c r="U195" s="190"/>
      <c r="V195" s="289"/>
      <c r="W195" s="190"/>
      <c r="X195" s="190"/>
      <c r="Y195" s="190"/>
      <c r="Z195" s="190"/>
      <c r="AA195" s="190"/>
      <c r="AB195" s="190"/>
      <c r="AC195" s="190"/>
      <c r="AD195" s="190"/>
      <c r="AE195" s="190"/>
      <c r="AF195" s="190"/>
      <c r="AG195" s="190"/>
      <c r="AH195" s="190"/>
      <c r="AI195" s="191"/>
      <c r="AJ195" s="191"/>
      <c r="AK195" s="191"/>
      <c r="AL195" s="191"/>
      <c r="AM195" s="191"/>
      <c r="AN195" s="191"/>
      <c r="AO195" s="191"/>
      <c r="AP195" s="191"/>
      <c r="AQ195" s="191"/>
      <c r="AR195" s="191"/>
      <c r="AS195" s="191"/>
      <c r="AT195" s="191"/>
      <c r="AU195" s="191"/>
      <c r="AV195" s="191"/>
      <c r="AW195" s="191"/>
      <c r="AX195" s="191"/>
    </row>
    <row r="196" spans="1:50" s="47" customFormat="1" ht="18" customHeight="1" thickBot="1" x14ac:dyDescent="0.3">
      <c r="A196" s="148" t="s">
        <v>575</v>
      </c>
      <c r="B196" s="45"/>
      <c r="C196" s="189">
        <f>SUM(C12:C194)</f>
        <v>134901005</v>
      </c>
      <c r="D196" s="182"/>
      <c r="E196" s="189">
        <f>SUM(E12:E194)</f>
        <v>134901005</v>
      </c>
      <c r="F196" s="189">
        <f>SUM(F12:F194)</f>
        <v>134901004</v>
      </c>
      <c r="G196" s="189">
        <f>SUM(G12:G194)</f>
        <v>1</v>
      </c>
      <c r="H196" s="189">
        <f t="shared" ref="H196:AX196" si="9">SUM(H12:H194)</f>
        <v>0</v>
      </c>
      <c r="I196" s="189">
        <f t="shared" si="9"/>
        <v>0</v>
      </c>
      <c r="J196" s="189">
        <f t="shared" si="9"/>
        <v>26747.91</v>
      </c>
      <c r="K196" s="189">
        <f t="shared" si="9"/>
        <v>877409.24999999977</v>
      </c>
      <c r="L196" s="189">
        <f t="shared" si="9"/>
        <v>2432211.8800000004</v>
      </c>
      <c r="M196" s="189">
        <f t="shared" si="9"/>
        <v>5351007.47</v>
      </c>
      <c r="N196" s="189">
        <f t="shared" si="9"/>
        <v>15044429.650000002</v>
      </c>
      <c r="O196" s="189">
        <f t="shared" si="9"/>
        <v>10591503.219999999</v>
      </c>
      <c r="P196" s="189">
        <f t="shared" si="9"/>
        <v>8028931.0100000007</v>
      </c>
      <c r="Q196" s="189">
        <f t="shared" si="9"/>
        <v>17491503.100000001</v>
      </c>
      <c r="R196" s="189">
        <f t="shared" si="9"/>
        <v>11416152.719999995</v>
      </c>
      <c r="S196" s="189">
        <f>SUM(S12:S194)</f>
        <v>17401359.650000002</v>
      </c>
      <c r="T196" s="189">
        <f t="shared" si="9"/>
        <v>6040151.6000000006</v>
      </c>
      <c r="U196" s="189">
        <f t="shared" si="9"/>
        <v>2693054.2199999997</v>
      </c>
      <c r="V196" s="189">
        <f t="shared" si="9"/>
        <v>6156422.3100000015</v>
      </c>
      <c r="W196" s="189">
        <f t="shared" si="9"/>
        <v>5003991.67</v>
      </c>
      <c r="X196" s="189">
        <f t="shared" si="9"/>
        <v>14201170.390000002</v>
      </c>
      <c r="Y196" s="189">
        <f t="shared" si="9"/>
        <v>2778360.86</v>
      </c>
      <c r="Z196" s="189">
        <f t="shared" si="9"/>
        <v>3079724.1700000004</v>
      </c>
      <c r="AA196" s="189">
        <f t="shared" si="9"/>
        <v>998609.71</v>
      </c>
      <c r="AB196" s="189">
        <f t="shared" si="9"/>
        <v>2321007.5699999998</v>
      </c>
      <c r="AC196" s="189">
        <f t="shared" si="9"/>
        <v>2415141.7599999998</v>
      </c>
      <c r="AD196" s="189">
        <f t="shared" si="9"/>
        <v>245660.28</v>
      </c>
      <c r="AE196" s="189">
        <f t="shared" si="9"/>
        <v>262909.65999999997</v>
      </c>
      <c r="AF196" s="189">
        <f t="shared" si="9"/>
        <v>295</v>
      </c>
      <c r="AG196" s="189">
        <f t="shared" si="9"/>
        <v>12745.86</v>
      </c>
      <c r="AH196" s="189">
        <f t="shared" si="9"/>
        <v>0</v>
      </c>
      <c r="AI196" s="189">
        <f t="shared" si="9"/>
        <v>27985.32</v>
      </c>
      <c r="AJ196" s="189">
        <f t="shared" si="9"/>
        <v>0</v>
      </c>
      <c r="AK196" s="189">
        <f t="shared" si="9"/>
        <v>0</v>
      </c>
      <c r="AL196" s="189">
        <f t="shared" si="9"/>
        <v>0</v>
      </c>
      <c r="AM196" s="189">
        <f t="shared" si="9"/>
        <v>6</v>
      </c>
      <c r="AN196" s="189">
        <f t="shared" si="9"/>
        <v>0</v>
      </c>
      <c r="AO196" s="189">
        <f t="shared" si="9"/>
        <v>2511.7600000000002</v>
      </c>
      <c r="AP196" s="189"/>
      <c r="AQ196" s="189"/>
      <c r="AR196" s="189"/>
      <c r="AS196" s="189"/>
      <c r="AT196" s="189"/>
      <c r="AU196" s="189"/>
      <c r="AV196" s="189"/>
      <c r="AW196" s="189">
        <f t="shared" si="9"/>
        <v>0</v>
      </c>
      <c r="AX196" s="189">
        <f t="shared" si="9"/>
        <v>0</v>
      </c>
    </row>
    <row r="197" spans="1:50" ht="18.75" x14ac:dyDescent="0.3">
      <c r="A197" s="111"/>
      <c r="B197" s="36"/>
      <c r="C197" s="71"/>
      <c r="D197" s="108"/>
      <c r="E197" s="36"/>
      <c r="F197" s="36"/>
      <c r="G197" s="36"/>
      <c r="L197" s="137"/>
      <c r="M197" s="73"/>
      <c r="O197" s="93"/>
    </row>
    <row r="198" spans="1:50" ht="18.75" x14ac:dyDescent="0.3">
      <c r="C198" s="71"/>
      <c r="D198" s="108"/>
      <c r="E198" s="36"/>
      <c r="F198" s="36"/>
      <c r="G198" s="50"/>
      <c r="J198" s="73"/>
      <c r="K198" s="73"/>
      <c r="L198" s="73"/>
      <c r="M198" s="73"/>
      <c r="N198" s="73"/>
      <c r="O198" s="73"/>
      <c r="P198" s="73"/>
      <c r="R198" s="73"/>
      <c r="S198" s="73"/>
      <c r="T198" s="73"/>
      <c r="V198" s="290"/>
    </row>
    <row r="199" spans="1:50" ht="18.75" x14ac:dyDescent="0.3">
      <c r="C199" s="72"/>
      <c r="D199" s="108"/>
      <c r="G199" s="231"/>
      <c r="M199" s="137"/>
      <c r="Q199" s="246"/>
      <c r="R199" s="73"/>
      <c r="U199" s="73"/>
    </row>
    <row r="200" spans="1:50" x14ac:dyDescent="0.25">
      <c r="C200" s="72"/>
      <c r="D200" s="109"/>
      <c r="G200" s="263"/>
      <c r="O200" s="73"/>
      <c r="S200" s="73"/>
      <c r="T200" s="73"/>
      <c r="U200" s="73"/>
    </row>
    <row r="201" spans="1:50" x14ac:dyDescent="0.25">
      <c r="C201" s="72"/>
      <c r="D201" s="109"/>
      <c r="H201" s="231"/>
    </row>
    <row r="202" spans="1:50" x14ac:dyDescent="0.25">
      <c r="C202" s="72"/>
      <c r="D202" s="109"/>
      <c r="G202" s="73"/>
    </row>
    <row r="203" spans="1:50" x14ac:dyDescent="0.25">
      <c r="C203" s="72"/>
      <c r="D203" s="109"/>
    </row>
    <row r="204" spans="1:50" x14ac:dyDescent="0.25">
      <c r="C204" s="72"/>
      <c r="D204" s="109"/>
    </row>
    <row r="205" spans="1:50" x14ac:dyDescent="0.25">
      <c r="C205" s="72"/>
      <c r="D205" s="109"/>
    </row>
    <row r="206" spans="1:50" x14ac:dyDescent="0.25">
      <c r="C206" s="72"/>
      <c r="D206" s="109"/>
    </row>
    <row r="207" spans="1:50" x14ac:dyDescent="0.25">
      <c r="C207" s="72"/>
      <c r="D207" s="109"/>
    </row>
    <row r="208" spans="1:50" x14ac:dyDescent="0.25">
      <c r="C208" s="72"/>
      <c r="D208" s="109"/>
    </row>
    <row r="209" spans="3:4" x14ac:dyDescent="0.25">
      <c r="C209" s="72"/>
      <c r="D209" s="109"/>
    </row>
    <row r="210" spans="3:4" x14ac:dyDescent="0.25">
      <c r="C210" s="72"/>
      <c r="D210" s="109"/>
    </row>
    <row r="211" spans="3:4" x14ac:dyDescent="0.25">
      <c r="C211" s="72"/>
      <c r="D211" s="109"/>
    </row>
    <row r="212" spans="3:4" x14ac:dyDescent="0.25">
      <c r="C212" s="72"/>
      <c r="D212" s="109"/>
    </row>
    <row r="213" spans="3:4" x14ac:dyDescent="0.25">
      <c r="C213" s="72"/>
      <c r="D213" s="109"/>
    </row>
    <row r="214" spans="3:4" x14ac:dyDescent="0.25">
      <c r="C214" s="72"/>
      <c r="D214" s="109"/>
    </row>
    <row r="215" spans="3:4" x14ac:dyDescent="0.25">
      <c r="C215" s="72"/>
      <c r="D215" s="109"/>
    </row>
    <row r="216" spans="3:4" x14ac:dyDescent="0.25">
      <c r="C216" s="72"/>
      <c r="D216" s="109"/>
    </row>
    <row r="217" spans="3:4" x14ac:dyDescent="0.25">
      <c r="D217" s="109"/>
    </row>
    <row r="218" spans="3:4" x14ac:dyDescent="0.25">
      <c r="D218" s="109"/>
    </row>
    <row r="219" spans="3:4" x14ac:dyDescent="0.25">
      <c r="D219" s="109"/>
    </row>
    <row r="220" spans="3:4" x14ac:dyDescent="0.25">
      <c r="D220" s="109"/>
    </row>
    <row r="221" spans="3:4" x14ac:dyDescent="0.25">
      <c r="D221" s="109"/>
    </row>
    <row r="222" spans="3:4" x14ac:dyDescent="0.25">
      <c r="D222" s="109"/>
    </row>
    <row r="223" spans="3:4" x14ac:dyDescent="0.25">
      <c r="D223" s="109"/>
    </row>
    <row r="224" spans="3:4" x14ac:dyDescent="0.25">
      <c r="D224" s="109"/>
    </row>
    <row r="225" spans="4:4" x14ac:dyDescent="0.25">
      <c r="D225" s="109"/>
    </row>
  </sheetData>
  <sheetProtection algorithmName="SHA-512" hashValue="lKFnZ0FdltBCYGR1eedPZ86aqvNyVXo11aUiEkektl73x3LO2yI8LqpD9briECSXepn+S4isqEm0DqB0cWHxHg==" saltValue="YM+cs2BORztFXzv/v8nD3Q==" spinCount="100000" sheet="1" objects="1" scenarios="1"/>
  <pageMargins left="0.1" right="0.1" top="0.1" bottom="0.1" header="0.5" footer="0.5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66CCFF"/>
  </sheetPr>
  <dimension ref="A1:AX27"/>
  <sheetViews>
    <sheetView workbookViewId="0">
      <pane xSplit="7" ySplit="11" topLeftCell="AI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AK21" sqref="AK21"/>
    </sheetView>
  </sheetViews>
  <sheetFormatPr defaultRowHeight="15" x14ac:dyDescent="0.25"/>
  <cols>
    <col min="1" max="1" width="9.140625" style="6" customWidth="1"/>
    <col min="2" max="2" width="36.7109375" style="6" customWidth="1"/>
    <col min="3" max="3" width="20.85546875" style="6" customWidth="1"/>
    <col min="4" max="4" width="16.42578125" style="133" customWidth="1"/>
    <col min="5" max="5" width="16.7109375" style="133" customWidth="1"/>
    <col min="6" max="6" width="18.85546875" style="6" customWidth="1"/>
    <col min="7" max="7" width="17" style="6" customWidth="1"/>
    <col min="8" max="34" width="15.7109375" customWidth="1"/>
    <col min="35" max="37" width="15" customWidth="1"/>
    <col min="38" max="48" width="15" style="133" customWidth="1"/>
    <col min="49" max="50" width="15" customWidth="1"/>
  </cols>
  <sheetData>
    <row r="1" spans="1:50" ht="21" x14ac:dyDescent="0.35">
      <c r="A1" s="10" t="s">
        <v>0</v>
      </c>
      <c r="B1" s="11"/>
      <c r="C1" s="12" t="s">
        <v>662</v>
      </c>
      <c r="D1" s="120"/>
      <c r="E1" s="120"/>
      <c r="F1" s="10"/>
      <c r="G1" s="13"/>
      <c r="H1" s="14"/>
      <c r="I1" s="14"/>
      <c r="J1" s="12" t="str">
        <f>C1</f>
        <v>Title I-D Delinquent (Revised Final Allocations)</v>
      </c>
      <c r="K1" s="12"/>
      <c r="L1" s="10"/>
      <c r="M1" s="10"/>
      <c r="N1" s="13"/>
      <c r="O1" s="13"/>
      <c r="P1" s="14"/>
      <c r="Q1" s="78" t="str">
        <f>C1</f>
        <v>Title I-D Delinquent (Revised Final Allocations)</v>
      </c>
      <c r="R1" s="12"/>
      <c r="S1" s="12"/>
      <c r="T1" s="10"/>
      <c r="U1" s="10"/>
      <c r="V1" s="13"/>
      <c r="W1" s="13"/>
      <c r="X1" s="78" t="str">
        <f>C1</f>
        <v>Title I-D Delinquent (Revised Final Allocations)</v>
      </c>
      <c r="Y1" s="14"/>
      <c r="Z1" s="12"/>
      <c r="AA1" s="12"/>
      <c r="AB1" s="10"/>
      <c r="AC1" s="10"/>
      <c r="AD1" s="13"/>
      <c r="AE1" s="78" t="str">
        <f>C1</f>
        <v>Title I-D Delinquent (Revised Final Allocations)</v>
      </c>
      <c r="AF1" s="14"/>
      <c r="AG1" s="14"/>
      <c r="AH1" s="12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</row>
    <row r="2" spans="1:50" ht="15.75" x14ac:dyDescent="0.25">
      <c r="A2" s="15" t="s">
        <v>1</v>
      </c>
      <c r="B2" s="11"/>
      <c r="C2" s="16" t="s">
        <v>363</v>
      </c>
      <c r="D2" s="82"/>
      <c r="E2" s="82"/>
      <c r="F2" s="15"/>
      <c r="G2" s="17"/>
      <c r="H2" s="14"/>
      <c r="I2" s="14"/>
      <c r="J2" s="15" t="str">
        <f>"FY"&amp;C4</f>
        <v>FY2019-2020</v>
      </c>
      <c r="K2" s="15"/>
      <c r="L2" s="18"/>
      <c r="M2" s="18"/>
      <c r="N2" s="17"/>
      <c r="O2" s="17"/>
      <c r="P2" s="17"/>
      <c r="Q2" s="81" t="str">
        <f>"FY"&amp;C4</f>
        <v>FY2019-2020</v>
      </c>
      <c r="R2" s="15"/>
      <c r="S2" s="15"/>
      <c r="T2" s="18"/>
      <c r="U2" s="18"/>
      <c r="V2" s="17"/>
      <c r="W2" s="17"/>
      <c r="X2" s="81" t="str">
        <f>"FY"&amp;C4</f>
        <v>FY2019-2020</v>
      </c>
      <c r="Y2" s="17"/>
      <c r="Z2" s="15"/>
      <c r="AA2" s="15"/>
      <c r="AB2" s="18"/>
      <c r="AC2" s="18"/>
      <c r="AD2" s="17"/>
      <c r="AE2" s="81" t="str">
        <f>"FY"&amp;C4</f>
        <v>FY2019-2020</v>
      </c>
      <c r="AF2" s="17"/>
      <c r="AG2" s="17"/>
      <c r="AH2" s="15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</row>
    <row r="3" spans="1:50" ht="15.75" x14ac:dyDescent="0.25">
      <c r="A3" s="15" t="s">
        <v>3</v>
      </c>
      <c r="B3" s="11"/>
      <c r="C3" s="18" t="s">
        <v>381</v>
      </c>
      <c r="D3" s="121"/>
      <c r="E3" s="121"/>
      <c r="F3" s="15"/>
      <c r="G3" s="17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</row>
    <row r="4" spans="1:50" ht="15.75" x14ac:dyDescent="0.25">
      <c r="A4" s="15" t="s">
        <v>2</v>
      </c>
      <c r="B4" s="11"/>
      <c r="C4" s="18" t="str">
        <f>'ESSA Title I-A Formula'!$C$4</f>
        <v>2019-2020</v>
      </c>
      <c r="D4" s="121"/>
      <c r="E4" s="121"/>
      <c r="F4" s="17"/>
      <c r="G4" s="17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</row>
    <row r="5" spans="1:50" ht="15.75" x14ac:dyDescent="0.25">
      <c r="A5" s="15" t="s">
        <v>392</v>
      </c>
      <c r="B5" s="11"/>
      <c r="C5" s="67" t="s">
        <v>634</v>
      </c>
      <c r="D5" s="67"/>
      <c r="E5" s="67"/>
      <c r="F5" s="15"/>
      <c r="G5" s="19"/>
      <c r="H5" s="19"/>
      <c r="I5" s="19"/>
      <c r="J5" s="19"/>
      <c r="K5" s="1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</row>
    <row r="6" spans="1:50" ht="15.75" x14ac:dyDescent="0.25">
      <c r="A6" s="15" t="s">
        <v>4</v>
      </c>
      <c r="B6" s="11"/>
      <c r="C6" s="67" t="s">
        <v>364</v>
      </c>
      <c r="D6" s="67"/>
      <c r="E6" s="67"/>
      <c r="F6" s="15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</row>
    <row r="7" spans="1:50" s="133" customFormat="1" ht="15.75" x14ac:dyDescent="0.25">
      <c r="A7" s="81"/>
      <c r="B7" s="77"/>
      <c r="C7" s="67" t="s">
        <v>647</v>
      </c>
      <c r="D7" s="67"/>
      <c r="E7" s="67"/>
      <c r="F7" s="81"/>
      <c r="G7" s="85"/>
      <c r="H7" s="85"/>
      <c r="I7" s="85"/>
      <c r="J7" s="85"/>
      <c r="K7" s="85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</row>
    <row r="8" spans="1:50" ht="15.75" x14ac:dyDescent="0.25">
      <c r="A8" s="15" t="s">
        <v>378</v>
      </c>
      <c r="B8" s="11"/>
      <c r="C8" s="81" t="s">
        <v>583</v>
      </c>
      <c r="D8" s="81"/>
      <c r="E8" s="81"/>
      <c r="F8" s="17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</row>
    <row r="9" spans="1:50" ht="15.75" x14ac:dyDescent="0.25">
      <c r="A9" s="15" t="s">
        <v>379</v>
      </c>
      <c r="B9" s="11"/>
      <c r="C9" s="15" t="s">
        <v>380</v>
      </c>
      <c r="D9" s="81"/>
      <c r="E9" s="81"/>
      <c r="F9" s="1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</row>
    <row r="10" spans="1:50" ht="16.5" thickBot="1" x14ac:dyDescent="0.3">
      <c r="A10" s="15" t="s">
        <v>393</v>
      </c>
      <c r="B10" s="11"/>
      <c r="C10" s="81" t="s">
        <v>670</v>
      </c>
      <c r="D10" s="81"/>
      <c r="E10" s="81"/>
      <c r="F10" s="1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</row>
    <row r="11" spans="1:50" s="37" customFormat="1" ht="48.75" customHeight="1" thickBot="1" x14ac:dyDescent="0.3">
      <c r="A11" s="114" t="s">
        <v>365</v>
      </c>
      <c r="B11" s="87" t="s">
        <v>366</v>
      </c>
      <c r="C11" s="87" t="s">
        <v>367</v>
      </c>
      <c r="D11" s="107" t="s">
        <v>632</v>
      </c>
      <c r="E11" s="41" t="s">
        <v>624</v>
      </c>
      <c r="F11" s="42" t="s">
        <v>368</v>
      </c>
      <c r="G11" s="49" t="s">
        <v>369</v>
      </c>
      <c r="H11" s="100" t="s">
        <v>578</v>
      </c>
      <c r="I11" s="100" t="s">
        <v>579</v>
      </c>
      <c r="J11" s="100" t="s">
        <v>580</v>
      </c>
      <c r="K11" s="100" t="s">
        <v>590</v>
      </c>
      <c r="L11" s="100" t="s">
        <v>591</v>
      </c>
      <c r="M11" s="100" t="s">
        <v>592</v>
      </c>
      <c r="N11" s="100" t="s">
        <v>593</v>
      </c>
      <c r="O11" s="100" t="s">
        <v>594</v>
      </c>
      <c r="P11" s="100" t="s">
        <v>595</v>
      </c>
      <c r="Q11" s="101" t="s">
        <v>596</v>
      </c>
      <c r="R11" s="100" t="s">
        <v>597</v>
      </c>
      <c r="S11" s="100" t="s">
        <v>598</v>
      </c>
      <c r="T11" s="100" t="s">
        <v>599</v>
      </c>
      <c r="U11" s="100" t="s">
        <v>600</v>
      </c>
      <c r="V11" s="100" t="s">
        <v>601</v>
      </c>
      <c r="W11" s="100" t="s">
        <v>627</v>
      </c>
      <c r="X11" s="100" t="s">
        <v>628</v>
      </c>
      <c r="Y11" s="100" t="s">
        <v>629</v>
      </c>
      <c r="Z11" s="100" t="s">
        <v>636</v>
      </c>
      <c r="AA11" s="100" t="s">
        <v>637</v>
      </c>
      <c r="AB11" s="100" t="s">
        <v>638</v>
      </c>
      <c r="AC11" s="100" t="s">
        <v>639</v>
      </c>
      <c r="AD11" s="100" t="s">
        <v>640</v>
      </c>
      <c r="AE11" s="100" t="s">
        <v>641</v>
      </c>
      <c r="AF11" s="100" t="s">
        <v>642</v>
      </c>
      <c r="AG11" s="100" t="s">
        <v>643</v>
      </c>
      <c r="AH11" s="100" t="s">
        <v>644</v>
      </c>
      <c r="AI11" s="100" t="s">
        <v>645</v>
      </c>
      <c r="AJ11" s="100" t="s">
        <v>646</v>
      </c>
      <c r="AK11" s="100" t="s">
        <v>648</v>
      </c>
      <c r="AL11" s="100" t="s">
        <v>671</v>
      </c>
      <c r="AM11" s="100" t="s">
        <v>672</v>
      </c>
      <c r="AN11" s="100" t="s">
        <v>673</v>
      </c>
      <c r="AO11" s="100" t="s">
        <v>674</v>
      </c>
      <c r="AP11" s="100" t="s">
        <v>675</v>
      </c>
      <c r="AQ11" s="100" t="s">
        <v>681</v>
      </c>
      <c r="AR11" s="100" t="s">
        <v>680</v>
      </c>
      <c r="AS11" s="100" t="s">
        <v>679</v>
      </c>
      <c r="AT11" s="100" t="s">
        <v>678</v>
      </c>
      <c r="AU11" s="100" t="s">
        <v>677</v>
      </c>
      <c r="AV11" s="100" t="s">
        <v>676</v>
      </c>
      <c r="AW11" s="100" t="s">
        <v>630</v>
      </c>
      <c r="AX11" s="100" t="s">
        <v>631</v>
      </c>
    </row>
    <row r="12" spans="1:50" ht="18" customHeight="1" thickBot="1" x14ac:dyDescent="0.3">
      <c r="A12" s="138" t="s">
        <v>13</v>
      </c>
      <c r="B12" s="115" t="s">
        <v>609</v>
      </c>
      <c r="C12" s="206">
        <v>4941</v>
      </c>
      <c r="D12" s="95"/>
      <c r="E12" s="195">
        <f>C12</f>
        <v>4941</v>
      </c>
      <c r="F12" s="196">
        <f>SUM(H12:AK12)</f>
        <v>4744.22</v>
      </c>
      <c r="G12" s="197">
        <f>E12-(F12+AW12+AX12)</f>
        <v>196.77999999999975</v>
      </c>
      <c r="H12" s="198"/>
      <c r="I12" s="198"/>
      <c r="J12" s="198"/>
      <c r="K12" s="198"/>
      <c r="L12" s="199"/>
      <c r="M12" s="199"/>
      <c r="N12" s="199"/>
      <c r="O12" s="199"/>
      <c r="P12" s="199"/>
      <c r="Q12" s="199"/>
      <c r="R12" s="199"/>
      <c r="S12" s="199">
        <v>549.07000000000005</v>
      </c>
      <c r="T12" s="199">
        <v>967.89</v>
      </c>
      <c r="U12" s="199">
        <v>971.88</v>
      </c>
      <c r="V12" s="199">
        <v>971.86</v>
      </c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>
        <v>641.76</v>
      </c>
      <c r="AI12" s="225">
        <v>641.76</v>
      </c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</row>
    <row r="13" spans="1:50" ht="18" customHeight="1" thickBot="1" x14ac:dyDescent="0.3">
      <c r="A13" s="138" t="s">
        <v>20</v>
      </c>
      <c r="B13" s="115" t="s">
        <v>610</v>
      </c>
      <c r="C13" s="206">
        <v>74123</v>
      </c>
      <c r="D13" s="95"/>
      <c r="E13" s="195">
        <f t="shared" ref="E13:E22" si="0">C13</f>
        <v>74123</v>
      </c>
      <c r="F13" s="196">
        <f t="shared" ref="F13:F22" si="1">SUM(H13:AK13)</f>
        <v>69836.97</v>
      </c>
      <c r="G13" s="197">
        <f t="shared" ref="G13:G22" si="2">E13-(F13+AW13+AX13)</f>
        <v>4286.0299999999988</v>
      </c>
      <c r="H13" s="198"/>
      <c r="I13" s="198"/>
      <c r="J13" s="198"/>
      <c r="K13" s="198"/>
      <c r="L13" s="199"/>
      <c r="M13" s="199"/>
      <c r="N13" s="199"/>
      <c r="O13" s="199"/>
      <c r="P13" s="199">
        <v>20354.86</v>
      </c>
      <c r="Q13" s="199"/>
      <c r="R13" s="199"/>
      <c r="S13" s="199"/>
      <c r="T13" s="199"/>
      <c r="U13" s="199"/>
      <c r="V13" s="199"/>
      <c r="W13" s="199">
        <v>2013</v>
      </c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200"/>
      <c r="AJ13" s="225">
        <v>47469.11</v>
      </c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</row>
    <row r="14" spans="1:50" ht="18" customHeight="1" thickBot="1" x14ac:dyDescent="0.3">
      <c r="A14" s="138" t="s">
        <v>45</v>
      </c>
      <c r="B14" s="115" t="s">
        <v>446</v>
      </c>
      <c r="C14" s="206">
        <v>420028</v>
      </c>
      <c r="D14" s="95"/>
      <c r="E14" s="195">
        <f t="shared" si="0"/>
        <v>420028</v>
      </c>
      <c r="F14" s="196">
        <f t="shared" si="1"/>
        <v>420028</v>
      </c>
      <c r="G14" s="197">
        <f t="shared" si="2"/>
        <v>0</v>
      </c>
      <c r="H14" s="198"/>
      <c r="I14" s="198"/>
      <c r="J14" s="198"/>
      <c r="K14" s="198"/>
      <c r="L14" s="199"/>
      <c r="M14" s="199"/>
      <c r="N14" s="199"/>
      <c r="O14" s="199">
        <v>42960.63</v>
      </c>
      <c r="P14" s="199"/>
      <c r="Q14" s="199">
        <v>66556.740000000005</v>
      </c>
      <c r="R14" s="199"/>
      <c r="S14" s="199">
        <v>144517.01999999999</v>
      </c>
      <c r="T14" s="199"/>
      <c r="U14" s="199"/>
      <c r="V14" s="199"/>
      <c r="W14" s="199"/>
      <c r="X14" s="199">
        <v>156685.35999999999</v>
      </c>
      <c r="Y14" s="199"/>
      <c r="Z14" s="199"/>
      <c r="AA14" s="199"/>
      <c r="AB14" s="199"/>
      <c r="AC14" s="199">
        <v>9308.25</v>
      </c>
      <c r="AD14" s="199"/>
      <c r="AE14" s="199"/>
      <c r="AF14" s="199"/>
      <c r="AG14" s="199"/>
      <c r="AH14" s="199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</row>
    <row r="15" spans="1:50" s="133" customFormat="1" ht="18" customHeight="1" thickBot="1" x14ac:dyDescent="0.3">
      <c r="A15" s="138" t="s">
        <v>55</v>
      </c>
      <c r="B15" s="115" t="s">
        <v>233</v>
      </c>
      <c r="C15" s="206">
        <v>159777</v>
      </c>
      <c r="D15" s="293" t="s">
        <v>59</v>
      </c>
      <c r="E15" s="195">
        <v>0</v>
      </c>
      <c r="F15" s="196">
        <f t="shared" si="1"/>
        <v>0</v>
      </c>
      <c r="G15" s="197">
        <f t="shared" si="2"/>
        <v>0</v>
      </c>
      <c r="H15" s="198"/>
      <c r="I15" s="198"/>
      <c r="J15" s="198"/>
      <c r="K15" s="198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</row>
    <row r="16" spans="1:50" s="133" customFormat="1" ht="18" customHeight="1" thickBot="1" x14ac:dyDescent="0.3">
      <c r="A16" s="138" t="s">
        <v>59</v>
      </c>
      <c r="B16" s="115" t="s">
        <v>669</v>
      </c>
      <c r="C16" s="206">
        <v>0</v>
      </c>
      <c r="D16" s="293"/>
      <c r="E16" s="195">
        <f>C15</f>
        <v>159777</v>
      </c>
      <c r="F16" s="196">
        <f t="shared" si="1"/>
        <v>159777</v>
      </c>
      <c r="G16" s="197">
        <f t="shared" si="2"/>
        <v>0</v>
      </c>
      <c r="H16" s="198"/>
      <c r="I16" s="198"/>
      <c r="J16" s="198"/>
      <c r="K16" s="198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>
        <v>144330.44</v>
      </c>
      <c r="AD16" s="199"/>
      <c r="AE16" s="199">
        <v>15446.56</v>
      </c>
      <c r="AF16" s="199"/>
      <c r="AG16" s="199"/>
      <c r="AH16" s="199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</row>
    <row r="17" spans="1:50" ht="18" customHeight="1" thickBot="1" x14ac:dyDescent="0.3">
      <c r="A17" s="138" t="s">
        <v>58</v>
      </c>
      <c r="B17" s="115" t="s">
        <v>663</v>
      </c>
      <c r="C17" s="206">
        <v>36239</v>
      </c>
      <c r="D17" s="95"/>
      <c r="E17" s="195">
        <f t="shared" si="0"/>
        <v>36239</v>
      </c>
      <c r="F17" s="196">
        <f t="shared" si="1"/>
        <v>36239</v>
      </c>
      <c r="G17" s="197">
        <f t="shared" si="2"/>
        <v>0</v>
      </c>
      <c r="H17" s="198"/>
      <c r="I17" s="198"/>
      <c r="J17" s="198"/>
      <c r="K17" s="198"/>
      <c r="L17" s="199"/>
      <c r="M17" s="199"/>
      <c r="N17" s="199"/>
      <c r="O17" s="199">
        <v>1524.64</v>
      </c>
      <c r="P17" s="199">
        <v>3371.57</v>
      </c>
      <c r="Q17" s="199"/>
      <c r="R17" s="199">
        <v>485.4</v>
      </c>
      <c r="S17" s="199">
        <v>11080.4</v>
      </c>
      <c r="T17" s="199"/>
      <c r="U17" s="199">
        <v>7223.2</v>
      </c>
      <c r="V17" s="199">
        <v>5340.46</v>
      </c>
      <c r="W17" s="199"/>
      <c r="X17" s="199">
        <v>2891.51</v>
      </c>
      <c r="Y17" s="199"/>
      <c r="Z17" s="199">
        <v>4321.82</v>
      </c>
      <c r="AA17" s="199"/>
      <c r="AB17" s="199"/>
      <c r="AC17" s="199"/>
      <c r="AD17" s="199"/>
      <c r="AE17" s="199"/>
      <c r="AF17" s="199"/>
      <c r="AG17" s="199"/>
      <c r="AH17" s="199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</row>
    <row r="18" spans="1:50" ht="18" customHeight="1" thickBot="1" x14ac:dyDescent="0.3">
      <c r="A18" s="43" t="s">
        <v>69</v>
      </c>
      <c r="B18" s="115" t="s">
        <v>611</v>
      </c>
      <c r="C18" s="206">
        <v>168012</v>
      </c>
      <c r="D18" s="95"/>
      <c r="E18" s="195">
        <f t="shared" si="0"/>
        <v>168012</v>
      </c>
      <c r="F18" s="196">
        <f t="shared" si="1"/>
        <v>168012</v>
      </c>
      <c r="G18" s="197">
        <f t="shared" si="2"/>
        <v>0</v>
      </c>
      <c r="H18" s="198"/>
      <c r="I18" s="198"/>
      <c r="J18" s="198"/>
      <c r="K18" s="198"/>
      <c r="L18" s="199"/>
      <c r="M18" s="199"/>
      <c r="N18" s="199"/>
      <c r="O18" s="199"/>
      <c r="P18" s="199">
        <v>5568</v>
      </c>
      <c r="Q18" s="199">
        <v>28810</v>
      </c>
      <c r="R18" s="199"/>
      <c r="S18" s="199">
        <v>19443</v>
      </c>
      <c r="T18" s="199">
        <v>32314</v>
      </c>
      <c r="U18" s="199">
        <v>626</v>
      </c>
      <c r="V18" s="199"/>
      <c r="W18" s="199"/>
      <c r="X18" s="199">
        <v>37244</v>
      </c>
      <c r="Y18" s="199"/>
      <c r="Z18" s="199">
        <v>31201</v>
      </c>
      <c r="AA18" s="199"/>
      <c r="AB18" s="199">
        <v>12806</v>
      </c>
      <c r="AC18" s="199"/>
      <c r="AD18" s="199"/>
      <c r="AE18" s="199"/>
      <c r="AF18" s="199"/>
      <c r="AG18" s="199"/>
      <c r="AH18" s="199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</row>
    <row r="19" spans="1:50" s="133" customFormat="1" ht="18" customHeight="1" thickBot="1" x14ac:dyDescent="0.3">
      <c r="A19" s="43" t="s">
        <v>83</v>
      </c>
      <c r="B19" s="115" t="s">
        <v>261</v>
      </c>
      <c r="C19" s="206">
        <v>11530</v>
      </c>
      <c r="D19" s="95"/>
      <c r="E19" s="195">
        <f t="shared" si="0"/>
        <v>11530</v>
      </c>
      <c r="F19" s="196">
        <f t="shared" si="1"/>
        <v>11530</v>
      </c>
      <c r="G19" s="197">
        <f t="shared" si="2"/>
        <v>0</v>
      </c>
      <c r="H19" s="198"/>
      <c r="I19" s="198"/>
      <c r="J19" s="198"/>
      <c r="K19" s="198"/>
      <c r="L19" s="199"/>
      <c r="M19" s="199"/>
      <c r="N19" s="199"/>
      <c r="O19" s="199"/>
      <c r="P19" s="199"/>
      <c r="Q19" s="199"/>
      <c r="R19" s="199"/>
      <c r="S19" s="199"/>
      <c r="T19" s="199">
        <v>11530</v>
      </c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</row>
    <row r="20" spans="1:50" ht="18" customHeight="1" thickBot="1" x14ac:dyDescent="0.3">
      <c r="A20" s="43" t="s">
        <v>95</v>
      </c>
      <c r="B20" s="115" t="s">
        <v>612</v>
      </c>
      <c r="C20" s="206">
        <v>47768</v>
      </c>
      <c r="D20" s="95"/>
      <c r="E20" s="195">
        <f t="shared" si="0"/>
        <v>47768</v>
      </c>
      <c r="F20" s="196">
        <f t="shared" si="1"/>
        <v>47768</v>
      </c>
      <c r="G20" s="197">
        <f t="shared" si="2"/>
        <v>0</v>
      </c>
      <c r="H20" s="198"/>
      <c r="I20" s="198"/>
      <c r="J20" s="198"/>
      <c r="K20" s="198"/>
      <c r="L20" s="199"/>
      <c r="M20" s="199"/>
      <c r="N20" s="199"/>
      <c r="O20" s="199"/>
      <c r="P20" s="199"/>
      <c r="Q20" s="199"/>
      <c r="R20" s="199">
        <v>2837.89</v>
      </c>
      <c r="S20" s="199">
        <v>5264.62</v>
      </c>
      <c r="T20" s="199"/>
      <c r="U20" s="199">
        <v>8927.9</v>
      </c>
      <c r="V20" s="199"/>
      <c r="W20" s="199"/>
      <c r="X20" s="199">
        <f>4358.59+5827.78</f>
        <v>10186.369999999999</v>
      </c>
      <c r="Y20" s="199"/>
      <c r="Z20" s="199"/>
      <c r="AA20" s="199">
        <v>8741.68</v>
      </c>
      <c r="AB20" s="199"/>
      <c r="AC20" s="199"/>
      <c r="AD20" s="199">
        <v>10072.17</v>
      </c>
      <c r="AE20" s="199">
        <v>1737.37</v>
      </c>
      <c r="AF20" s="199"/>
      <c r="AG20" s="199"/>
      <c r="AH20" s="199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</row>
    <row r="21" spans="1:50" ht="18" customHeight="1" thickBot="1" x14ac:dyDescent="0.3">
      <c r="A21" s="43" t="s">
        <v>113</v>
      </c>
      <c r="B21" s="115" t="s">
        <v>613</v>
      </c>
      <c r="C21" s="206">
        <v>34592</v>
      </c>
      <c r="D21" s="95"/>
      <c r="E21" s="195">
        <f t="shared" si="0"/>
        <v>34592</v>
      </c>
      <c r="F21" s="196">
        <f t="shared" si="1"/>
        <v>34592</v>
      </c>
      <c r="G21" s="197">
        <f t="shared" si="2"/>
        <v>0</v>
      </c>
      <c r="H21" s="198"/>
      <c r="I21" s="198"/>
      <c r="J21" s="198"/>
      <c r="K21" s="198"/>
      <c r="L21" s="199"/>
      <c r="M21" s="199"/>
      <c r="N21" s="199"/>
      <c r="O21" s="199"/>
      <c r="P21" s="199"/>
      <c r="Q21" s="199"/>
      <c r="R21" s="199"/>
      <c r="S21" s="199">
        <v>8960.33</v>
      </c>
      <c r="T21" s="199"/>
      <c r="U21" s="199"/>
      <c r="V21" s="199"/>
      <c r="W21" s="199">
        <v>6357.8</v>
      </c>
      <c r="X21" s="199"/>
      <c r="Y21" s="199"/>
      <c r="Z21" s="199"/>
      <c r="AA21" s="199"/>
      <c r="AB21" s="199">
        <f>9161.77+2786.73</f>
        <v>11948.5</v>
      </c>
      <c r="AC21" s="199"/>
      <c r="AD21" s="199"/>
      <c r="AE21" s="199">
        <v>7325.37</v>
      </c>
      <c r="AF21" s="199"/>
      <c r="AG21" s="199"/>
      <c r="AH21" s="199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</row>
    <row r="22" spans="1:50" ht="18" customHeight="1" thickBot="1" x14ac:dyDescent="0.3">
      <c r="A22" s="43" t="s">
        <v>173</v>
      </c>
      <c r="B22" s="115" t="s">
        <v>349</v>
      </c>
      <c r="C22" s="206">
        <v>11530</v>
      </c>
      <c r="D22" s="95"/>
      <c r="E22" s="195">
        <f t="shared" si="0"/>
        <v>11530</v>
      </c>
      <c r="F22" s="196">
        <f t="shared" si="1"/>
        <v>11530</v>
      </c>
      <c r="G22" s="197">
        <f t="shared" si="2"/>
        <v>0</v>
      </c>
      <c r="H22" s="198"/>
      <c r="I22" s="198"/>
      <c r="J22" s="198"/>
      <c r="K22" s="198"/>
      <c r="L22" s="199"/>
      <c r="M22" s="199"/>
      <c r="N22" s="199"/>
      <c r="O22" s="199"/>
      <c r="P22" s="199"/>
      <c r="Q22" s="199">
        <v>1811.09</v>
      </c>
      <c r="R22" s="199">
        <v>405.15</v>
      </c>
      <c r="S22" s="199">
        <v>2439.8200000000002</v>
      </c>
      <c r="T22" s="199"/>
      <c r="U22" s="199"/>
      <c r="V22" s="199"/>
      <c r="W22" s="199"/>
      <c r="X22" s="199">
        <v>146.91</v>
      </c>
      <c r="Y22" s="199"/>
      <c r="Z22" s="199">
        <v>940</v>
      </c>
      <c r="AA22" s="199"/>
      <c r="AB22" s="199">
        <v>5787.03</v>
      </c>
      <c r="AC22" s="199"/>
      <c r="AD22" s="199"/>
      <c r="AE22" s="199"/>
      <c r="AF22" s="199"/>
      <c r="AG22" s="199"/>
      <c r="AH22" s="199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</row>
    <row r="23" spans="1:50" s="147" customFormat="1" ht="18" customHeight="1" thickBot="1" x14ac:dyDescent="0.3">
      <c r="A23" s="151"/>
      <c r="B23" s="152"/>
      <c r="C23" s="207"/>
      <c r="D23" s="153"/>
      <c r="E23" s="201"/>
      <c r="F23" s="201"/>
      <c r="G23" s="201"/>
      <c r="H23" s="202"/>
      <c r="I23" s="202"/>
      <c r="J23" s="202"/>
      <c r="K23" s="202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</row>
    <row r="24" spans="1:50" ht="18" customHeight="1" thickBot="1" x14ac:dyDescent="0.3">
      <c r="A24" s="46" t="s">
        <v>575</v>
      </c>
      <c r="B24" s="46"/>
      <c r="C24" s="208">
        <f>SUM(C12:C22)</f>
        <v>968540</v>
      </c>
      <c r="D24" s="96"/>
      <c r="E24" s="205">
        <f t="shared" ref="E24:AX24" si="3">SUM(E12:E22)</f>
        <v>968540</v>
      </c>
      <c r="F24" s="205">
        <f t="shared" si="3"/>
        <v>964057.19</v>
      </c>
      <c r="G24" s="205">
        <f t="shared" si="3"/>
        <v>4482.8099999999986</v>
      </c>
      <c r="H24" s="205">
        <f t="shared" si="3"/>
        <v>0</v>
      </c>
      <c r="I24" s="205">
        <f t="shared" si="3"/>
        <v>0</v>
      </c>
      <c r="J24" s="205">
        <f t="shared" si="3"/>
        <v>0</v>
      </c>
      <c r="K24" s="205">
        <f t="shared" si="3"/>
        <v>0</v>
      </c>
      <c r="L24" s="205">
        <f t="shared" si="3"/>
        <v>0</v>
      </c>
      <c r="M24" s="205">
        <f t="shared" si="3"/>
        <v>0</v>
      </c>
      <c r="N24" s="205">
        <f t="shared" si="3"/>
        <v>0</v>
      </c>
      <c r="O24" s="205">
        <f t="shared" si="3"/>
        <v>44485.27</v>
      </c>
      <c r="P24" s="205">
        <f t="shared" si="3"/>
        <v>29294.43</v>
      </c>
      <c r="Q24" s="205">
        <f t="shared" si="3"/>
        <v>97177.83</v>
      </c>
      <c r="R24" s="205">
        <f t="shared" si="3"/>
        <v>3728.44</v>
      </c>
      <c r="S24" s="205">
        <f t="shared" si="3"/>
        <v>192254.25999999998</v>
      </c>
      <c r="T24" s="205">
        <f t="shared" si="3"/>
        <v>44811.89</v>
      </c>
      <c r="U24" s="205">
        <f t="shared" si="3"/>
        <v>17748.98</v>
      </c>
      <c r="V24" s="205">
        <f t="shared" si="3"/>
        <v>6312.32</v>
      </c>
      <c r="W24" s="205">
        <f t="shared" si="3"/>
        <v>8370.7999999999993</v>
      </c>
      <c r="X24" s="205">
        <f t="shared" si="3"/>
        <v>207154.15</v>
      </c>
      <c r="Y24" s="205">
        <f t="shared" si="3"/>
        <v>0</v>
      </c>
      <c r="Z24" s="205">
        <f t="shared" si="3"/>
        <v>36462.82</v>
      </c>
      <c r="AA24" s="205">
        <f t="shared" si="3"/>
        <v>8741.68</v>
      </c>
      <c r="AB24" s="205">
        <f t="shared" si="3"/>
        <v>30541.53</v>
      </c>
      <c r="AC24" s="205">
        <f t="shared" si="3"/>
        <v>153638.69</v>
      </c>
      <c r="AD24" s="205">
        <f t="shared" si="3"/>
        <v>10072.17</v>
      </c>
      <c r="AE24" s="205">
        <f t="shared" si="3"/>
        <v>24509.3</v>
      </c>
      <c r="AF24" s="205">
        <f t="shared" si="3"/>
        <v>0</v>
      </c>
      <c r="AG24" s="205">
        <f t="shared" si="3"/>
        <v>0</v>
      </c>
      <c r="AH24" s="205">
        <f t="shared" si="3"/>
        <v>641.76</v>
      </c>
      <c r="AI24" s="205">
        <f t="shared" si="3"/>
        <v>641.76</v>
      </c>
      <c r="AJ24" s="205">
        <f t="shared" si="3"/>
        <v>47469.11</v>
      </c>
      <c r="AK24" s="205">
        <f t="shared" si="3"/>
        <v>0</v>
      </c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>
        <f t="shared" si="3"/>
        <v>0</v>
      </c>
      <c r="AX24" s="205">
        <f t="shared" si="3"/>
        <v>0</v>
      </c>
    </row>
    <row r="26" spans="1:50" x14ac:dyDescent="0.25">
      <c r="N26" s="75"/>
      <c r="O26" s="75"/>
      <c r="P26" s="75"/>
      <c r="S26" s="75"/>
    </row>
    <row r="27" spans="1:50" x14ac:dyDescent="0.25">
      <c r="V27" s="75"/>
    </row>
  </sheetData>
  <sheetProtection algorithmName="SHA-512" hashValue="+4xuvK+amVQ4oCzK8O/YqjX9u/3WOcnZzYRrRNJ+yt5zPZlKm9+dI/06VnmPEAdDva6TIy/uB9OfBR74Y4Yucg==" saltValue="tRNma9GgIF/UpK3Sdul7Ow==" spinCount="100000" sheet="1" objects="1" scenarios="1"/>
  <sortState xmlns:xlrd2="http://schemas.microsoft.com/office/spreadsheetml/2017/richdata2" ref="A11:AF191">
    <sortCondition ref="A11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66CCFF"/>
  </sheetPr>
  <dimension ref="A1:AM17"/>
  <sheetViews>
    <sheetView workbookViewId="0">
      <pane xSplit="7" ySplit="11" topLeftCell="AJ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G23" sqref="G23:G24"/>
    </sheetView>
  </sheetViews>
  <sheetFormatPr defaultColWidth="9.140625" defaultRowHeight="15" x14ac:dyDescent="0.25"/>
  <cols>
    <col min="1" max="1" width="9.140625" style="6" customWidth="1"/>
    <col min="2" max="2" width="36.7109375" style="6" customWidth="1"/>
    <col min="3" max="3" width="17.28515625" style="6" customWidth="1"/>
    <col min="4" max="5" width="17.28515625" style="133" customWidth="1"/>
    <col min="6" max="7" width="17.28515625" style="6" customWidth="1"/>
    <col min="8" max="34" width="15.7109375" style="6" customWidth="1"/>
    <col min="35" max="39" width="17.140625" style="6" customWidth="1"/>
    <col min="40" max="16384" width="9.140625" style="6"/>
  </cols>
  <sheetData>
    <row r="1" spans="1:39" ht="21" x14ac:dyDescent="0.35">
      <c r="A1" s="10" t="s">
        <v>0</v>
      </c>
      <c r="B1" s="11"/>
      <c r="C1" s="12" t="s">
        <v>576</v>
      </c>
      <c r="D1" s="120"/>
      <c r="E1" s="120"/>
      <c r="F1" s="10"/>
      <c r="G1" s="13"/>
      <c r="H1" s="14"/>
      <c r="I1" s="14"/>
      <c r="J1" s="12" t="str">
        <f>C1</f>
        <v>Title I-D Delinquent -- State Agencies</v>
      </c>
      <c r="K1" s="12"/>
      <c r="L1" s="10"/>
      <c r="M1" s="10"/>
      <c r="N1" s="13"/>
      <c r="O1" s="13"/>
      <c r="P1" s="14"/>
      <c r="Q1" s="14"/>
      <c r="R1" s="78" t="str">
        <f>C1</f>
        <v>Title I-D Delinquent -- State Agencies</v>
      </c>
      <c r="S1" s="12"/>
      <c r="T1" s="10"/>
      <c r="U1" s="10"/>
      <c r="V1" s="13"/>
      <c r="W1" s="13"/>
      <c r="X1" s="14"/>
      <c r="Y1" s="14"/>
      <c r="Z1" s="78" t="str">
        <f>C1</f>
        <v>Title I-D Delinquent -- State Agencies</v>
      </c>
      <c r="AA1" s="12"/>
      <c r="AB1" s="10"/>
      <c r="AC1" s="10"/>
      <c r="AD1" s="13"/>
      <c r="AE1" s="13"/>
      <c r="AF1" s="78" t="str">
        <f>C1</f>
        <v>Title I-D Delinquent -- State Agencies</v>
      </c>
      <c r="AG1" s="14"/>
      <c r="AH1" s="12"/>
      <c r="AI1" s="120"/>
      <c r="AJ1" s="120"/>
      <c r="AK1" s="120"/>
      <c r="AL1" s="120"/>
      <c r="AM1" s="120"/>
    </row>
    <row r="2" spans="1:39" ht="15.75" x14ac:dyDescent="0.25">
      <c r="A2" s="15" t="s">
        <v>1</v>
      </c>
      <c r="B2" s="11"/>
      <c r="C2" s="18" t="s">
        <v>395</v>
      </c>
      <c r="D2" s="121"/>
      <c r="E2" s="121"/>
      <c r="F2" s="15"/>
      <c r="G2" s="17"/>
      <c r="H2" s="14"/>
      <c r="I2" s="14"/>
      <c r="J2" s="15" t="str">
        <f>"FY"&amp;C4</f>
        <v>FY2019-2020</v>
      </c>
      <c r="K2" s="15"/>
      <c r="L2" s="18"/>
      <c r="M2" s="18"/>
      <c r="N2" s="17"/>
      <c r="O2" s="17"/>
      <c r="P2" s="17"/>
      <c r="Q2" s="17"/>
      <c r="R2" s="81" t="str">
        <f>"FY"&amp;C4</f>
        <v>FY2019-2020</v>
      </c>
      <c r="S2" s="15"/>
      <c r="T2" s="18"/>
      <c r="U2" s="18"/>
      <c r="V2" s="17"/>
      <c r="W2" s="17"/>
      <c r="X2" s="17"/>
      <c r="Y2" s="17"/>
      <c r="Z2" s="81" t="str">
        <f>"FY"&amp;C4</f>
        <v>FY2019-2020</v>
      </c>
      <c r="AA2" s="15"/>
      <c r="AB2" s="18"/>
      <c r="AC2" s="18"/>
      <c r="AD2" s="17"/>
      <c r="AE2" s="17"/>
      <c r="AF2" s="81" t="str">
        <f>"FY"&amp;C4</f>
        <v>FY2019-2020</v>
      </c>
      <c r="AG2" s="17"/>
      <c r="AH2" s="15"/>
      <c r="AI2" s="81"/>
      <c r="AJ2" s="81"/>
      <c r="AK2" s="81"/>
      <c r="AL2" s="81"/>
      <c r="AM2" s="81"/>
    </row>
    <row r="3" spans="1:39" ht="15.75" x14ac:dyDescent="0.25">
      <c r="A3" s="15" t="s">
        <v>3</v>
      </c>
      <c r="B3" s="11"/>
      <c r="C3" s="18">
        <v>4013</v>
      </c>
      <c r="D3" s="121"/>
      <c r="E3" s="121"/>
      <c r="F3" s="15"/>
      <c r="G3" s="17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80"/>
      <c r="AJ3" s="80"/>
      <c r="AK3" s="80"/>
      <c r="AL3" s="80"/>
      <c r="AM3" s="80"/>
    </row>
    <row r="4" spans="1:39" ht="15.75" x14ac:dyDescent="0.25">
      <c r="A4" s="15" t="s">
        <v>2</v>
      </c>
      <c r="B4" s="11"/>
      <c r="C4" s="18" t="str">
        <f>'ESSA Title I-A Formula'!$C$4</f>
        <v>2019-2020</v>
      </c>
      <c r="D4" s="121"/>
      <c r="E4" s="121"/>
      <c r="F4" s="17"/>
      <c r="G4" s="17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80"/>
      <c r="AJ4" s="80"/>
      <c r="AK4" s="80"/>
      <c r="AL4" s="80"/>
      <c r="AM4" s="80"/>
    </row>
    <row r="5" spans="1:39" ht="15.75" x14ac:dyDescent="0.25">
      <c r="A5" s="15" t="s">
        <v>392</v>
      </c>
      <c r="B5" s="11"/>
      <c r="C5" s="67" t="s">
        <v>634</v>
      </c>
      <c r="D5" s="67"/>
      <c r="E5" s="67"/>
      <c r="F5" s="15"/>
      <c r="G5" s="19"/>
      <c r="H5" s="19"/>
      <c r="I5" s="19"/>
      <c r="J5" s="19"/>
      <c r="K5" s="1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86"/>
      <c r="AJ5" s="86"/>
      <c r="AK5" s="86"/>
      <c r="AL5" s="86"/>
      <c r="AM5" s="86"/>
    </row>
    <row r="6" spans="1:39" ht="15.75" x14ac:dyDescent="0.25">
      <c r="A6" s="15" t="s">
        <v>4</v>
      </c>
      <c r="B6" s="11"/>
      <c r="C6" s="15" t="s">
        <v>660</v>
      </c>
      <c r="D6" s="81"/>
      <c r="E6" s="81"/>
      <c r="F6" s="15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86"/>
      <c r="AJ6" s="86"/>
      <c r="AK6" s="86"/>
      <c r="AL6" s="86"/>
      <c r="AM6" s="86"/>
    </row>
    <row r="7" spans="1:39" s="133" customFormat="1" ht="15.75" x14ac:dyDescent="0.25">
      <c r="A7" s="81"/>
      <c r="B7" s="77"/>
      <c r="C7" s="81" t="s">
        <v>661</v>
      </c>
      <c r="D7" s="81"/>
      <c r="E7" s="81"/>
      <c r="F7" s="81"/>
      <c r="G7" s="85"/>
      <c r="H7" s="85"/>
      <c r="I7" s="85"/>
      <c r="J7" s="85"/>
      <c r="K7" s="85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</row>
    <row r="8" spans="1:39" ht="15.75" x14ac:dyDescent="0.25">
      <c r="A8" s="15" t="s">
        <v>378</v>
      </c>
      <c r="B8" s="11"/>
      <c r="C8" s="81" t="s">
        <v>584</v>
      </c>
      <c r="D8" s="81"/>
      <c r="E8" s="81"/>
      <c r="F8" s="17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86"/>
      <c r="AJ8" s="86"/>
      <c r="AK8" s="86"/>
      <c r="AL8" s="86"/>
      <c r="AM8" s="86"/>
    </row>
    <row r="9" spans="1:39" ht="15.75" x14ac:dyDescent="0.25">
      <c r="A9" s="15" t="s">
        <v>379</v>
      </c>
      <c r="B9" s="11"/>
      <c r="C9" s="15" t="s">
        <v>380</v>
      </c>
      <c r="D9" s="81"/>
      <c r="E9" s="81"/>
      <c r="F9" s="1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86"/>
      <c r="AJ9" s="86"/>
      <c r="AK9" s="86"/>
      <c r="AL9" s="86"/>
      <c r="AM9" s="86"/>
    </row>
    <row r="10" spans="1:39" ht="16.5" thickBot="1" x14ac:dyDescent="0.3">
      <c r="A10" s="15" t="s">
        <v>393</v>
      </c>
      <c r="B10" s="11"/>
      <c r="C10" s="15" t="s">
        <v>670</v>
      </c>
      <c r="D10" s="81"/>
      <c r="E10" s="81"/>
      <c r="F10" s="1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86"/>
      <c r="AJ10" s="86"/>
      <c r="AK10" s="86"/>
      <c r="AL10" s="86"/>
      <c r="AM10" s="86"/>
    </row>
    <row r="11" spans="1:39" ht="45.75" thickBot="1" x14ac:dyDescent="0.3">
      <c r="A11" s="39" t="s">
        <v>365</v>
      </c>
      <c r="B11" s="40" t="s">
        <v>366</v>
      </c>
      <c r="C11" s="40" t="s">
        <v>367</v>
      </c>
      <c r="D11" s="107" t="s">
        <v>625</v>
      </c>
      <c r="E11" s="41" t="s">
        <v>624</v>
      </c>
      <c r="F11" s="40" t="s">
        <v>368</v>
      </c>
      <c r="G11" s="38" t="s">
        <v>369</v>
      </c>
      <c r="H11" s="100" t="s">
        <v>578</v>
      </c>
      <c r="I11" s="100" t="s">
        <v>579</v>
      </c>
      <c r="J11" s="100" t="s">
        <v>580</v>
      </c>
      <c r="K11" s="100" t="s">
        <v>590</v>
      </c>
      <c r="L11" s="100" t="s">
        <v>591</v>
      </c>
      <c r="M11" s="100" t="s">
        <v>592</v>
      </c>
      <c r="N11" s="100" t="s">
        <v>593</v>
      </c>
      <c r="O11" s="100" t="s">
        <v>594</v>
      </c>
      <c r="P11" s="100" t="s">
        <v>595</v>
      </c>
      <c r="Q11" s="101" t="s">
        <v>596</v>
      </c>
      <c r="R11" s="100" t="s">
        <v>597</v>
      </c>
      <c r="S11" s="100" t="s">
        <v>598</v>
      </c>
      <c r="T11" s="100" t="s">
        <v>599</v>
      </c>
      <c r="U11" s="100" t="s">
        <v>600</v>
      </c>
      <c r="V11" s="100" t="s">
        <v>601</v>
      </c>
      <c r="W11" s="100" t="s">
        <v>627</v>
      </c>
      <c r="X11" s="100" t="s">
        <v>628</v>
      </c>
      <c r="Y11" s="100" t="s">
        <v>629</v>
      </c>
      <c r="Z11" s="100" t="s">
        <v>636</v>
      </c>
      <c r="AA11" s="100" t="s">
        <v>637</v>
      </c>
      <c r="AB11" s="100" t="s">
        <v>638</v>
      </c>
      <c r="AC11" s="100" t="s">
        <v>639</v>
      </c>
      <c r="AD11" s="100" t="s">
        <v>640</v>
      </c>
      <c r="AE11" s="100" t="s">
        <v>641</v>
      </c>
      <c r="AF11" s="100" t="s">
        <v>642</v>
      </c>
      <c r="AG11" s="100" t="s">
        <v>643</v>
      </c>
      <c r="AH11" s="100" t="s">
        <v>644</v>
      </c>
      <c r="AI11" s="100" t="s">
        <v>645</v>
      </c>
      <c r="AJ11" s="100" t="s">
        <v>646</v>
      </c>
      <c r="AK11" s="100" t="s">
        <v>648</v>
      </c>
      <c r="AL11" s="100" t="s">
        <v>630</v>
      </c>
      <c r="AM11" s="100" t="s">
        <v>631</v>
      </c>
    </row>
    <row r="12" spans="1:39" ht="16.5" thickBot="1" x14ac:dyDescent="0.3">
      <c r="A12" s="43" t="s">
        <v>614</v>
      </c>
      <c r="B12" s="44" t="s">
        <v>615</v>
      </c>
      <c r="C12" s="206">
        <v>561368</v>
      </c>
      <c r="D12" s="95"/>
      <c r="E12" s="195">
        <f>C12</f>
        <v>561368</v>
      </c>
      <c r="F12" s="196">
        <f>SUM(H12:AH12)</f>
        <v>561368</v>
      </c>
      <c r="G12" s="197">
        <f>E12-F12</f>
        <v>0</v>
      </c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>
        <v>242685.8</v>
      </c>
      <c r="T12" s="199">
        <v>129990.39</v>
      </c>
      <c r="U12" s="199"/>
      <c r="V12" s="199"/>
      <c r="W12" s="199"/>
      <c r="X12" s="199"/>
      <c r="Y12" s="199"/>
      <c r="Z12" s="199"/>
      <c r="AA12" s="199"/>
      <c r="AB12" s="199"/>
      <c r="AC12" s="199"/>
      <c r="AD12" s="199">
        <v>188691.81</v>
      </c>
      <c r="AE12" s="199"/>
      <c r="AF12" s="199"/>
      <c r="AG12" s="199"/>
      <c r="AH12" s="199"/>
      <c r="AI12" s="200"/>
      <c r="AJ12" s="200"/>
      <c r="AK12" s="200"/>
      <c r="AL12" s="200"/>
      <c r="AM12" s="200"/>
    </row>
    <row r="13" spans="1:39" s="147" customFormat="1" ht="16.5" thickBot="1" x14ac:dyDescent="0.3">
      <c r="A13" s="154"/>
      <c r="B13" s="155"/>
      <c r="C13" s="210"/>
      <c r="D13" s="156"/>
      <c r="E13" s="209"/>
      <c r="F13" s="209"/>
      <c r="G13" s="209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4"/>
      <c r="AJ13" s="204"/>
      <c r="AK13" s="204"/>
      <c r="AL13" s="204"/>
      <c r="AM13" s="204"/>
    </row>
    <row r="14" spans="1:39" ht="16.5" thickBot="1" x14ac:dyDescent="0.3">
      <c r="A14" s="46" t="s">
        <v>575</v>
      </c>
      <c r="B14" s="46"/>
      <c r="C14" s="208">
        <f>C12</f>
        <v>561368</v>
      </c>
      <c r="D14" s="96"/>
      <c r="E14" s="205">
        <f>E12</f>
        <v>561368</v>
      </c>
      <c r="F14" s="205">
        <f t="shared" ref="F14:G14" si="0">F12</f>
        <v>561368</v>
      </c>
      <c r="G14" s="205">
        <f t="shared" si="0"/>
        <v>0</v>
      </c>
      <c r="H14" s="205">
        <f t="shared" ref="H14:AM14" si="1">SUM(H12:H12)</f>
        <v>0</v>
      </c>
      <c r="I14" s="205">
        <f t="shared" si="1"/>
        <v>0</v>
      </c>
      <c r="J14" s="205">
        <f t="shared" si="1"/>
        <v>0</v>
      </c>
      <c r="K14" s="205">
        <f t="shared" si="1"/>
        <v>0</v>
      </c>
      <c r="L14" s="205">
        <f t="shared" si="1"/>
        <v>0</v>
      </c>
      <c r="M14" s="205">
        <f t="shared" si="1"/>
        <v>0</v>
      </c>
      <c r="N14" s="205">
        <f t="shared" si="1"/>
        <v>0</v>
      </c>
      <c r="O14" s="205">
        <f t="shared" si="1"/>
        <v>0</v>
      </c>
      <c r="P14" s="205">
        <f t="shared" si="1"/>
        <v>0</v>
      </c>
      <c r="Q14" s="205">
        <f t="shared" si="1"/>
        <v>0</v>
      </c>
      <c r="R14" s="205">
        <f t="shared" si="1"/>
        <v>0</v>
      </c>
      <c r="S14" s="205">
        <f t="shared" si="1"/>
        <v>242685.8</v>
      </c>
      <c r="T14" s="205">
        <f t="shared" si="1"/>
        <v>129990.39</v>
      </c>
      <c r="U14" s="205">
        <f t="shared" si="1"/>
        <v>0</v>
      </c>
      <c r="V14" s="205">
        <f t="shared" si="1"/>
        <v>0</v>
      </c>
      <c r="W14" s="205">
        <f t="shared" si="1"/>
        <v>0</v>
      </c>
      <c r="X14" s="205">
        <f t="shared" si="1"/>
        <v>0</v>
      </c>
      <c r="Y14" s="205">
        <f t="shared" si="1"/>
        <v>0</v>
      </c>
      <c r="Z14" s="205">
        <f t="shared" si="1"/>
        <v>0</v>
      </c>
      <c r="AA14" s="205">
        <f t="shared" si="1"/>
        <v>0</v>
      </c>
      <c r="AB14" s="205">
        <f t="shared" si="1"/>
        <v>0</v>
      </c>
      <c r="AC14" s="205">
        <f t="shared" si="1"/>
        <v>0</v>
      </c>
      <c r="AD14" s="205">
        <f t="shared" si="1"/>
        <v>188691.81</v>
      </c>
      <c r="AE14" s="205">
        <f t="shared" si="1"/>
        <v>0</v>
      </c>
      <c r="AF14" s="205">
        <f t="shared" si="1"/>
        <v>0</v>
      </c>
      <c r="AG14" s="205">
        <f t="shared" si="1"/>
        <v>0</v>
      </c>
      <c r="AH14" s="205">
        <f t="shared" si="1"/>
        <v>0</v>
      </c>
      <c r="AI14" s="205">
        <f t="shared" si="1"/>
        <v>0</v>
      </c>
      <c r="AJ14" s="205">
        <f t="shared" si="1"/>
        <v>0</v>
      </c>
      <c r="AK14" s="205">
        <f t="shared" si="1"/>
        <v>0</v>
      </c>
      <c r="AL14" s="205">
        <f t="shared" si="1"/>
        <v>0</v>
      </c>
      <c r="AM14" s="205">
        <f t="shared" si="1"/>
        <v>0</v>
      </c>
    </row>
    <row r="17" spans="18:18" x14ac:dyDescent="0.25">
      <c r="R17" s="75"/>
    </row>
  </sheetData>
  <sheetProtection algorithmName="SHA-512" hashValue="Ew6EuVIp4M5I35ZM5DDBwQ2sSDE7Wwo/XNk7U4HyXN+4BMrICNNJLab2IQjOl+Ovvcp1TPyo9nxt9510hPdW8A==" saltValue="QQVOcKVW6PKJBTIx1NjJsg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66CCFF"/>
    <pageSetUpPr fitToPage="1"/>
  </sheetPr>
  <dimension ref="A1:BA225"/>
  <sheetViews>
    <sheetView zoomScaleNormal="100" workbookViewId="0">
      <pane xSplit="7" ySplit="11" topLeftCell="AS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AS196" sqref="AS196"/>
    </sheetView>
  </sheetViews>
  <sheetFormatPr defaultColWidth="9.140625" defaultRowHeight="15" x14ac:dyDescent="0.25"/>
  <cols>
    <col min="1" max="1" width="8.28515625" style="116" customWidth="1"/>
    <col min="2" max="2" width="39.28515625" style="116" bestFit="1" customWidth="1"/>
    <col min="3" max="3" width="16.5703125" style="133" customWidth="1"/>
    <col min="4" max="4" width="17.5703125" style="132" customWidth="1"/>
    <col min="5" max="5" width="18.7109375" style="133" customWidth="1"/>
    <col min="6" max="7" width="17" style="133" customWidth="1"/>
    <col min="8" max="19" width="15.7109375" style="133" customWidth="1"/>
    <col min="20" max="20" width="17.7109375" style="133" customWidth="1"/>
    <col min="21" max="48" width="15.7109375" style="133" customWidth="1"/>
    <col min="49" max="54" width="12.7109375" style="133" customWidth="1"/>
    <col min="55" max="16384" width="9.140625" style="133"/>
  </cols>
  <sheetData>
    <row r="1" spans="1:53" s="7" customFormat="1" ht="21" x14ac:dyDescent="0.35">
      <c r="A1" s="160" t="s">
        <v>0</v>
      </c>
      <c r="B1" s="117"/>
      <c r="C1" s="120" t="s">
        <v>665</v>
      </c>
      <c r="D1" s="128"/>
      <c r="E1" s="120"/>
      <c r="F1" s="76"/>
      <c r="G1" s="79"/>
      <c r="H1" s="80"/>
      <c r="I1" s="80"/>
      <c r="J1" s="120" t="str">
        <f>C1</f>
        <v>Title II-A Formula  (Revised Final)</v>
      </c>
      <c r="K1" s="120"/>
      <c r="L1" s="76"/>
      <c r="M1" s="76"/>
      <c r="N1" s="79"/>
      <c r="O1" s="79"/>
      <c r="P1" s="120" t="str">
        <f>C1</f>
        <v>Title II-A Formula  (Revised Final)</v>
      </c>
      <c r="Q1" s="80"/>
      <c r="R1" s="120"/>
      <c r="S1" s="120"/>
      <c r="T1" s="76"/>
      <c r="U1" s="76"/>
      <c r="V1" s="120" t="str">
        <f>C1</f>
        <v>Title II-A Formula  (Revised Final)</v>
      </c>
      <c r="W1" s="79"/>
      <c r="X1" s="80"/>
      <c r="Y1" s="80"/>
      <c r="Z1" s="120"/>
      <c r="AA1" s="120"/>
      <c r="AB1" s="120" t="str">
        <f>C1</f>
        <v>Title II-A Formula  (Revised Final)</v>
      </c>
      <c r="AC1" s="76"/>
      <c r="AD1" s="79"/>
      <c r="AE1" s="79"/>
      <c r="AF1" s="80"/>
      <c r="AG1" s="120" t="str">
        <f>C1</f>
        <v>Title II-A Formula  (Revised Final)</v>
      </c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29"/>
      <c r="AZ1" s="30"/>
      <c r="BA1" s="31"/>
    </row>
    <row r="2" spans="1:53" s="7" customFormat="1" ht="21" x14ac:dyDescent="0.35">
      <c r="A2" s="161" t="s">
        <v>1</v>
      </c>
      <c r="B2" s="117"/>
      <c r="C2" s="82">
        <v>84.367000000000004</v>
      </c>
      <c r="D2" s="131"/>
      <c r="E2" s="82"/>
      <c r="F2" s="81"/>
      <c r="G2" s="83"/>
      <c r="H2" s="80"/>
      <c r="I2" s="80"/>
      <c r="J2" s="81" t="str">
        <f>"FY"&amp;C4</f>
        <v>FY2019-2020</v>
      </c>
      <c r="K2" s="120"/>
      <c r="L2" s="121"/>
      <c r="M2" s="121"/>
      <c r="N2" s="83"/>
      <c r="O2" s="83"/>
      <c r="P2" s="81" t="str">
        <f>"FY"&amp;C4</f>
        <v>FY2019-2020</v>
      </c>
      <c r="Q2" s="83"/>
      <c r="R2" s="81"/>
      <c r="S2" s="120"/>
      <c r="T2" s="121" t="s">
        <v>382</v>
      </c>
      <c r="U2" s="121"/>
      <c r="V2" s="81" t="str">
        <f>"FY"&amp;C4</f>
        <v>FY2019-2020</v>
      </c>
      <c r="W2" s="83"/>
      <c r="X2" s="83"/>
      <c r="Y2" s="83"/>
      <c r="Z2" s="81"/>
      <c r="AA2" s="120"/>
      <c r="AB2" s="81" t="str">
        <f>"FY"&amp;C4</f>
        <v>FY2019-2020</v>
      </c>
      <c r="AC2" s="121"/>
      <c r="AD2" s="83"/>
      <c r="AE2" s="83"/>
      <c r="AF2" s="83"/>
      <c r="AG2" s="81" t="str">
        <f>"FY"&amp;C4</f>
        <v>FY2019-2020</v>
      </c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32"/>
      <c r="AZ2" s="34"/>
      <c r="BA2" s="33"/>
    </row>
    <row r="3" spans="1:53" s="7" customFormat="1" ht="15.75" x14ac:dyDescent="0.25">
      <c r="A3" s="161" t="s">
        <v>3</v>
      </c>
      <c r="B3" s="117"/>
      <c r="C3" s="121">
        <v>4367</v>
      </c>
      <c r="D3" s="129"/>
      <c r="E3" s="121"/>
      <c r="F3" s="81"/>
      <c r="G3" s="83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</row>
    <row r="4" spans="1:53" s="7" customFormat="1" ht="21" x14ac:dyDescent="0.35">
      <c r="A4" s="161" t="s">
        <v>2</v>
      </c>
      <c r="B4" s="117"/>
      <c r="C4" s="120" t="str">
        <f>'ESSA Title I-A Formula'!$C$4</f>
        <v>2019-2020</v>
      </c>
      <c r="D4" s="129"/>
      <c r="E4" s="121"/>
      <c r="F4" s="83"/>
      <c r="G4" s="83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</row>
    <row r="5" spans="1:53" s="7" customFormat="1" ht="15.75" x14ac:dyDescent="0.25">
      <c r="A5" s="161" t="s">
        <v>392</v>
      </c>
      <c r="B5" s="117"/>
      <c r="C5" s="67" t="s">
        <v>634</v>
      </c>
      <c r="D5" s="129"/>
      <c r="E5" s="81"/>
      <c r="F5" s="81"/>
      <c r="G5" s="85"/>
      <c r="H5" s="85"/>
      <c r="I5" s="85"/>
      <c r="J5" s="85"/>
      <c r="K5" s="85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35"/>
      <c r="AZ5" s="35"/>
    </row>
    <row r="6" spans="1:53" s="7" customFormat="1" ht="15.75" x14ac:dyDescent="0.25">
      <c r="A6" s="161" t="s">
        <v>4</v>
      </c>
      <c r="B6" s="117"/>
      <c r="C6" s="67" t="s">
        <v>364</v>
      </c>
      <c r="D6" s="129"/>
      <c r="E6" s="81"/>
      <c r="F6" s="81"/>
      <c r="G6" s="85"/>
      <c r="H6" s="85"/>
      <c r="I6" s="85"/>
      <c r="J6" s="85"/>
      <c r="K6" s="85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35"/>
      <c r="AZ6" s="35"/>
    </row>
    <row r="7" spans="1:53" s="7" customFormat="1" ht="15.75" x14ac:dyDescent="0.25">
      <c r="A7" s="161"/>
      <c r="B7" s="117"/>
      <c r="C7" s="81" t="s">
        <v>649</v>
      </c>
      <c r="D7" s="129"/>
      <c r="E7" s="81"/>
      <c r="F7" s="81"/>
      <c r="G7" s="85"/>
      <c r="H7" s="85"/>
      <c r="I7" s="85"/>
      <c r="J7" s="85"/>
      <c r="K7" s="85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35"/>
      <c r="AZ7" s="35"/>
    </row>
    <row r="8" spans="1:53" s="7" customFormat="1" ht="15.75" x14ac:dyDescent="0.25">
      <c r="A8" s="161" t="s">
        <v>378</v>
      </c>
      <c r="B8" s="117"/>
      <c r="C8" s="81" t="s">
        <v>585</v>
      </c>
      <c r="D8" s="129"/>
      <c r="E8" s="81"/>
      <c r="F8" s="83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35"/>
      <c r="AZ8" s="35"/>
    </row>
    <row r="9" spans="1:53" s="7" customFormat="1" ht="15.75" x14ac:dyDescent="0.25">
      <c r="A9" s="161" t="s">
        <v>379</v>
      </c>
      <c r="B9" s="117"/>
      <c r="C9" s="81" t="s">
        <v>380</v>
      </c>
      <c r="D9" s="129"/>
      <c r="E9" s="81"/>
      <c r="F9" s="83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35"/>
      <c r="AZ9" s="35"/>
    </row>
    <row r="10" spans="1:53" s="7" customFormat="1" ht="16.5" thickBot="1" x14ac:dyDescent="0.3">
      <c r="A10" s="161" t="s">
        <v>393</v>
      </c>
      <c r="B10" s="117"/>
      <c r="C10" s="81" t="s">
        <v>670</v>
      </c>
      <c r="D10" s="129"/>
      <c r="E10" s="81"/>
      <c r="F10" s="83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35"/>
      <c r="AZ10" s="35"/>
    </row>
    <row r="11" spans="1:53" s="37" customFormat="1" ht="48.75" customHeight="1" thickBot="1" x14ac:dyDescent="0.3">
      <c r="A11" s="114" t="s">
        <v>365</v>
      </c>
      <c r="B11" s="87" t="s">
        <v>366</v>
      </c>
      <c r="C11" s="87" t="s">
        <v>367</v>
      </c>
      <c r="D11" s="107" t="s">
        <v>632</v>
      </c>
      <c r="E11" s="41" t="s">
        <v>624</v>
      </c>
      <c r="F11" s="42" t="s">
        <v>368</v>
      </c>
      <c r="G11" s="49" t="s">
        <v>369</v>
      </c>
      <c r="H11" s="100" t="s">
        <v>578</v>
      </c>
      <c r="I11" s="100" t="s">
        <v>579</v>
      </c>
      <c r="J11" s="100" t="s">
        <v>580</v>
      </c>
      <c r="K11" s="100" t="s">
        <v>590</v>
      </c>
      <c r="L11" s="100" t="s">
        <v>591</v>
      </c>
      <c r="M11" s="100" t="s">
        <v>592</v>
      </c>
      <c r="N11" s="100" t="s">
        <v>593</v>
      </c>
      <c r="O11" s="100" t="s">
        <v>594</v>
      </c>
      <c r="P11" s="100" t="s">
        <v>595</v>
      </c>
      <c r="Q11" s="101" t="s">
        <v>596</v>
      </c>
      <c r="R11" s="100" t="s">
        <v>597</v>
      </c>
      <c r="S11" s="100" t="s">
        <v>598</v>
      </c>
      <c r="T11" s="100" t="s">
        <v>599</v>
      </c>
      <c r="U11" s="100" t="s">
        <v>600</v>
      </c>
      <c r="V11" s="100" t="s">
        <v>601</v>
      </c>
      <c r="W11" s="100" t="s">
        <v>627</v>
      </c>
      <c r="X11" s="100" t="s">
        <v>628</v>
      </c>
      <c r="Y11" s="100" t="s">
        <v>629</v>
      </c>
      <c r="Z11" s="100" t="s">
        <v>636</v>
      </c>
      <c r="AA11" s="100" t="s">
        <v>637</v>
      </c>
      <c r="AB11" s="100" t="s">
        <v>638</v>
      </c>
      <c r="AC11" s="100" t="s">
        <v>639</v>
      </c>
      <c r="AD11" s="100" t="s">
        <v>640</v>
      </c>
      <c r="AE11" s="100" t="s">
        <v>641</v>
      </c>
      <c r="AF11" s="100" t="s">
        <v>642</v>
      </c>
      <c r="AG11" s="100" t="s">
        <v>643</v>
      </c>
      <c r="AH11" s="100" t="s">
        <v>644</v>
      </c>
      <c r="AI11" s="100" t="s">
        <v>645</v>
      </c>
      <c r="AJ11" s="100" t="s">
        <v>646</v>
      </c>
      <c r="AK11" s="100" t="s">
        <v>648</v>
      </c>
      <c r="AL11" s="100" t="s">
        <v>671</v>
      </c>
      <c r="AM11" s="100" t="s">
        <v>672</v>
      </c>
      <c r="AN11" s="100" t="s">
        <v>673</v>
      </c>
      <c r="AO11" s="100" t="s">
        <v>674</v>
      </c>
      <c r="AP11" s="100" t="s">
        <v>675</v>
      </c>
      <c r="AQ11" s="100" t="s">
        <v>681</v>
      </c>
      <c r="AR11" s="100" t="s">
        <v>680</v>
      </c>
      <c r="AS11" s="100" t="s">
        <v>679</v>
      </c>
      <c r="AT11" s="100" t="s">
        <v>678</v>
      </c>
      <c r="AU11" s="100" t="s">
        <v>677</v>
      </c>
      <c r="AV11" s="100" t="s">
        <v>676</v>
      </c>
      <c r="AW11" s="100" t="s">
        <v>630</v>
      </c>
      <c r="AX11" s="100" t="s">
        <v>631</v>
      </c>
    </row>
    <row r="12" spans="1:53" s="119" customFormat="1" ht="18" customHeight="1" thickBot="1" x14ac:dyDescent="0.35">
      <c r="A12" s="136" t="s">
        <v>6</v>
      </c>
      <c r="B12" s="135" t="s">
        <v>184</v>
      </c>
      <c r="C12" s="277">
        <v>189959</v>
      </c>
      <c r="D12" s="136"/>
      <c r="E12" s="187">
        <f>C12</f>
        <v>189959</v>
      </c>
      <c r="F12" s="187">
        <f>SUM(H12:AV12)</f>
        <v>189958.99999999997</v>
      </c>
      <c r="G12" s="187">
        <f>E12-(F12+AW12+AX12)</f>
        <v>0</v>
      </c>
      <c r="H12" s="214"/>
      <c r="I12" s="215"/>
      <c r="J12" s="215"/>
      <c r="K12" s="215"/>
      <c r="L12" s="215">
        <v>67364.009999999995</v>
      </c>
      <c r="M12" s="215"/>
      <c r="N12" s="215">
        <v>33552.57</v>
      </c>
      <c r="O12" s="215">
        <v>15286.22</v>
      </c>
      <c r="P12" s="215">
        <v>10159.27</v>
      </c>
      <c r="Q12" s="215">
        <v>7955.16</v>
      </c>
      <c r="R12" s="215">
        <v>4199.6000000000004</v>
      </c>
      <c r="S12" s="215">
        <v>169.99</v>
      </c>
      <c r="T12" s="215">
        <v>798.27</v>
      </c>
      <c r="U12" s="119">
        <v>1108.8399999999999</v>
      </c>
      <c r="V12" s="215"/>
      <c r="W12" s="215">
        <v>7515.82</v>
      </c>
      <c r="X12" s="215">
        <v>41849.25</v>
      </c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6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</row>
    <row r="13" spans="1:53" s="119" customFormat="1" ht="18" customHeight="1" thickBot="1" x14ac:dyDescent="0.35">
      <c r="A13" s="136" t="s">
        <v>7</v>
      </c>
      <c r="B13" s="135" t="s">
        <v>185</v>
      </c>
      <c r="C13" s="277">
        <v>846466</v>
      </c>
      <c r="D13" s="136"/>
      <c r="E13" s="187">
        <f t="shared" ref="E13:E76" si="0">C13</f>
        <v>846466</v>
      </c>
      <c r="F13" s="187">
        <f t="shared" ref="F13:F76" si="1">SUM(H13:AV13)</f>
        <v>846466</v>
      </c>
      <c r="G13" s="187">
        <f t="shared" ref="G13:G76" si="2">E13-(F13+AW13+AX13)</f>
        <v>0</v>
      </c>
      <c r="H13" s="214"/>
      <c r="I13" s="215"/>
      <c r="J13" s="215"/>
      <c r="K13" s="215"/>
      <c r="L13" s="215"/>
      <c r="M13" s="215">
        <v>127714.41</v>
      </c>
      <c r="N13" s="215">
        <v>84171.29</v>
      </c>
      <c r="O13" s="215">
        <v>84933.05</v>
      </c>
      <c r="P13" s="215">
        <v>59901.04</v>
      </c>
      <c r="Q13" s="215">
        <v>61755.45</v>
      </c>
      <c r="R13" s="215">
        <v>60991.8</v>
      </c>
      <c r="S13" s="215">
        <v>59896.12</v>
      </c>
      <c r="T13" s="215">
        <v>70091.31</v>
      </c>
      <c r="U13" s="215"/>
      <c r="V13" s="215"/>
      <c r="W13" s="215"/>
      <c r="X13" s="215">
        <f>131544.2+105467.33</f>
        <v>237011.53000000003</v>
      </c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6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</row>
    <row r="14" spans="1:53" s="119" customFormat="1" ht="18" customHeight="1" thickBot="1" x14ac:dyDescent="0.35">
      <c r="A14" s="136" t="s">
        <v>8</v>
      </c>
      <c r="B14" s="135" t="s">
        <v>186</v>
      </c>
      <c r="C14" s="277">
        <v>321895</v>
      </c>
      <c r="D14" s="136"/>
      <c r="E14" s="187">
        <f t="shared" si="0"/>
        <v>321895</v>
      </c>
      <c r="F14" s="187">
        <f t="shared" si="1"/>
        <v>321895</v>
      </c>
      <c r="G14" s="187">
        <f t="shared" si="2"/>
        <v>0</v>
      </c>
      <c r="H14" s="214"/>
      <c r="I14" s="215"/>
      <c r="J14" s="215"/>
      <c r="K14" s="215"/>
      <c r="L14" s="215"/>
      <c r="M14" s="215"/>
      <c r="N14" s="215">
        <v>30026.19</v>
      </c>
      <c r="O14" s="215">
        <v>21454.36</v>
      </c>
      <c r="P14" s="215">
        <f>16378.8+30431.12</f>
        <v>46809.919999999998</v>
      </c>
      <c r="Q14" s="215">
        <v>32262.94</v>
      </c>
      <c r="R14" s="215">
        <v>18076.5</v>
      </c>
      <c r="S14" s="215">
        <v>59180.05</v>
      </c>
      <c r="T14" s="215"/>
      <c r="U14" s="215"/>
      <c r="V14" s="215"/>
      <c r="W14" s="215">
        <v>6846.18</v>
      </c>
      <c r="X14" s="215">
        <v>61276.67</v>
      </c>
      <c r="Y14" s="215">
        <v>34419.410000000003</v>
      </c>
      <c r="Z14" s="215"/>
      <c r="AA14" s="215">
        <v>11542.78</v>
      </c>
      <c r="AB14" s="215"/>
      <c r="AC14" s="215"/>
      <c r="AD14" s="215"/>
      <c r="AE14" s="215"/>
      <c r="AF14" s="215"/>
      <c r="AG14" s="215"/>
      <c r="AH14" s="215"/>
      <c r="AI14" s="216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</row>
    <row r="15" spans="1:53" s="119" customFormat="1" ht="18" customHeight="1" thickBot="1" x14ac:dyDescent="0.35">
      <c r="A15" s="136" t="s">
        <v>9</v>
      </c>
      <c r="B15" s="135" t="s">
        <v>187</v>
      </c>
      <c r="C15" s="277">
        <v>293827</v>
      </c>
      <c r="D15" s="136"/>
      <c r="E15" s="187">
        <f t="shared" si="0"/>
        <v>293827</v>
      </c>
      <c r="F15" s="187">
        <f t="shared" si="1"/>
        <v>293827</v>
      </c>
      <c r="G15" s="187">
        <f t="shared" si="2"/>
        <v>0</v>
      </c>
      <c r="H15" s="214"/>
      <c r="I15" s="215"/>
      <c r="J15" s="215"/>
      <c r="K15" s="215"/>
      <c r="L15" s="215"/>
      <c r="M15" s="215"/>
      <c r="N15" s="215"/>
      <c r="O15" s="215"/>
      <c r="P15" s="215"/>
      <c r="Q15" s="215">
        <v>35937</v>
      </c>
      <c r="R15" s="215"/>
      <c r="S15" s="215">
        <v>78490</v>
      </c>
      <c r="T15" s="215"/>
      <c r="U15" s="215"/>
      <c r="V15" s="215"/>
      <c r="W15" s="215"/>
      <c r="X15" s="215"/>
      <c r="Y15" s="215">
        <v>107230.62</v>
      </c>
      <c r="Z15" s="215"/>
      <c r="AA15" s="215"/>
      <c r="AB15" s="215">
        <f>42979+24673</f>
        <v>67652</v>
      </c>
      <c r="AC15" s="215"/>
      <c r="AD15" s="215">
        <v>4517.38</v>
      </c>
      <c r="AE15" s="215"/>
      <c r="AF15" s="215"/>
      <c r="AG15" s="215"/>
      <c r="AH15" s="215"/>
      <c r="AI15" s="216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</row>
    <row r="16" spans="1:53" s="119" customFormat="1" ht="18" customHeight="1" thickBot="1" x14ac:dyDescent="0.35">
      <c r="A16" s="136" t="s">
        <v>10</v>
      </c>
      <c r="B16" s="135" t="s">
        <v>188</v>
      </c>
      <c r="C16" s="278">
        <v>19313</v>
      </c>
      <c r="D16" s="136" t="s">
        <v>370</v>
      </c>
      <c r="E16" s="187">
        <v>0</v>
      </c>
      <c r="F16" s="187">
        <f t="shared" si="1"/>
        <v>0</v>
      </c>
      <c r="G16" s="187">
        <f t="shared" si="2"/>
        <v>0</v>
      </c>
      <c r="H16" s="214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6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</row>
    <row r="17" spans="1:50" s="119" customFormat="1" ht="18" customHeight="1" thickBot="1" x14ac:dyDescent="0.35">
      <c r="A17" s="136" t="s">
        <v>11</v>
      </c>
      <c r="B17" s="135" t="s">
        <v>189</v>
      </c>
      <c r="C17" s="278">
        <v>15585</v>
      </c>
      <c r="D17" s="136" t="s">
        <v>370</v>
      </c>
      <c r="E17" s="187">
        <v>0</v>
      </c>
      <c r="F17" s="187">
        <f t="shared" si="1"/>
        <v>0</v>
      </c>
      <c r="G17" s="187">
        <f t="shared" si="2"/>
        <v>0</v>
      </c>
      <c r="H17" s="214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6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</row>
    <row r="18" spans="1:50" s="119" customFormat="1" ht="18" customHeight="1" thickBot="1" x14ac:dyDescent="0.35">
      <c r="A18" s="136" t="s">
        <v>12</v>
      </c>
      <c r="B18" s="135" t="s">
        <v>190</v>
      </c>
      <c r="C18" s="277">
        <v>394251</v>
      </c>
      <c r="D18" s="136"/>
      <c r="E18" s="187">
        <f t="shared" si="0"/>
        <v>394251</v>
      </c>
      <c r="F18" s="187">
        <f t="shared" si="1"/>
        <v>394251</v>
      </c>
      <c r="G18" s="187">
        <f t="shared" si="2"/>
        <v>0</v>
      </c>
      <c r="H18" s="214"/>
      <c r="I18" s="215"/>
      <c r="J18" s="215"/>
      <c r="K18" s="215"/>
      <c r="L18" s="215"/>
      <c r="M18" s="215">
        <f>100441.82+14953.86</f>
        <v>115395.68000000001</v>
      </c>
      <c r="N18" s="215">
        <v>14513.27</v>
      </c>
      <c r="O18" s="215">
        <v>46603.24</v>
      </c>
      <c r="P18" s="215">
        <v>33580.5</v>
      </c>
      <c r="Q18" s="215">
        <v>17828.71</v>
      </c>
      <c r="R18" s="215">
        <v>23106.11</v>
      </c>
      <c r="S18" s="215">
        <f>26596.12+32638.04</f>
        <v>59234.16</v>
      </c>
      <c r="T18" s="215"/>
      <c r="U18" s="215"/>
      <c r="V18" s="215">
        <v>38270.25</v>
      </c>
      <c r="W18" s="215">
        <v>43211.92</v>
      </c>
      <c r="X18" s="215"/>
      <c r="Y18" s="215"/>
      <c r="Z18" s="215">
        <v>2507.16</v>
      </c>
      <c r="AA18" s="215"/>
      <c r="AB18" s="215"/>
      <c r="AC18" s="215"/>
      <c r="AD18" s="215"/>
      <c r="AE18" s="215"/>
      <c r="AF18" s="215"/>
      <c r="AG18" s="215"/>
      <c r="AH18" s="215"/>
      <c r="AI18" s="216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</row>
    <row r="19" spans="1:50" s="119" customFormat="1" ht="18" customHeight="1" thickBot="1" x14ac:dyDescent="0.35">
      <c r="A19" s="136" t="s">
        <v>13</v>
      </c>
      <c r="B19" s="135" t="s">
        <v>191</v>
      </c>
      <c r="C19" s="277">
        <v>130410</v>
      </c>
      <c r="D19" s="136"/>
      <c r="E19" s="187">
        <f t="shared" si="0"/>
        <v>130410</v>
      </c>
      <c r="F19" s="187">
        <f t="shared" si="1"/>
        <v>130410.00000000001</v>
      </c>
      <c r="G19" s="187">
        <f t="shared" si="2"/>
        <v>0</v>
      </c>
      <c r="H19" s="214"/>
      <c r="I19" s="215"/>
      <c r="J19" s="215"/>
      <c r="K19" s="215">
        <v>4471.03</v>
      </c>
      <c r="L19" s="215">
        <v>8316.43</v>
      </c>
      <c r="M19" s="215"/>
      <c r="N19" s="215">
        <v>18565.52</v>
      </c>
      <c r="O19" s="215">
        <v>8455.9</v>
      </c>
      <c r="P19" s="215">
        <v>8316.15</v>
      </c>
      <c r="Q19" s="215">
        <v>8673.93</v>
      </c>
      <c r="R19" s="215">
        <v>8933.15</v>
      </c>
      <c r="S19" s="215">
        <v>16434.38</v>
      </c>
      <c r="T19" s="215">
        <v>8271.83</v>
      </c>
      <c r="U19" s="215">
        <v>8547.77</v>
      </c>
      <c r="V19" s="215">
        <v>8547.89</v>
      </c>
      <c r="W19" s="215">
        <v>10577.97</v>
      </c>
      <c r="X19" s="215"/>
      <c r="Y19" s="215">
        <f>3612.2+8685.85</f>
        <v>12298.05</v>
      </c>
      <c r="Z19" s="215"/>
      <c r="AA19" s="215"/>
      <c r="AB19" s="215"/>
      <c r="AC19" s="215"/>
      <c r="AD19" s="215"/>
      <c r="AE19" s="215"/>
      <c r="AF19" s="215"/>
      <c r="AG19" s="215"/>
      <c r="AH19" s="215"/>
      <c r="AI19" s="216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</row>
    <row r="20" spans="1:50" s="119" customFormat="1" ht="18" customHeight="1" thickBot="1" x14ac:dyDescent="0.35">
      <c r="A20" s="136" t="s">
        <v>14</v>
      </c>
      <c r="B20" s="135" t="s">
        <v>192</v>
      </c>
      <c r="C20" s="277">
        <v>13657</v>
      </c>
      <c r="D20" s="136"/>
      <c r="E20" s="187">
        <f t="shared" si="0"/>
        <v>13657</v>
      </c>
      <c r="F20" s="187">
        <f t="shared" si="1"/>
        <v>13657</v>
      </c>
      <c r="G20" s="187">
        <f t="shared" si="2"/>
        <v>0</v>
      </c>
      <c r="H20" s="214"/>
      <c r="I20" s="215"/>
      <c r="J20" s="215"/>
      <c r="K20" s="215"/>
      <c r="L20" s="215"/>
      <c r="M20" s="215"/>
      <c r="N20" s="215"/>
      <c r="O20" s="215">
        <v>7471.65</v>
      </c>
      <c r="P20" s="215"/>
      <c r="Q20" s="215"/>
      <c r="R20" s="215"/>
      <c r="S20" s="215"/>
      <c r="T20" s="215">
        <v>5848.35</v>
      </c>
      <c r="U20" s="215"/>
      <c r="V20" s="215"/>
      <c r="W20" s="215"/>
      <c r="X20" s="215"/>
      <c r="Y20" s="215"/>
      <c r="Z20" s="215"/>
      <c r="AA20" s="215">
        <v>337</v>
      </c>
      <c r="AB20" s="215"/>
      <c r="AC20" s="215"/>
      <c r="AD20" s="215"/>
      <c r="AE20" s="215"/>
      <c r="AF20" s="215"/>
      <c r="AG20" s="215"/>
      <c r="AH20" s="215"/>
      <c r="AI20" s="216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</row>
    <row r="21" spans="1:50" s="119" customFormat="1" ht="18" customHeight="1" thickBot="1" x14ac:dyDescent="0.35">
      <c r="A21" s="136" t="s">
        <v>15</v>
      </c>
      <c r="B21" s="135" t="s">
        <v>193</v>
      </c>
      <c r="C21" s="277">
        <v>94629</v>
      </c>
      <c r="D21" s="136"/>
      <c r="E21" s="187">
        <f t="shared" si="0"/>
        <v>94629</v>
      </c>
      <c r="F21" s="187">
        <f t="shared" si="1"/>
        <v>94629</v>
      </c>
      <c r="G21" s="187">
        <f t="shared" si="2"/>
        <v>0</v>
      </c>
      <c r="H21" s="214"/>
      <c r="I21" s="215"/>
      <c r="J21" s="215"/>
      <c r="K21" s="215">
        <v>20159</v>
      </c>
      <c r="L21" s="215">
        <v>6915</v>
      </c>
      <c r="M21" s="215">
        <v>6914</v>
      </c>
      <c r="N21" s="215">
        <v>9734</v>
      </c>
      <c r="O21" s="215">
        <v>6915</v>
      </c>
      <c r="P21" s="215">
        <v>6915</v>
      </c>
      <c r="Q21" s="215">
        <v>6914</v>
      </c>
      <c r="R21" s="215">
        <v>6915</v>
      </c>
      <c r="S21" s="215">
        <v>7438</v>
      </c>
      <c r="T21" s="215">
        <v>2693</v>
      </c>
      <c r="U21" s="215">
        <v>2164</v>
      </c>
      <c r="V21" s="215"/>
      <c r="W21" s="215"/>
      <c r="X21" s="215">
        <v>10953</v>
      </c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6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</row>
    <row r="22" spans="1:50" s="119" customFormat="1" ht="18" customHeight="1" thickBot="1" x14ac:dyDescent="0.35">
      <c r="A22" s="136" t="s">
        <v>16</v>
      </c>
      <c r="B22" s="135" t="s">
        <v>194</v>
      </c>
      <c r="C22" s="277">
        <v>61558</v>
      </c>
      <c r="D22" s="136"/>
      <c r="E22" s="187">
        <f t="shared" si="0"/>
        <v>61558</v>
      </c>
      <c r="F22" s="187">
        <f t="shared" si="1"/>
        <v>61558</v>
      </c>
      <c r="G22" s="187">
        <f t="shared" si="2"/>
        <v>0</v>
      </c>
      <c r="H22" s="214"/>
      <c r="I22" s="215"/>
      <c r="J22" s="215"/>
      <c r="K22" s="215"/>
      <c r="L22" s="215"/>
      <c r="M22" s="215"/>
      <c r="N22" s="280">
        <v>6952.47</v>
      </c>
      <c r="O22" s="215"/>
      <c r="P22" s="215"/>
      <c r="Q22" s="215">
        <v>10188</v>
      </c>
      <c r="R22" s="215">
        <v>12733.09</v>
      </c>
      <c r="S22" s="215"/>
      <c r="T22" s="215">
        <v>10517.26</v>
      </c>
      <c r="U22" s="215"/>
      <c r="V22" s="215">
        <v>5851.56</v>
      </c>
      <c r="W22" s="215"/>
      <c r="X22" s="215"/>
      <c r="Y22" s="215"/>
      <c r="Z22" s="215">
        <v>15315.62</v>
      </c>
      <c r="AA22" s="215"/>
      <c r="AB22" s="215"/>
      <c r="AC22" s="215"/>
      <c r="AD22" s="215"/>
      <c r="AE22" s="215"/>
      <c r="AF22" s="215"/>
      <c r="AG22" s="215"/>
      <c r="AH22" s="215"/>
      <c r="AI22" s="216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</row>
    <row r="23" spans="1:50" s="119" customFormat="1" ht="18" customHeight="1" thickBot="1" x14ac:dyDescent="0.35">
      <c r="A23" s="136" t="s">
        <v>17</v>
      </c>
      <c r="B23" s="135" t="s">
        <v>195</v>
      </c>
      <c r="C23" s="277">
        <v>822575</v>
      </c>
      <c r="D23" s="136"/>
      <c r="E23" s="187">
        <f t="shared" si="0"/>
        <v>822575</v>
      </c>
      <c r="F23" s="187">
        <f t="shared" si="1"/>
        <v>822574.99999999988</v>
      </c>
      <c r="G23" s="187">
        <f t="shared" si="2"/>
        <v>0</v>
      </c>
      <c r="H23" s="214"/>
      <c r="I23" s="215"/>
      <c r="J23" s="215"/>
      <c r="K23" s="215"/>
      <c r="L23" s="215"/>
      <c r="M23" s="215"/>
      <c r="N23" s="215">
        <v>111451.27</v>
      </c>
      <c r="O23" s="215">
        <v>69363.55</v>
      </c>
      <c r="P23" s="215">
        <v>67954.289999999994</v>
      </c>
      <c r="Q23" s="215">
        <v>133840.62</v>
      </c>
      <c r="R23" s="215">
        <v>82519.59</v>
      </c>
      <c r="S23" s="215">
        <v>61991.74</v>
      </c>
      <c r="T23" s="215">
        <v>51111.86</v>
      </c>
      <c r="U23" s="215">
        <v>71616.13</v>
      </c>
      <c r="V23" s="215">
        <v>79809.320000000007</v>
      </c>
      <c r="W23" s="215"/>
      <c r="X23" s="215"/>
      <c r="Y23" s="215"/>
      <c r="Z23" s="215">
        <f>28475.96+5081.83</f>
        <v>33557.79</v>
      </c>
      <c r="AA23" s="215"/>
      <c r="AB23" s="215">
        <v>59358.84</v>
      </c>
      <c r="AC23" s="215"/>
      <c r="AD23" s="215"/>
      <c r="AE23" s="215"/>
      <c r="AF23" s="215"/>
      <c r="AG23" s="215"/>
      <c r="AH23" s="215"/>
      <c r="AI23" s="216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</row>
    <row r="24" spans="1:50" s="119" customFormat="1" ht="18" customHeight="1" thickBot="1" x14ac:dyDescent="0.35">
      <c r="A24" s="136" t="s">
        <v>18</v>
      </c>
      <c r="B24" s="135" t="s">
        <v>196</v>
      </c>
      <c r="C24" s="277">
        <v>192053</v>
      </c>
      <c r="D24" s="136"/>
      <c r="E24" s="187">
        <f t="shared" si="0"/>
        <v>192053</v>
      </c>
      <c r="F24" s="187">
        <f t="shared" si="1"/>
        <v>192053</v>
      </c>
      <c r="G24" s="187">
        <f t="shared" si="2"/>
        <v>0</v>
      </c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>
        <v>51669.15</v>
      </c>
      <c r="AA24" s="215"/>
      <c r="AB24" s="215">
        <v>14468.75</v>
      </c>
      <c r="AC24" s="215">
        <v>27742.82</v>
      </c>
      <c r="AD24" s="215">
        <v>8730.44</v>
      </c>
      <c r="AE24" s="215">
        <v>23608.23</v>
      </c>
      <c r="AF24" s="215"/>
      <c r="AG24" s="215"/>
      <c r="AH24" s="215">
        <f>30488.32+14095.29+21250</f>
        <v>65833.61</v>
      </c>
      <c r="AI24" s="216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</row>
    <row r="25" spans="1:50" s="119" customFormat="1" ht="18" customHeight="1" thickBot="1" x14ac:dyDescent="0.35">
      <c r="A25" s="136" t="s">
        <v>19</v>
      </c>
      <c r="B25" s="135" t="s">
        <v>197</v>
      </c>
      <c r="C25" s="277">
        <v>5103</v>
      </c>
      <c r="D25" s="136" t="s">
        <v>370</v>
      </c>
      <c r="E25" s="187">
        <v>0</v>
      </c>
      <c r="F25" s="187">
        <f t="shared" si="1"/>
        <v>0</v>
      </c>
      <c r="G25" s="187">
        <f t="shared" si="2"/>
        <v>0</v>
      </c>
      <c r="H25" s="214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6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</row>
    <row r="26" spans="1:50" s="119" customFormat="1" ht="18" customHeight="1" thickBot="1" x14ac:dyDescent="0.35">
      <c r="A26" s="136" t="s">
        <v>20</v>
      </c>
      <c r="B26" s="135" t="s">
        <v>198</v>
      </c>
      <c r="C26" s="277">
        <v>1286425</v>
      </c>
      <c r="D26" s="136"/>
      <c r="E26" s="187">
        <f t="shared" si="0"/>
        <v>1286425</v>
      </c>
      <c r="F26" s="187">
        <f t="shared" si="1"/>
        <v>1286425</v>
      </c>
      <c r="G26" s="187">
        <f t="shared" si="2"/>
        <v>0</v>
      </c>
      <c r="H26" s="214"/>
      <c r="I26" s="215"/>
      <c r="J26" s="215"/>
      <c r="K26" s="215"/>
      <c r="L26" s="215"/>
      <c r="M26" s="215"/>
      <c r="N26" s="215">
        <v>189631.27</v>
      </c>
      <c r="O26" s="215"/>
      <c r="P26" s="215">
        <v>276352.86</v>
      </c>
      <c r="Q26" s="215">
        <v>114743.82</v>
      </c>
      <c r="R26" s="215">
        <v>134511.26</v>
      </c>
      <c r="S26" s="215">
        <v>174295.65</v>
      </c>
      <c r="T26" s="215"/>
      <c r="U26" s="215"/>
      <c r="V26" s="215">
        <v>281971.02</v>
      </c>
      <c r="W26" s="215">
        <v>7013.25</v>
      </c>
      <c r="X26" s="215"/>
      <c r="Y26" s="215">
        <v>107905.87</v>
      </c>
      <c r="Z26" s="215"/>
      <c r="AA26" s="215"/>
      <c r="AB26" s="215"/>
      <c r="AC26" s="215"/>
      <c r="AD26" s="215"/>
      <c r="AE26" s="215"/>
      <c r="AF26" s="215"/>
      <c r="AG26" s="215"/>
      <c r="AH26" s="215"/>
      <c r="AI26" s="216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</row>
    <row r="27" spans="1:50" s="119" customFormat="1" ht="18" customHeight="1" thickBot="1" x14ac:dyDescent="0.35">
      <c r="A27" s="136" t="s">
        <v>21</v>
      </c>
      <c r="B27" s="135" t="s">
        <v>199</v>
      </c>
      <c r="C27" s="277">
        <v>7909</v>
      </c>
      <c r="D27" s="136" t="s">
        <v>370</v>
      </c>
      <c r="E27" s="187">
        <v>0</v>
      </c>
      <c r="F27" s="187">
        <f t="shared" si="1"/>
        <v>0</v>
      </c>
      <c r="G27" s="187">
        <f t="shared" si="2"/>
        <v>0</v>
      </c>
      <c r="H27" s="214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6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</row>
    <row r="28" spans="1:50" s="119" customFormat="1" ht="18" customHeight="1" thickBot="1" x14ac:dyDescent="0.35">
      <c r="A28" s="136" t="s">
        <v>22</v>
      </c>
      <c r="B28" s="135" t="s">
        <v>200</v>
      </c>
      <c r="C28" s="277">
        <v>66872</v>
      </c>
      <c r="D28" s="136"/>
      <c r="E28" s="187">
        <f t="shared" si="0"/>
        <v>66872</v>
      </c>
      <c r="F28" s="187">
        <f t="shared" si="1"/>
        <v>66872</v>
      </c>
      <c r="G28" s="187">
        <f t="shared" si="2"/>
        <v>0</v>
      </c>
      <c r="H28" s="214"/>
      <c r="I28" s="215"/>
      <c r="J28" s="215"/>
      <c r="K28" s="215"/>
      <c r="L28" s="215"/>
      <c r="M28" s="215"/>
      <c r="N28" s="215"/>
      <c r="O28" s="215">
        <v>31292.62</v>
      </c>
      <c r="P28" s="215">
        <v>6253.14</v>
      </c>
      <c r="Q28" s="215">
        <v>6253.15</v>
      </c>
      <c r="R28" s="215">
        <v>6276.46</v>
      </c>
      <c r="S28" s="215">
        <v>9259.24</v>
      </c>
      <c r="T28" s="215">
        <v>7537.39</v>
      </c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6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</row>
    <row r="29" spans="1:50" s="119" customFormat="1" ht="18" customHeight="1" thickBot="1" x14ac:dyDescent="0.35">
      <c r="A29" s="136" t="s">
        <v>23</v>
      </c>
      <c r="B29" s="135" t="s">
        <v>201</v>
      </c>
      <c r="C29" s="277">
        <v>4868</v>
      </c>
      <c r="D29" s="136"/>
      <c r="E29" s="187">
        <f t="shared" si="0"/>
        <v>4868</v>
      </c>
      <c r="F29" s="187">
        <f t="shared" si="1"/>
        <v>4868</v>
      </c>
      <c r="G29" s="187">
        <f t="shared" si="2"/>
        <v>0</v>
      </c>
      <c r="H29" s="214"/>
      <c r="I29" s="215"/>
      <c r="J29" s="215"/>
      <c r="K29" s="215">
        <v>4831</v>
      </c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>
        <v>37</v>
      </c>
      <c r="Z29" s="215"/>
      <c r="AA29" s="215"/>
      <c r="AB29" s="215"/>
      <c r="AC29" s="215"/>
      <c r="AD29" s="215"/>
      <c r="AE29" s="215"/>
      <c r="AF29" s="215"/>
      <c r="AG29" s="215"/>
      <c r="AH29" s="215"/>
      <c r="AI29" s="216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</row>
    <row r="30" spans="1:50" s="119" customFormat="1" ht="18" customHeight="1" thickBot="1" x14ac:dyDescent="0.35">
      <c r="A30" s="136" t="s">
        <v>24</v>
      </c>
      <c r="B30" s="135" t="s">
        <v>202</v>
      </c>
      <c r="C30" s="277">
        <v>1882</v>
      </c>
      <c r="D30" s="136"/>
      <c r="E30" s="187">
        <f t="shared" si="0"/>
        <v>1882</v>
      </c>
      <c r="F30" s="187">
        <f t="shared" si="1"/>
        <v>1882</v>
      </c>
      <c r="G30" s="187">
        <f t="shared" si="2"/>
        <v>0</v>
      </c>
      <c r="H30" s="214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>
        <v>1882</v>
      </c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6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</row>
    <row r="31" spans="1:50" s="119" customFormat="1" ht="18" customHeight="1" thickBot="1" x14ac:dyDescent="0.35">
      <c r="A31" s="136" t="s">
        <v>25</v>
      </c>
      <c r="B31" s="135" t="s">
        <v>203</v>
      </c>
      <c r="C31" s="277">
        <v>19779</v>
      </c>
      <c r="D31" s="136"/>
      <c r="E31" s="187">
        <f t="shared" si="0"/>
        <v>19779</v>
      </c>
      <c r="F31" s="187">
        <f t="shared" si="1"/>
        <v>19779</v>
      </c>
      <c r="G31" s="187">
        <f t="shared" si="2"/>
        <v>0</v>
      </c>
      <c r="H31" s="214"/>
      <c r="I31" s="215"/>
      <c r="J31" s="215"/>
      <c r="K31" s="215"/>
      <c r="L31" s="215"/>
      <c r="M31" s="215"/>
      <c r="N31" s="215"/>
      <c r="O31" s="215"/>
      <c r="P31" s="215">
        <v>15848.2</v>
      </c>
      <c r="Q31" s="215"/>
      <c r="R31" s="215"/>
      <c r="S31" s="215">
        <v>3930.8</v>
      </c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6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</row>
    <row r="32" spans="1:50" s="119" customFormat="1" ht="18" customHeight="1" thickBot="1" x14ac:dyDescent="0.35">
      <c r="A32" s="136" t="s">
        <v>26</v>
      </c>
      <c r="B32" s="135" t="s">
        <v>204</v>
      </c>
      <c r="C32" s="277">
        <v>2685</v>
      </c>
      <c r="D32" s="136"/>
      <c r="E32" s="187">
        <f t="shared" si="0"/>
        <v>2685</v>
      </c>
      <c r="F32" s="187">
        <f t="shared" si="1"/>
        <v>2685</v>
      </c>
      <c r="G32" s="187">
        <f t="shared" si="2"/>
        <v>0</v>
      </c>
      <c r="H32" s="214"/>
      <c r="I32" s="215"/>
      <c r="J32" s="215"/>
      <c r="K32" s="215"/>
      <c r="L32" s="215"/>
      <c r="M32" s="215"/>
      <c r="N32" s="215"/>
      <c r="O32" s="215"/>
      <c r="P32" s="215"/>
      <c r="Q32" s="215"/>
      <c r="R32" s="215">
        <v>2685</v>
      </c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6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</row>
    <row r="33" spans="1:50" s="119" customFormat="1" ht="18" customHeight="1" thickBot="1" x14ac:dyDescent="0.35">
      <c r="A33" s="136" t="s">
        <v>27</v>
      </c>
      <c r="B33" s="135" t="s">
        <v>205</v>
      </c>
      <c r="C33" s="277">
        <v>1149</v>
      </c>
      <c r="D33" s="136"/>
      <c r="E33" s="187">
        <f t="shared" si="0"/>
        <v>1149</v>
      </c>
      <c r="F33" s="187">
        <f t="shared" si="1"/>
        <v>1149</v>
      </c>
      <c r="G33" s="187">
        <f t="shared" si="2"/>
        <v>0</v>
      </c>
      <c r="H33" s="214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>
        <v>1149</v>
      </c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6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</row>
    <row r="34" spans="1:50" s="119" customFormat="1" ht="18" customHeight="1" thickBot="1" x14ac:dyDescent="0.35">
      <c r="A34" s="136" t="s">
        <v>28</v>
      </c>
      <c r="B34" s="135" t="s">
        <v>206</v>
      </c>
      <c r="C34" s="277">
        <v>31518</v>
      </c>
      <c r="D34" s="136"/>
      <c r="E34" s="187">
        <f t="shared" si="0"/>
        <v>31518</v>
      </c>
      <c r="F34" s="187">
        <f t="shared" si="1"/>
        <v>31518</v>
      </c>
      <c r="G34" s="187">
        <f t="shared" si="2"/>
        <v>0</v>
      </c>
      <c r="H34" s="214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>
        <v>31518</v>
      </c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6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</row>
    <row r="35" spans="1:50" s="119" customFormat="1" ht="18" customHeight="1" thickBot="1" x14ac:dyDescent="0.35">
      <c r="A35" s="136" t="s">
        <v>29</v>
      </c>
      <c r="B35" s="135" t="s">
        <v>207</v>
      </c>
      <c r="C35" s="277">
        <v>7412</v>
      </c>
      <c r="D35" s="136"/>
      <c r="E35" s="187">
        <f t="shared" si="0"/>
        <v>7412</v>
      </c>
      <c r="F35" s="187">
        <f t="shared" si="1"/>
        <v>7412</v>
      </c>
      <c r="G35" s="187">
        <f t="shared" si="2"/>
        <v>0</v>
      </c>
      <c r="H35" s="214"/>
      <c r="I35" s="215"/>
      <c r="J35" s="215"/>
      <c r="K35" s="215"/>
      <c r="L35" s="215"/>
      <c r="M35" s="215"/>
      <c r="N35" s="215"/>
      <c r="O35" s="215"/>
      <c r="P35" s="215"/>
      <c r="Q35" s="215"/>
      <c r="R35" s="215">
        <v>7412</v>
      </c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6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</row>
    <row r="36" spans="1:50" s="119" customFormat="1" ht="18" customHeight="1" thickBot="1" x14ac:dyDescent="0.35">
      <c r="A36" s="136" t="s">
        <v>30</v>
      </c>
      <c r="B36" s="135" t="s">
        <v>208</v>
      </c>
      <c r="C36" s="277">
        <v>623652</v>
      </c>
      <c r="D36" s="136"/>
      <c r="E36" s="187">
        <f t="shared" si="0"/>
        <v>623652</v>
      </c>
      <c r="F36" s="187">
        <f t="shared" si="1"/>
        <v>623652.00000000012</v>
      </c>
      <c r="G36" s="187">
        <f t="shared" si="2"/>
        <v>0</v>
      </c>
      <c r="H36" s="214"/>
      <c r="I36" s="215"/>
      <c r="J36" s="215"/>
      <c r="K36" s="215"/>
      <c r="L36" s="215"/>
      <c r="M36" s="215"/>
      <c r="N36" s="215"/>
      <c r="O36" s="215">
        <f>46639.72+13456.8</f>
        <v>60096.520000000004</v>
      </c>
      <c r="P36" s="215">
        <v>23686.19</v>
      </c>
      <c r="Q36" s="215"/>
      <c r="R36" s="215">
        <f>62539.03+30969.2</f>
        <v>93508.23</v>
      </c>
      <c r="S36" s="215"/>
      <c r="T36" s="215"/>
      <c r="U36" s="215">
        <v>23010.25</v>
      </c>
      <c r="V36" s="215"/>
      <c r="W36" s="215">
        <v>96928.39</v>
      </c>
      <c r="X36" s="215">
        <v>186204.71</v>
      </c>
      <c r="Y36" s="215">
        <v>39547.660000000003</v>
      </c>
      <c r="Z36" s="215">
        <f>28653.37+29764.21</f>
        <v>58417.58</v>
      </c>
      <c r="AA36" s="215"/>
      <c r="AB36" s="215">
        <v>25201.93</v>
      </c>
      <c r="AC36" s="215">
        <v>17050.54</v>
      </c>
      <c r="AD36" s="215"/>
      <c r="AE36" s="215"/>
      <c r="AF36" s="215"/>
      <c r="AG36" s="215"/>
      <c r="AH36" s="215"/>
      <c r="AI36" s="216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</row>
    <row r="37" spans="1:50" s="119" customFormat="1" ht="18" customHeight="1" thickBot="1" x14ac:dyDescent="0.35">
      <c r="A37" s="136" t="s">
        <v>31</v>
      </c>
      <c r="B37" s="135" t="s">
        <v>209</v>
      </c>
      <c r="C37" s="277">
        <v>478291</v>
      </c>
      <c r="D37" s="136"/>
      <c r="E37" s="187">
        <f t="shared" si="0"/>
        <v>478291</v>
      </c>
      <c r="F37" s="187">
        <f t="shared" si="1"/>
        <v>478291</v>
      </c>
      <c r="G37" s="187">
        <f t="shared" si="2"/>
        <v>0</v>
      </c>
      <c r="H37" s="214"/>
      <c r="I37" s="215"/>
      <c r="J37" s="215"/>
      <c r="K37" s="215"/>
      <c r="L37" s="215">
        <v>82624.59</v>
      </c>
      <c r="M37" s="215">
        <v>75684.72</v>
      </c>
      <c r="N37" s="215">
        <v>48754.91</v>
      </c>
      <c r="O37" s="215">
        <v>29008.91</v>
      </c>
      <c r="P37" s="215"/>
      <c r="Q37" s="215">
        <v>44709.04</v>
      </c>
      <c r="R37" s="215">
        <f>14136.51+39276.81</f>
        <v>53413.32</v>
      </c>
      <c r="S37" s="190">
        <v>35849.74</v>
      </c>
      <c r="T37" s="215">
        <v>52589.96</v>
      </c>
      <c r="U37" s="215"/>
      <c r="V37" s="215"/>
      <c r="W37" s="215">
        <v>32028.45</v>
      </c>
      <c r="X37" s="215">
        <v>15937.91</v>
      </c>
      <c r="Y37" s="215">
        <v>7689.45</v>
      </c>
      <c r="Z37" s="215"/>
      <c r="AA37" s="215"/>
      <c r="AB37" s="215"/>
      <c r="AC37" s="215"/>
      <c r="AD37" s="215"/>
      <c r="AE37" s="215"/>
      <c r="AF37" s="215"/>
      <c r="AG37" s="215"/>
      <c r="AH37" s="215"/>
      <c r="AI37" s="216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</row>
    <row r="38" spans="1:50" s="119" customFormat="1" ht="18" customHeight="1" thickBot="1" x14ac:dyDescent="0.35">
      <c r="A38" s="136" t="s">
        <v>32</v>
      </c>
      <c r="B38" s="135" t="s">
        <v>210</v>
      </c>
      <c r="C38" s="277">
        <v>29863</v>
      </c>
      <c r="D38" s="136"/>
      <c r="E38" s="187">
        <f t="shared" si="0"/>
        <v>29863</v>
      </c>
      <c r="F38" s="187">
        <f t="shared" si="1"/>
        <v>29863</v>
      </c>
      <c r="G38" s="187">
        <f t="shared" si="2"/>
        <v>0</v>
      </c>
      <c r="H38" s="214"/>
      <c r="I38" s="215"/>
      <c r="J38" s="215"/>
      <c r="K38" s="215"/>
      <c r="L38" s="215"/>
      <c r="M38" s="215">
        <v>14632</v>
      </c>
      <c r="N38" s="215"/>
      <c r="O38" s="215"/>
      <c r="P38" s="215"/>
      <c r="Q38" s="215"/>
      <c r="R38" s="215"/>
      <c r="S38" s="215">
        <v>15231</v>
      </c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6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</row>
    <row r="39" spans="1:50" s="119" customFormat="1" ht="18" customHeight="1" thickBot="1" x14ac:dyDescent="0.35">
      <c r="A39" s="136" t="s">
        <v>33</v>
      </c>
      <c r="B39" s="135" t="s">
        <v>211</v>
      </c>
      <c r="C39" s="277">
        <v>30206</v>
      </c>
      <c r="D39" s="136"/>
      <c r="E39" s="187">
        <f t="shared" si="0"/>
        <v>30206</v>
      </c>
      <c r="F39" s="187">
        <f t="shared" si="1"/>
        <v>30206</v>
      </c>
      <c r="G39" s="187">
        <f t="shared" si="2"/>
        <v>0</v>
      </c>
      <c r="H39" s="214"/>
      <c r="I39" s="215"/>
      <c r="J39" s="215"/>
      <c r="K39" s="215"/>
      <c r="L39" s="215">
        <v>493.46</v>
      </c>
      <c r="M39" s="215">
        <v>432.1</v>
      </c>
      <c r="N39" s="215">
        <v>418.35</v>
      </c>
      <c r="O39" s="215"/>
      <c r="P39" s="215">
        <v>500</v>
      </c>
      <c r="Q39" s="215">
        <v>1906.21</v>
      </c>
      <c r="R39" s="215">
        <v>6014.18</v>
      </c>
      <c r="S39" s="215">
        <v>2763.26</v>
      </c>
      <c r="T39" s="215">
        <v>1230.97</v>
      </c>
      <c r="U39" s="215"/>
      <c r="V39" s="215"/>
      <c r="W39" s="215"/>
      <c r="X39" s="215"/>
      <c r="Y39" s="215">
        <f>2601.14+2350.16</f>
        <v>4951.2999999999993</v>
      </c>
      <c r="Z39" s="215">
        <v>665.93</v>
      </c>
      <c r="AA39" s="215">
        <v>1628.11</v>
      </c>
      <c r="AB39" s="215">
        <v>2976.87</v>
      </c>
      <c r="AC39" s="215">
        <v>1350.83</v>
      </c>
      <c r="AD39" s="215">
        <v>2601.04</v>
      </c>
      <c r="AE39" s="215">
        <v>2273.39</v>
      </c>
      <c r="AF39" s="215"/>
      <c r="AG39" s="215"/>
      <c r="AH39" s="215"/>
      <c r="AI39" s="216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</row>
    <row r="40" spans="1:50" s="119" customFormat="1" ht="18" customHeight="1" thickBot="1" x14ac:dyDescent="0.35">
      <c r="A40" s="136" t="s">
        <v>34</v>
      </c>
      <c r="B40" s="135" t="s">
        <v>212</v>
      </c>
      <c r="C40" s="277">
        <v>3079</v>
      </c>
      <c r="D40" s="136" t="s">
        <v>370</v>
      </c>
      <c r="E40" s="187">
        <v>0</v>
      </c>
      <c r="F40" s="187">
        <f t="shared" si="1"/>
        <v>0</v>
      </c>
      <c r="G40" s="187">
        <f t="shared" si="2"/>
        <v>0</v>
      </c>
      <c r="H40" s="214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6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</row>
    <row r="41" spans="1:50" s="119" customFormat="1" ht="18" customHeight="1" thickBot="1" x14ac:dyDescent="0.35">
      <c r="A41" s="136" t="s">
        <v>35</v>
      </c>
      <c r="B41" s="135" t="s">
        <v>213</v>
      </c>
      <c r="C41" s="277">
        <v>9564</v>
      </c>
      <c r="D41" s="136" t="s">
        <v>370</v>
      </c>
      <c r="E41" s="187">
        <v>0</v>
      </c>
      <c r="F41" s="187">
        <f t="shared" si="1"/>
        <v>0</v>
      </c>
      <c r="G41" s="187">
        <f t="shared" si="2"/>
        <v>0</v>
      </c>
      <c r="H41" s="214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6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</row>
    <row r="42" spans="1:50" s="119" customFormat="1" ht="18" customHeight="1" thickBot="1" x14ac:dyDescent="0.35">
      <c r="A42" s="136" t="s">
        <v>36</v>
      </c>
      <c r="B42" s="135" t="s">
        <v>214</v>
      </c>
      <c r="C42" s="277">
        <v>24873</v>
      </c>
      <c r="D42" s="136"/>
      <c r="E42" s="187">
        <f t="shared" si="0"/>
        <v>24873</v>
      </c>
      <c r="F42" s="187">
        <f t="shared" si="1"/>
        <v>24873</v>
      </c>
      <c r="G42" s="187">
        <f t="shared" si="2"/>
        <v>0</v>
      </c>
      <c r="H42" s="214"/>
      <c r="I42" s="215"/>
      <c r="J42" s="215"/>
      <c r="K42" s="215"/>
      <c r="L42" s="215"/>
      <c r="M42" s="215"/>
      <c r="N42" s="215"/>
      <c r="O42" s="215"/>
      <c r="P42" s="215">
        <v>14557</v>
      </c>
      <c r="Q42" s="215"/>
      <c r="R42" s="215"/>
      <c r="S42" s="215"/>
      <c r="T42" s="215"/>
      <c r="U42" s="215"/>
      <c r="V42" s="215"/>
      <c r="W42" s="215">
        <v>7012</v>
      </c>
      <c r="X42" s="215">
        <v>1050</v>
      </c>
      <c r="Y42" s="215"/>
      <c r="Z42" s="215">
        <v>892.5</v>
      </c>
      <c r="AA42" s="215"/>
      <c r="AB42" s="215">
        <v>1361.5</v>
      </c>
      <c r="AC42" s="215"/>
      <c r="AD42" s="215"/>
      <c r="AE42" s="215"/>
      <c r="AF42" s="215"/>
      <c r="AG42" s="215"/>
      <c r="AH42" s="215"/>
      <c r="AI42" s="216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</row>
    <row r="43" spans="1:50" s="119" customFormat="1" ht="18" customHeight="1" thickBot="1" x14ac:dyDescent="0.35">
      <c r="A43" s="136" t="s">
        <v>37</v>
      </c>
      <c r="B43" s="135" t="s">
        <v>215</v>
      </c>
      <c r="C43" s="277">
        <v>43836</v>
      </c>
      <c r="D43" s="136"/>
      <c r="E43" s="187">
        <f t="shared" si="0"/>
        <v>43836</v>
      </c>
      <c r="F43" s="187">
        <f t="shared" si="1"/>
        <v>43836.000000000007</v>
      </c>
      <c r="G43" s="187">
        <f t="shared" si="2"/>
        <v>0</v>
      </c>
      <c r="H43" s="214"/>
      <c r="I43" s="215"/>
      <c r="J43" s="215"/>
      <c r="K43" s="215"/>
      <c r="L43" s="215"/>
      <c r="M43" s="215">
        <v>664.27</v>
      </c>
      <c r="N43" s="215">
        <v>2961.99</v>
      </c>
      <c r="O43" s="215">
        <v>10151.700000000001</v>
      </c>
      <c r="P43" s="215">
        <v>3899.54</v>
      </c>
      <c r="Q43" s="215">
        <v>1521.47</v>
      </c>
      <c r="R43" s="215"/>
      <c r="S43" s="215"/>
      <c r="T43" s="215"/>
      <c r="U43" s="215"/>
      <c r="V43" s="215">
        <v>4102.13</v>
      </c>
      <c r="W43" s="215">
        <v>1800</v>
      </c>
      <c r="X43" s="215"/>
      <c r="Y43" s="215">
        <v>4250</v>
      </c>
      <c r="Z43" s="215"/>
      <c r="AA43" s="215">
        <v>6104</v>
      </c>
      <c r="AB43" s="215">
        <v>500</v>
      </c>
      <c r="AC43" s="215">
        <v>4250</v>
      </c>
      <c r="AD43" s="215">
        <v>1476</v>
      </c>
      <c r="AE43" s="215">
        <v>2154.9</v>
      </c>
      <c r="AF43" s="215"/>
      <c r="AG43" s="215"/>
      <c r="AH43" s="215"/>
      <c r="AI43" s="216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</row>
    <row r="44" spans="1:50" s="119" customFormat="1" ht="18" customHeight="1" thickBot="1" x14ac:dyDescent="0.35">
      <c r="A44" s="136" t="s">
        <v>38</v>
      </c>
      <c r="B44" s="135" t="s">
        <v>216</v>
      </c>
      <c r="C44" s="277">
        <v>13626</v>
      </c>
      <c r="D44" s="136"/>
      <c r="E44" s="187">
        <f t="shared" si="0"/>
        <v>13626</v>
      </c>
      <c r="F44" s="187">
        <f t="shared" si="1"/>
        <v>13626</v>
      </c>
      <c r="G44" s="187">
        <f t="shared" si="2"/>
        <v>0</v>
      </c>
      <c r="H44" s="214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>
        <v>13564</v>
      </c>
      <c r="Y44" s="215"/>
      <c r="Z44" s="215"/>
      <c r="AA44" s="215"/>
      <c r="AB44" s="215"/>
      <c r="AC44" s="215">
        <v>62</v>
      </c>
      <c r="AD44" s="215"/>
      <c r="AE44" s="215"/>
      <c r="AF44" s="215"/>
      <c r="AG44" s="215"/>
      <c r="AH44" s="215"/>
      <c r="AI44" s="216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</row>
    <row r="45" spans="1:50" s="119" customFormat="1" ht="18" customHeight="1" thickBot="1" x14ac:dyDescent="0.35">
      <c r="A45" s="136" t="s">
        <v>39</v>
      </c>
      <c r="B45" s="135" t="s">
        <v>217</v>
      </c>
      <c r="C45" s="277">
        <v>21165</v>
      </c>
      <c r="D45" s="136"/>
      <c r="E45" s="187">
        <f t="shared" si="0"/>
        <v>21165</v>
      </c>
      <c r="F45" s="187">
        <f t="shared" si="1"/>
        <v>21165</v>
      </c>
      <c r="G45" s="187">
        <f t="shared" si="2"/>
        <v>0</v>
      </c>
      <c r="H45" s="214"/>
      <c r="I45" s="215"/>
      <c r="J45" s="215"/>
      <c r="K45" s="215"/>
      <c r="L45" s="215"/>
      <c r="M45" s="215"/>
      <c r="N45" s="215"/>
      <c r="O45" s="215">
        <v>141.1</v>
      </c>
      <c r="P45" s="215"/>
      <c r="Q45" s="215">
        <v>13156.21</v>
      </c>
      <c r="R45" s="215">
        <v>1295.1600000000001</v>
      </c>
      <c r="S45" s="215"/>
      <c r="T45" s="215">
        <v>3926.87</v>
      </c>
      <c r="U45" s="215"/>
      <c r="V45" s="215"/>
      <c r="W45" s="215">
        <v>1313</v>
      </c>
      <c r="X45" s="215"/>
      <c r="Y45" s="215">
        <v>1332.66</v>
      </c>
      <c r="Z45" s="215"/>
      <c r="AA45" s="215"/>
      <c r="AB45" s="215"/>
      <c r="AC45" s="215"/>
      <c r="AD45" s="215"/>
      <c r="AE45" s="215"/>
      <c r="AF45" s="215"/>
      <c r="AG45" s="215"/>
      <c r="AH45" s="215"/>
      <c r="AI45" s="216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</row>
    <row r="46" spans="1:50" s="119" customFormat="1" ht="18" customHeight="1" thickBot="1" x14ac:dyDescent="0.35">
      <c r="A46" s="136" t="s">
        <v>40</v>
      </c>
      <c r="B46" s="135" t="s">
        <v>218</v>
      </c>
      <c r="C46" s="277">
        <v>21044</v>
      </c>
      <c r="D46" s="136"/>
      <c r="E46" s="187">
        <f t="shared" si="0"/>
        <v>21044</v>
      </c>
      <c r="F46" s="187">
        <f t="shared" si="1"/>
        <v>21044</v>
      </c>
      <c r="G46" s="187">
        <f t="shared" si="2"/>
        <v>0</v>
      </c>
      <c r="H46" s="214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>
        <v>20967</v>
      </c>
      <c r="T46" s="215"/>
      <c r="U46" s="215"/>
      <c r="V46" s="215"/>
      <c r="W46" s="215"/>
      <c r="X46" s="215"/>
      <c r="Y46" s="215"/>
      <c r="Z46" s="215"/>
      <c r="AA46" s="215"/>
      <c r="AB46" s="215"/>
      <c r="AC46" s="215">
        <v>77</v>
      </c>
      <c r="AD46" s="215"/>
      <c r="AE46" s="215"/>
      <c r="AF46" s="215"/>
      <c r="AG46" s="215"/>
      <c r="AH46" s="215"/>
      <c r="AI46" s="216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</row>
    <row r="47" spans="1:50" s="119" customFormat="1" ht="18" customHeight="1" thickBot="1" x14ac:dyDescent="0.35">
      <c r="A47" s="136" t="s">
        <v>41</v>
      </c>
      <c r="B47" s="135" t="s">
        <v>219</v>
      </c>
      <c r="C47" s="277">
        <v>18601</v>
      </c>
      <c r="D47" s="136"/>
      <c r="E47" s="187">
        <f t="shared" si="0"/>
        <v>18601</v>
      </c>
      <c r="F47" s="187">
        <f t="shared" si="1"/>
        <v>18601</v>
      </c>
      <c r="G47" s="187">
        <f t="shared" si="2"/>
        <v>0</v>
      </c>
      <c r="H47" s="214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>
        <v>18601</v>
      </c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6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</row>
    <row r="48" spans="1:50" s="119" customFormat="1" ht="18" customHeight="1" thickBot="1" x14ac:dyDescent="0.35">
      <c r="A48" s="136" t="s">
        <v>42</v>
      </c>
      <c r="B48" s="135" t="s">
        <v>220</v>
      </c>
      <c r="C48" s="277">
        <v>30685</v>
      </c>
      <c r="D48" s="136"/>
      <c r="E48" s="187">
        <f t="shared" si="0"/>
        <v>30685</v>
      </c>
      <c r="F48" s="187">
        <f t="shared" si="1"/>
        <v>30685</v>
      </c>
      <c r="G48" s="187">
        <f t="shared" si="2"/>
        <v>0</v>
      </c>
      <c r="H48" s="214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>
        <v>4055</v>
      </c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>
        <v>12365.67</v>
      </c>
      <c r="AF48" s="215"/>
      <c r="AG48" s="215"/>
      <c r="AH48" s="215"/>
      <c r="AI48" s="216"/>
      <c r="AJ48" s="217"/>
      <c r="AK48" s="217"/>
      <c r="AL48" s="217"/>
      <c r="AM48" s="217"/>
      <c r="AN48" s="217"/>
      <c r="AO48" s="217"/>
      <c r="AP48" s="217"/>
      <c r="AQ48" s="282">
        <f>12413.42+1850.91</f>
        <v>14264.33</v>
      </c>
      <c r="AR48" s="217"/>
      <c r="AS48" s="217"/>
      <c r="AT48" s="217"/>
      <c r="AU48" s="217"/>
      <c r="AV48" s="217"/>
      <c r="AW48" s="217"/>
      <c r="AX48" s="217"/>
    </row>
    <row r="49" spans="1:50" s="119" customFormat="1" ht="18" customHeight="1" thickBot="1" x14ac:dyDescent="0.35">
      <c r="A49" s="136" t="s">
        <v>43</v>
      </c>
      <c r="B49" s="135" t="s">
        <v>443</v>
      </c>
      <c r="C49" s="277">
        <v>21557</v>
      </c>
      <c r="D49" s="136"/>
      <c r="E49" s="187">
        <f t="shared" si="0"/>
        <v>21557</v>
      </c>
      <c r="F49" s="187">
        <f t="shared" si="1"/>
        <v>21557</v>
      </c>
      <c r="G49" s="187">
        <f t="shared" si="2"/>
        <v>0</v>
      </c>
      <c r="H49" s="214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>
        <v>21557</v>
      </c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6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</row>
    <row r="50" spans="1:50" s="119" customFormat="1" ht="18" customHeight="1" thickBot="1" x14ac:dyDescent="0.35">
      <c r="A50" s="136" t="s">
        <v>44</v>
      </c>
      <c r="B50" s="135" t="s">
        <v>222</v>
      </c>
      <c r="C50" s="277">
        <v>177917</v>
      </c>
      <c r="D50" s="136"/>
      <c r="E50" s="187">
        <f t="shared" si="0"/>
        <v>177917</v>
      </c>
      <c r="F50" s="187">
        <f t="shared" si="1"/>
        <v>177917</v>
      </c>
      <c r="G50" s="187">
        <f t="shared" si="2"/>
        <v>0</v>
      </c>
      <c r="H50" s="214"/>
      <c r="I50" s="215"/>
      <c r="J50" s="215"/>
      <c r="K50" s="215"/>
      <c r="L50" s="215"/>
      <c r="M50" s="215"/>
      <c r="N50" s="215"/>
      <c r="O50" s="215"/>
      <c r="P50" s="215">
        <v>87591.71</v>
      </c>
      <c r="Q50" s="215">
        <v>15997.02</v>
      </c>
      <c r="R50" s="215">
        <v>15997.02</v>
      </c>
      <c r="S50" s="215">
        <v>16002.22</v>
      </c>
      <c r="T50" s="215"/>
      <c r="U50" s="215">
        <v>15997.01</v>
      </c>
      <c r="V50" s="215">
        <v>16054.38</v>
      </c>
      <c r="W50" s="215"/>
      <c r="X50" s="215">
        <v>10277.64</v>
      </c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6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</row>
    <row r="51" spans="1:50" s="119" customFormat="1" ht="18" customHeight="1" thickBot="1" x14ac:dyDescent="0.35">
      <c r="A51" s="136" t="s">
        <v>45</v>
      </c>
      <c r="B51" s="135" t="s">
        <v>223</v>
      </c>
      <c r="C51" s="277">
        <v>3167071</v>
      </c>
      <c r="D51" s="136"/>
      <c r="E51" s="187">
        <f t="shared" si="0"/>
        <v>3167071</v>
      </c>
      <c r="F51" s="187">
        <f t="shared" si="1"/>
        <v>3167071</v>
      </c>
      <c r="G51" s="187">
        <f t="shared" si="2"/>
        <v>0</v>
      </c>
      <c r="H51" s="214"/>
      <c r="I51" s="215"/>
      <c r="J51" s="215"/>
      <c r="K51" s="215"/>
      <c r="L51" s="215"/>
      <c r="M51" s="215"/>
      <c r="N51" s="215"/>
      <c r="O51" s="215">
        <v>438123.32</v>
      </c>
      <c r="P51" s="215"/>
      <c r="Q51" s="215">
        <v>575680.06000000006</v>
      </c>
      <c r="R51" s="215"/>
      <c r="S51" s="215">
        <v>255468.31</v>
      </c>
      <c r="T51" s="215">
        <v>106034.68</v>
      </c>
      <c r="U51" s="215"/>
      <c r="V51" s="215"/>
      <c r="W51" s="215"/>
      <c r="X51" s="215">
        <v>997602.3</v>
      </c>
      <c r="Y51" s="215"/>
      <c r="Z51" s="215"/>
      <c r="AA51" s="215"/>
      <c r="AB51" s="215"/>
      <c r="AC51" s="215">
        <v>794162.33</v>
      </c>
      <c r="AD51" s="215"/>
      <c r="AE51" s="215"/>
      <c r="AF51" s="215"/>
      <c r="AG51" s="215"/>
      <c r="AH51" s="215"/>
      <c r="AI51" s="216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</row>
    <row r="52" spans="1:50" s="119" customFormat="1" ht="18" customHeight="1" thickBot="1" x14ac:dyDescent="0.35">
      <c r="A52" s="136" t="s">
        <v>46</v>
      </c>
      <c r="B52" s="135" t="s">
        <v>224</v>
      </c>
      <c r="C52" s="277">
        <v>9181</v>
      </c>
      <c r="D52" s="136"/>
      <c r="E52" s="187">
        <f t="shared" si="0"/>
        <v>9181</v>
      </c>
      <c r="F52" s="187">
        <f t="shared" si="1"/>
        <v>9181</v>
      </c>
      <c r="G52" s="187">
        <f t="shared" si="2"/>
        <v>0</v>
      </c>
      <c r="H52" s="214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v>3041</v>
      </c>
      <c r="S52" s="215">
        <v>6140</v>
      </c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6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</row>
    <row r="53" spans="1:50" s="119" customFormat="1" ht="18" customHeight="1" thickBot="1" x14ac:dyDescent="0.35">
      <c r="A53" s="136" t="s">
        <v>47</v>
      </c>
      <c r="B53" s="135" t="s">
        <v>225</v>
      </c>
      <c r="C53" s="277">
        <v>602661</v>
      </c>
      <c r="D53" s="136"/>
      <c r="E53" s="187">
        <f t="shared" si="0"/>
        <v>602661</v>
      </c>
      <c r="F53" s="187">
        <f t="shared" si="1"/>
        <v>602660.99999999988</v>
      </c>
      <c r="G53" s="187">
        <f t="shared" si="2"/>
        <v>0</v>
      </c>
      <c r="H53" s="214"/>
      <c r="I53" s="215"/>
      <c r="J53" s="215"/>
      <c r="K53" s="215">
        <v>31259.279999999999</v>
      </c>
      <c r="L53" s="215"/>
      <c r="M53" s="215">
        <v>42706.99</v>
      </c>
      <c r="N53" s="215">
        <v>49683.83</v>
      </c>
      <c r="O53" s="215">
        <f>58952.44+46223.94</f>
        <v>105176.38</v>
      </c>
      <c r="P53" s="215">
        <v>53564.12</v>
      </c>
      <c r="Q53" s="215">
        <v>70527.42</v>
      </c>
      <c r="R53" s="215">
        <v>38942</v>
      </c>
      <c r="S53" s="215">
        <v>40377.160000000003</v>
      </c>
      <c r="T53" s="215"/>
      <c r="U53" s="215"/>
      <c r="V53" s="215">
        <v>18607.669999999998</v>
      </c>
      <c r="W53" s="215"/>
      <c r="X53" s="215">
        <v>112009.47</v>
      </c>
      <c r="Y53" s="215">
        <v>26761.439999999999</v>
      </c>
      <c r="Z53" s="215"/>
      <c r="AA53" s="215">
        <v>13045.24</v>
      </c>
      <c r="AB53" s="215"/>
      <c r="AC53" s="215"/>
      <c r="AD53" s="215"/>
      <c r="AE53" s="215"/>
      <c r="AF53" s="215"/>
      <c r="AG53" s="215"/>
      <c r="AH53" s="215"/>
      <c r="AI53" s="216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</row>
    <row r="54" spans="1:50" s="119" customFormat="1" ht="18" customHeight="1" thickBot="1" x14ac:dyDescent="0.35">
      <c r="A54" s="136" t="s">
        <v>48</v>
      </c>
      <c r="B54" s="135" t="s">
        <v>226</v>
      </c>
      <c r="C54" s="277">
        <v>131873</v>
      </c>
      <c r="D54" s="136"/>
      <c r="E54" s="187">
        <f t="shared" si="0"/>
        <v>131873</v>
      </c>
      <c r="F54" s="187">
        <f t="shared" si="1"/>
        <v>131873</v>
      </c>
      <c r="G54" s="187">
        <f t="shared" si="2"/>
        <v>0</v>
      </c>
      <c r="H54" s="214"/>
      <c r="I54" s="215"/>
      <c r="J54" s="215"/>
      <c r="K54" s="215"/>
      <c r="L54" s="215">
        <v>21747.21</v>
      </c>
      <c r="M54" s="215"/>
      <c r="N54" s="215">
        <v>41048.69</v>
      </c>
      <c r="O54" s="215"/>
      <c r="P54" s="215"/>
      <c r="Q54" s="215">
        <v>47895.69</v>
      </c>
      <c r="R54" s="215"/>
      <c r="S54" s="215">
        <v>21181.41</v>
      </c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6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</row>
    <row r="55" spans="1:50" s="119" customFormat="1" ht="18" customHeight="1" thickBot="1" x14ac:dyDescent="0.35">
      <c r="A55" s="136" t="s">
        <v>49</v>
      </c>
      <c r="B55" s="135" t="s">
        <v>227</v>
      </c>
      <c r="C55" s="277">
        <v>39644</v>
      </c>
      <c r="D55" s="136"/>
      <c r="E55" s="187">
        <f t="shared" si="0"/>
        <v>39644</v>
      </c>
      <c r="F55" s="187">
        <f t="shared" si="1"/>
        <v>39644</v>
      </c>
      <c r="G55" s="187">
        <f t="shared" si="2"/>
        <v>0</v>
      </c>
      <c r="H55" s="214"/>
      <c r="I55" s="215"/>
      <c r="J55" s="215"/>
      <c r="K55" s="215"/>
      <c r="L55" s="215"/>
      <c r="M55" s="215"/>
      <c r="N55" s="215"/>
      <c r="O55" s="215">
        <v>28836.5</v>
      </c>
      <c r="P55" s="215"/>
      <c r="Q55" s="215"/>
      <c r="R55" s="215"/>
      <c r="S55" s="215"/>
      <c r="T55" s="215"/>
      <c r="U55" s="215"/>
      <c r="V55" s="215"/>
      <c r="W55" s="215">
        <v>1705</v>
      </c>
      <c r="X55" s="215"/>
      <c r="Y55" s="215"/>
      <c r="Z55" s="215"/>
      <c r="AA55" s="215"/>
      <c r="AB55" s="215">
        <v>9102.5</v>
      </c>
      <c r="AC55" s="215"/>
      <c r="AD55" s="215"/>
      <c r="AE55" s="215"/>
      <c r="AF55" s="215"/>
      <c r="AG55" s="215"/>
      <c r="AH55" s="215"/>
      <c r="AI55" s="216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</row>
    <row r="56" spans="1:50" s="119" customFormat="1" ht="18" customHeight="1" thickBot="1" x14ac:dyDescent="0.35">
      <c r="A56" s="136" t="s">
        <v>50</v>
      </c>
      <c r="B56" s="135" t="s">
        <v>228</v>
      </c>
      <c r="C56" s="277">
        <v>6383</v>
      </c>
      <c r="D56" s="136" t="s">
        <v>370</v>
      </c>
      <c r="E56" s="187">
        <v>0</v>
      </c>
      <c r="F56" s="187">
        <f t="shared" si="1"/>
        <v>0</v>
      </c>
      <c r="G56" s="187">
        <f t="shared" si="2"/>
        <v>0</v>
      </c>
      <c r="H56" s="214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6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</row>
    <row r="57" spans="1:50" s="119" customFormat="1" ht="18" customHeight="1" thickBot="1" x14ac:dyDescent="0.35">
      <c r="A57" s="136" t="s">
        <v>51</v>
      </c>
      <c r="B57" s="135" t="s">
        <v>229</v>
      </c>
      <c r="C57" s="277">
        <v>7449</v>
      </c>
      <c r="D57" s="136"/>
      <c r="E57" s="187">
        <f t="shared" si="0"/>
        <v>7449</v>
      </c>
      <c r="F57" s="187">
        <f t="shared" si="1"/>
        <v>7449</v>
      </c>
      <c r="G57" s="187">
        <f t="shared" si="2"/>
        <v>0</v>
      </c>
      <c r="H57" s="214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>
        <v>7449</v>
      </c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6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</row>
    <row r="58" spans="1:50" s="119" customFormat="1" ht="18" customHeight="1" thickBot="1" x14ac:dyDescent="0.35">
      <c r="A58" s="136" t="s">
        <v>52</v>
      </c>
      <c r="B58" s="135" t="s">
        <v>230</v>
      </c>
      <c r="C58" s="277">
        <v>5651</v>
      </c>
      <c r="D58" s="136"/>
      <c r="E58" s="187">
        <f t="shared" si="0"/>
        <v>5651</v>
      </c>
      <c r="F58" s="187">
        <f t="shared" si="1"/>
        <v>5651</v>
      </c>
      <c r="G58" s="187">
        <f t="shared" si="2"/>
        <v>0</v>
      </c>
      <c r="H58" s="214"/>
      <c r="I58" s="215"/>
      <c r="J58" s="215"/>
      <c r="K58" s="215"/>
      <c r="L58" s="215"/>
      <c r="M58" s="215"/>
      <c r="N58" s="215"/>
      <c r="O58" s="215"/>
      <c r="P58" s="215">
        <v>2542</v>
      </c>
      <c r="Q58" s="215"/>
      <c r="R58" s="215">
        <v>1359</v>
      </c>
      <c r="S58" s="215">
        <v>1750</v>
      </c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6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</row>
    <row r="59" spans="1:50" s="119" customFormat="1" ht="18" customHeight="1" thickBot="1" x14ac:dyDescent="0.35">
      <c r="A59" s="136" t="s">
        <v>53</v>
      </c>
      <c r="B59" s="135" t="s">
        <v>231</v>
      </c>
      <c r="C59" s="277">
        <v>2792</v>
      </c>
      <c r="D59" s="136" t="s">
        <v>370</v>
      </c>
      <c r="E59" s="187">
        <v>0</v>
      </c>
      <c r="F59" s="187">
        <f t="shared" si="1"/>
        <v>0</v>
      </c>
      <c r="G59" s="187">
        <f t="shared" si="2"/>
        <v>0</v>
      </c>
      <c r="H59" s="214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6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</row>
    <row r="60" spans="1:50" s="119" customFormat="1" ht="18" customHeight="1" thickBot="1" x14ac:dyDescent="0.35">
      <c r="A60" s="136" t="s">
        <v>54</v>
      </c>
      <c r="B60" s="135" t="s">
        <v>232</v>
      </c>
      <c r="C60" s="277">
        <v>19257</v>
      </c>
      <c r="D60" s="136"/>
      <c r="E60" s="187">
        <f t="shared" si="0"/>
        <v>19257</v>
      </c>
      <c r="F60" s="187">
        <f t="shared" si="1"/>
        <v>19257</v>
      </c>
      <c r="G60" s="187">
        <f t="shared" si="2"/>
        <v>0</v>
      </c>
      <c r="H60" s="214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>
        <f>17061+2196</f>
        <v>19257</v>
      </c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6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</row>
    <row r="61" spans="1:50" s="119" customFormat="1" ht="18" customHeight="1" thickBot="1" x14ac:dyDescent="0.35">
      <c r="A61" s="136" t="s">
        <v>55</v>
      </c>
      <c r="B61" s="135" t="s">
        <v>233</v>
      </c>
      <c r="C61" s="277">
        <v>629637</v>
      </c>
      <c r="D61" s="136"/>
      <c r="E61" s="187">
        <f t="shared" si="0"/>
        <v>629637</v>
      </c>
      <c r="F61" s="187">
        <f t="shared" si="1"/>
        <v>629637</v>
      </c>
      <c r="G61" s="187">
        <f t="shared" si="2"/>
        <v>0</v>
      </c>
      <c r="H61" s="214"/>
      <c r="I61" s="215"/>
      <c r="J61" s="215"/>
      <c r="K61" s="215"/>
      <c r="L61" s="215"/>
      <c r="M61" s="215"/>
      <c r="N61" s="215"/>
      <c r="O61" s="215"/>
      <c r="P61" s="215"/>
      <c r="Q61" s="215"/>
      <c r="R61" s="215">
        <f>127147.65+173776</f>
        <v>300923.65000000002</v>
      </c>
      <c r="S61" s="215">
        <f>35592.4+31931.61</f>
        <v>67524.010000000009</v>
      </c>
      <c r="T61" s="215"/>
      <c r="U61" s="215"/>
      <c r="V61" s="215"/>
      <c r="W61" s="215"/>
      <c r="X61" s="215"/>
      <c r="Y61" s="215"/>
      <c r="Z61" s="215"/>
      <c r="AA61" s="215"/>
      <c r="AB61" s="215">
        <v>261189.34</v>
      </c>
      <c r="AC61" s="215"/>
      <c r="AD61" s="215"/>
      <c r="AE61" s="215"/>
      <c r="AF61" s="215"/>
      <c r="AG61" s="215"/>
      <c r="AH61" s="215"/>
      <c r="AI61" s="216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</row>
    <row r="62" spans="1:50" s="119" customFormat="1" ht="18" customHeight="1" thickBot="1" x14ac:dyDescent="0.35">
      <c r="A62" s="136" t="s">
        <v>56</v>
      </c>
      <c r="B62" s="135" t="s">
        <v>234</v>
      </c>
      <c r="C62" s="277">
        <v>274070</v>
      </c>
      <c r="D62" s="136"/>
      <c r="E62" s="187">
        <f t="shared" si="0"/>
        <v>274070</v>
      </c>
      <c r="F62" s="187">
        <f t="shared" si="1"/>
        <v>274070</v>
      </c>
      <c r="G62" s="187">
        <f t="shared" si="2"/>
        <v>0</v>
      </c>
      <c r="H62" s="214"/>
      <c r="I62" s="215"/>
      <c r="J62" s="215"/>
      <c r="K62" s="215"/>
      <c r="L62" s="215">
        <v>60397.79</v>
      </c>
      <c r="M62" s="215"/>
      <c r="N62" s="215"/>
      <c r="O62" s="215">
        <v>38806.03</v>
      </c>
      <c r="P62" s="215">
        <v>54946.51</v>
      </c>
      <c r="Q62" s="215">
        <v>19468.759999999998</v>
      </c>
      <c r="R62" s="215">
        <v>19468.38</v>
      </c>
      <c r="S62" s="215">
        <v>27188.34</v>
      </c>
      <c r="T62" s="215"/>
      <c r="U62" s="215"/>
      <c r="V62" s="215"/>
      <c r="W62" s="215">
        <v>43908.14</v>
      </c>
      <c r="X62" s="215"/>
      <c r="Y62" s="215">
        <v>9886.0499999999993</v>
      </c>
      <c r="Z62" s="215"/>
      <c r="AA62" s="215"/>
      <c r="AB62" s="215"/>
      <c r="AC62" s="215"/>
      <c r="AD62" s="215"/>
      <c r="AE62" s="215"/>
      <c r="AF62" s="215"/>
      <c r="AG62" s="215"/>
      <c r="AH62" s="215"/>
      <c r="AI62" s="216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</row>
    <row r="63" spans="1:50" s="119" customFormat="1" ht="18" customHeight="1" thickBot="1" x14ac:dyDescent="0.35">
      <c r="A63" s="136" t="s">
        <v>57</v>
      </c>
      <c r="B63" s="135" t="s">
        <v>235</v>
      </c>
      <c r="C63" s="277">
        <v>258249</v>
      </c>
      <c r="D63" s="136"/>
      <c r="E63" s="187">
        <f t="shared" si="0"/>
        <v>258249</v>
      </c>
      <c r="F63" s="187">
        <f t="shared" si="1"/>
        <v>258249</v>
      </c>
      <c r="G63" s="187">
        <f t="shared" si="2"/>
        <v>0</v>
      </c>
      <c r="H63" s="214"/>
      <c r="I63" s="215"/>
      <c r="J63" s="215"/>
      <c r="K63" s="215">
        <v>43959.34</v>
      </c>
      <c r="L63" s="215"/>
      <c r="M63" s="215">
        <f>13745.56+61261.1</f>
        <v>75006.66</v>
      </c>
      <c r="N63" s="215">
        <v>30416.12</v>
      </c>
      <c r="O63" s="215">
        <v>80914.06</v>
      </c>
      <c r="P63" s="215"/>
      <c r="Q63" s="215"/>
      <c r="R63" s="215"/>
      <c r="S63" s="215"/>
      <c r="T63" s="215"/>
      <c r="U63" s="215"/>
      <c r="V63" s="215"/>
      <c r="W63" s="215">
        <v>27952.82</v>
      </c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6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</row>
    <row r="64" spans="1:50" s="119" customFormat="1" ht="18" customHeight="1" thickBot="1" x14ac:dyDescent="0.35">
      <c r="A64" s="136" t="s">
        <v>58</v>
      </c>
      <c r="B64" s="135" t="s">
        <v>236</v>
      </c>
      <c r="C64" s="277">
        <v>1152969</v>
      </c>
      <c r="D64" s="136"/>
      <c r="E64" s="187">
        <f t="shared" si="0"/>
        <v>1152969</v>
      </c>
      <c r="F64" s="187">
        <f t="shared" si="1"/>
        <v>1152968.9999999998</v>
      </c>
      <c r="G64" s="187">
        <f t="shared" si="2"/>
        <v>0</v>
      </c>
      <c r="H64" s="214"/>
      <c r="I64" s="215"/>
      <c r="J64" s="215"/>
      <c r="K64" s="215"/>
      <c r="L64" s="215"/>
      <c r="M64" s="215"/>
      <c r="N64" s="215">
        <v>156340.15</v>
      </c>
      <c r="O64" s="215">
        <f>110015.99+47035.68</f>
        <v>157051.67000000001</v>
      </c>
      <c r="P64" s="215">
        <v>85815.42</v>
      </c>
      <c r="Q64" s="215">
        <v>102829.2</v>
      </c>
      <c r="R64" s="215">
        <v>86516.160000000003</v>
      </c>
      <c r="S64" s="215">
        <v>74473.11</v>
      </c>
      <c r="T64" s="215"/>
      <c r="U64" s="215">
        <v>49013.85</v>
      </c>
      <c r="V64" s="215">
        <v>80601.710000000006</v>
      </c>
      <c r="W64" s="215"/>
      <c r="X64" s="215">
        <v>318870.51</v>
      </c>
      <c r="Y64" s="215"/>
      <c r="Z64" s="215">
        <v>41457.22</v>
      </c>
      <c r="AA64" s="215"/>
      <c r="AB64" s="215"/>
      <c r="AC64" s="215"/>
      <c r="AD64" s="215"/>
      <c r="AE64" s="215"/>
      <c r="AF64" s="215"/>
      <c r="AG64" s="215"/>
      <c r="AH64" s="215"/>
      <c r="AI64" s="216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</row>
    <row r="65" spans="1:50" s="119" customFormat="1" ht="18" customHeight="1" thickBot="1" x14ac:dyDescent="0.35">
      <c r="A65" s="136" t="s">
        <v>59</v>
      </c>
      <c r="B65" s="135" t="s">
        <v>237</v>
      </c>
      <c r="C65" s="277">
        <v>65149</v>
      </c>
      <c r="D65" s="136"/>
      <c r="E65" s="187">
        <f t="shared" si="0"/>
        <v>65149</v>
      </c>
      <c r="F65" s="187">
        <f t="shared" si="1"/>
        <v>65149</v>
      </c>
      <c r="G65" s="187">
        <f t="shared" si="2"/>
        <v>0</v>
      </c>
      <c r="H65" s="214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>
        <v>4712.53</v>
      </c>
      <c r="AD65" s="215"/>
      <c r="AE65" s="215">
        <v>47537</v>
      </c>
      <c r="AF65" s="215"/>
      <c r="AG65" s="215"/>
      <c r="AH65" s="215"/>
      <c r="AI65" s="216">
        <v>12899.47</v>
      </c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</row>
    <row r="66" spans="1:50" s="119" customFormat="1" ht="18" customHeight="1" thickBot="1" x14ac:dyDescent="0.35">
      <c r="A66" s="136" t="s">
        <v>60</v>
      </c>
      <c r="B66" s="135" t="s">
        <v>238</v>
      </c>
      <c r="C66" s="277">
        <v>19404</v>
      </c>
      <c r="D66" s="136"/>
      <c r="E66" s="187">
        <f t="shared" si="0"/>
        <v>19404</v>
      </c>
      <c r="F66" s="187">
        <f t="shared" si="1"/>
        <v>19404</v>
      </c>
      <c r="G66" s="187">
        <f t="shared" si="2"/>
        <v>0</v>
      </c>
      <c r="H66" s="214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>
        <f>5868+13536</f>
        <v>19404</v>
      </c>
      <c r="AE66" s="215"/>
      <c r="AF66" s="215"/>
      <c r="AG66" s="215"/>
      <c r="AH66" s="215"/>
      <c r="AI66" s="216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</row>
    <row r="67" spans="1:50" s="119" customFormat="1" ht="18" customHeight="1" thickBot="1" x14ac:dyDescent="0.35">
      <c r="A67" s="136" t="s">
        <v>61</v>
      </c>
      <c r="B67" s="135" t="s">
        <v>239</v>
      </c>
      <c r="C67" s="277">
        <v>335519</v>
      </c>
      <c r="D67" s="136"/>
      <c r="E67" s="187">
        <f t="shared" si="0"/>
        <v>335519</v>
      </c>
      <c r="F67" s="187">
        <f t="shared" si="1"/>
        <v>335519</v>
      </c>
      <c r="G67" s="187">
        <f t="shared" si="2"/>
        <v>0</v>
      </c>
      <c r="H67" s="214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>
        <v>175905.09</v>
      </c>
      <c r="U67" s="215">
        <v>29098.61</v>
      </c>
      <c r="V67" s="215"/>
      <c r="W67" s="215">
        <v>16263.3</v>
      </c>
      <c r="X67" s="215"/>
      <c r="Y67" s="215">
        <v>7115.22</v>
      </c>
      <c r="Z67" s="215"/>
      <c r="AA67" s="215">
        <v>17680.22</v>
      </c>
      <c r="AB67" s="215"/>
      <c r="AC67" s="215"/>
      <c r="AD67" s="215">
        <v>41143.269999999997</v>
      </c>
      <c r="AE67" s="215">
        <v>48313.29</v>
      </c>
      <c r="AF67" s="215"/>
      <c r="AG67" s="215"/>
      <c r="AH67" s="215"/>
      <c r="AI67" s="216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</row>
    <row r="68" spans="1:50" s="119" customFormat="1" ht="18" customHeight="1" thickBot="1" x14ac:dyDescent="0.35">
      <c r="A68" s="136" t="s">
        <v>62</v>
      </c>
      <c r="B68" s="135" t="s">
        <v>240</v>
      </c>
      <c r="C68" s="277">
        <v>36659</v>
      </c>
      <c r="D68" s="136"/>
      <c r="E68" s="187">
        <f t="shared" si="0"/>
        <v>36659</v>
      </c>
      <c r="F68" s="187">
        <f t="shared" si="1"/>
        <v>36659</v>
      </c>
      <c r="G68" s="187">
        <f t="shared" si="2"/>
        <v>0</v>
      </c>
      <c r="H68" s="214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>
        <v>27913.47</v>
      </c>
      <c r="T68" s="215"/>
      <c r="U68" s="215">
        <v>8745.5300000000007</v>
      </c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6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</row>
    <row r="69" spans="1:50" s="119" customFormat="1" ht="18" customHeight="1" thickBot="1" x14ac:dyDescent="0.35">
      <c r="A69" s="136" t="s">
        <v>63</v>
      </c>
      <c r="B69" s="135" t="s">
        <v>241</v>
      </c>
      <c r="C69" s="277">
        <v>17530</v>
      </c>
      <c r="D69" s="136"/>
      <c r="E69" s="187">
        <f t="shared" si="0"/>
        <v>17530</v>
      </c>
      <c r="F69" s="187">
        <f t="shared" si="1"/>
        <v>17530</v>
      </c>
      <c r="G69" s="187">
        <f t="shared" si="2"/>
        <v>0</v>
      </c>
      <c r="H69" s="214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>
        <v>8928</v>
      </c>
      <c r="X69" s="215"/>
      <c r="Y69" s="215">
        <v>5781.62</v>
      </c>
      <c r="Z69" s="215"/>
      <c r="AA69" s="215"/>
      <c r="AB69" s="215"/>
      <c r="AC69" s="215">
        <v>2820.38</v>
      </c>
      <c r="AD69" s="215"/>
      <c r="AE69" s="215"/>
      <c r="AF69" s="215"/>
      <c r="AG69" s="215"/>
      <c r="AH69" s="215"/>
      <c r="AI69" s="216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</row>
    <row r="70" spans="1:50" s="119" customFormat="1" ht="18" customHeight="1" thickBot="1" x14ac:dyDescent="0.35">
      <c r="A70" s="136" t="s">
        <v>64</v>
      </c>
      <c r="B70" s="135" t="s">
        <v>242</v>
      </c>
      <c r="C70" s="277">
        <v>11293</v>
      </c>
      <c r="D70" s="136"/>
      <c r="E70" s="187">
        <f t="shared" si="0"/>
        <v>11293</v>
      </c>
      <c r="F70" s="187">
        <f t="shared" si="1"/>
        <v>11293</v>
      </c>
      <c r="G70" s="187">
        <f t="shared" si="2"/>
        <v>0</v>
      </c>
      <c r="H70" s="214"/>
      <c r="I70" s="215"/>
      <c r="J70" s="215"/>
      <c r="K70" s="215"/>
      <c r="L70" s="215"/>
      <c r="M70" s="215"/>
      <c r="N70" s="217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>
        <v>11293</v>
      </c>
      <c r="AB70" s="215"/>
      <c r="AC70" s="215"/>
      <c r="AD70" s="215"/>
      <c r="AE70" s="215"/>
      <c r="AF70" s="215"/>
      <c r="AG70" s="215"/>
      <c r="AH70" s="215"/>
      <c r="AI70" s="216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</row>
    <row r="71" spans="1:50" s="119" customFormat="1" ht="18" customHeight="1" thickBot="1" x14ac:dyDescent="0.35">
      <c r="A71" s="136" t="s">
        <v>65</v>
      </c>
      <c r="B71" s="135" t="s">
        <v>243</v>
      </c>
      <c r="C71" s="277">
        <v>92118</v>
      </c>
      <c r="D71" s="136"/>
      <c r="E71" s="187">
        <f t="shared" si="0"/>
        <v>92118</v>
      </c>
      <c r="F71" s="187">
        <f t="shared" si="1"/>
        <v>92118</v>
      </c>
      <c r="G71" s="187">
        <f t="shared" si="2"/>
        <v>0</v>
      </c>
      <c r="H71" s="214"/>
      <c r="I71" s="215"/>
      <c r="J71" s="215"/>
      <c r="K71" s="215"/>
      <c r="L71" s="215"/>
      <c r="M71" s="215"/>
      <c r="N71" s="215">
        <v>9347.5499999999993</v>
      </c>
      <c r="O71" s="215">
        <v>4164.87</v>
      </c>
      <c r="P71" s="215"/>
      <c r="Q71" s="215"/>
      <c r="R71" s="215">
        <v>14774.4</v>
      </c>
      <c r="S71" s="215">
        <v>4438.0600000000004</v>
      </c>
      <c r="T71" s="215">
        <v>4164.87</v>
      </c>
      <c r="U71" s="215"/>
      <c r="V71" s="215"/>
      <c r="W71" s="215"/>
      <c r="X71" s="215"/>
      <c r="Y71" s="215"/>
      <c r="Z71" s="215"/>
      <c r="AA71" s="215"/>
      <c r="AB71" s="215"/>
      <c r="AC71" s="215"/>
      <c r="AD71" s="215">
        <v>55228.25</v>
      </c>
      <c r="AE71" s="215"/>
      <c r="AF71" s="215"/>
      <c r="AG71" s="215"/>
      <c r="AH71" s="215"/>
      <c r="AI71" s="216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</row>
    <row r="72" spans="1:50" s="119" customFormat="1" ht="18" customHeight="1" thickBot="1" x14ac:dyDescent="0.35">
      <c r="A72" s="136" t="s">
        <v>66</v>
      </c>
      <c r="B72" s="135" t="s">
        <v>244</v>
      </c>
      <c r="C72" s="277">
        <v>319994</v>
      </c>
      <c r="D72" s="136"/>
      <c r="E72" s="187">
        <f t="shared" si="0"/>
        <v>319994</v>
      </c>
      <c r="F72" s="187">
        <f t="shared" si="1"/>
        <v>319994</v>
      </c>
      <c r="G72" s="187">
        <f t="shared" si="2"/>
        <v>0</v>
      </c>
      <c r="H72" s="214"/>
      <c r="I72" s="215"/>
      <c r="J72" s="215"/>
      <c r="K72" s="215"/>
      <c r="L72" s="215"/>
      <c r="M72" s="215"/>
      <c r="O72" s="215"/>
      <c r="P72" s="215"/>
      <c r="Q72" s="215">
        <v>19070</v>
      </c>
      <c r="R72" s="215"/>
      <c r="S72" s="215">
        <v>35576</v>
      </c>
      <c r="T72" s="215"/>
      <c r="U72" s="215"/>
      <c r="V72" s="215">
        <v>66313</v>
      </c>
      <c r="W72" s="215"/>
      <c r="X72" s="215">
        <v>27337</v>
      </c>
      <c r="Y72" s="215"/>
      <c r="Z72" s="215"/>
      <c r="AA72" s="215"/>
      <c r="AB72" s="215">
        <v>77184</v>
      </c>
      <c r="AC72" s="215"/>
      <c r="AD72" s="215">
        <v>50778</v>
      </c>
      <c r="AE72" s="215">
        <v>43736</v>
      </c>
      <c r="AF72" s="215"/>
      <c r="AG72" s="215"/>
      <c r="AH72" s="215"/>
      <c r="AI72" s="216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</row>
    <row r="73" spans="1:50" s="119" customFormat="1" ht="18" customHeight="1" thickBot="1" x14ac:dyDescent="0.35">
      <c r="A73" s="136" t="s">
        <v>67</v>
      </c>
      <c r="B73" s="135" t="s">
        <v>245</v>
      </c>
      <c r="C73" s="277">
        <v>3197</v>
      </c>
      <c r="D73" s="136"/>
      <c r="E73" s="187">
        <f t="shared" si="0"/>
        <v>3197</v>
      </c>
      <c r="F73" s="187">
        <f t="shared" si="1"/>
        <v>3197</v>
      </c>
      <c r="G73" s="187">
        <f t="shared" si="2"/>
        <v>0</v>
      </c>
      <c r="H73" s="214"/>
      <c r="I73" s="215"/>
      <c r="J73" s="215"/>
      <c r="K73" s="215"/>
      <c r="L73" s="215"/>
      <c r="M73" s="215"/>
      <c r="N73" s="215">
        <v>3197</v>
      </c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6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</row>
    <row r="74" spans="1:50" s="119" customFormat="1" ht="18" customHeight="1" thickBot="1" x14ac:dyDescent="0.35">
      <c r="A74" s="136" t="s">
        <v>68</v>
      </c>
      <c r="B74" s="135" t="s">
        <v>246</v>
      </c>
      <c r="C74" s="277">
        <v>16419</v>
      </c>
      <c r="D74" s="136"/>
      <c r="E74" s="187">
        <f t="shared" si="0"/>
        <v>16419</v>
      </c>
      <c r="F74" s="187">
        <f t="shared" si="1"/>
        <v>16419</v>
      </c>
      <c r="G74" s="187">
        <f t="shared" si="2"/>
        <v>0</v>
      </c>
      <c r="H74" s="214"/>
      <c r="I74" s="215"/>
      <c r="J74" s="215"/>
      <c r="K74" s="215"/>
      <c r="L74" s="215">
        <v>16245</v>
      </c>
      <c r="M74" s="215"/>
      <c r="N74" s="217"/>
      <c r="O74" s="215"/>
      <c r="P74" s="215"/>
      <c r="Q74" s="215"/>
      <c r="R74" s="215"/>
      <c r="S74" s="215">
        <v>174</v>
      </c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6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</row>
    <row r="75" spans="1:50" s="119" customFormat="1" ht="18" customHeight="1" thickBot="1" x14ac:dyDescent="0.35">
      <c r="A75" s="136" t="s">
        <v>69</v>
      </c>
      <c r="B75" s="135" t="s">
        <v>247</v>
      </c>
      <c r="C75" s="277">
        <v>163363</v>
      </c>
      <c r="D75" s="136"/>
      <c r="E75" s="187">
        <f t="shared" si="0"/>
        <v>163363</v>
      </c>
      <c r="F75" s="187">
        <f t="shared" si="1"/>
        <v>163363</v>
      </c>
      <c r="G75" s="187">
        <f t="shared" si="2"/>
        <v>0</v>
      </c>
      <c r="H75" s="214"/>
      <c r="I75" s="215"/>
      <c r="J75" s="215"/>
      <c r="K75" s="215"/>
      <c r="L75" s="215"/>
      <c r="M75" s="215"/>
      <c r="N75" s="215"/>
      <c r="O75" s="215"/>
      <c r="P75" s="215">
        <v>31524</v>
      </c>
      <c r="Q75" s="215">
        <v>7139</v>
      </c>
      <c r="R75" s="215"/>
      <c r="S75" s="215">
        <v>27891</v>
      </c>
      <c r="T75" s="215">
        <v>26232</v>
      </c>
      <c r="U75" s="215">
        <v>669</v>
      </c>
      <c r="V75" s="215"/>
      <c r="W75" s="215"/>
      <c r="X75" s="215">
        <v>56113</v>
      </c>
      <c r="Y75" s="215"/>
      <c r="Z75" s="215">
        <v>13795</v>
      </c>
      <c r="AA75" s="215"/>
      <c r="AB75" s="215"/>
      <c r="AC75" s="215"/>
      <c r="AD75" s="215"/>
      <c r="AE75" s="215"/>
      <c r="AF75" s="215"/>
      <c r="AG75" s="215"/>
      <c r="AH75" s="215"/>
      <c r="AI75" s="216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</row>
    <row r="76" spans="1:50" s="119" customFormat="1" ht="18" customHeight="1" thickBot="1" x14ac:dyDescent="0.35">
      <c r="A76" s="136" t="s">
        <v>70</v>
      </c>
      <c r="B76" s="135" t="s">
        <v>248</v>
      </c>
      <c r="C76" s="277">
        <v>62652</v>
      </c>
      <c r="D76" s="136"/>
      <c r="E76" s="187">
        <f t="shared" si="0"/>
        <v>62652</v>
      </c>
      <c r="F76" s="187">
        <f t="shared" si="1"/>
        <v>62652</v>
      </c>
      <c r="G76" s="187">
        <f t="shared" si="2"/>
        <v>0</v>
      </c>
      <c r="H76" s="214"/>
      <c r="I76" s="215"/>
      <c r="J76" s="215"/>
      <c r="K76" s="215">
        <f>3676.49+4176.49</f>
        <v>7852.98</v>
      </c>
      <c r="L76" s="215"/>
      <c r="M76" s="215">
        <f>8364.94+4476.49</f>
        <v>12841.43</v>
      </c>
      <c r="N76" s="215"/>
      <c r="O76" s="215">
        <v>4353.99</v>
      </c>
      <c r="P76" s="215"/>
      <c r="Q76" s="215">
        <v>11282.75</v>
      </c>
      <c r="R76" s="215"/>
      <c r="S76" s="190"/>
      <c r="T76" s="215">
        <v>14498.61</v>
      </c>
      <c r="U76" s="215"/>
      <c r="V76" s="215"/>
      <c r="W76" s="215">
        <v>4063.88</v>
      </c>
      <c r="X76" s="215"/>
      <c r="Y76" s="215"/>
      <c r="Z76" s="215"/>
      <c r="AA76" s="215"/>
      <c r="AB76" s="215"/>
      <c r="AC76" s="215"/>
      <c r="AD76" s="215">
        <v>7758.36</v>
      </c>
      <c r="AE76" s="215"/>
      <c r="AF76" s="215"/>
      <c r="AG76" s="215"/>
      <c r="AH76" s="215"/>
      <c r="AI76" s="216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</row>
    <row r="77" spans="1:50" s="119" customFormat="1" ht="18" customHeight="1" thickBot="1" x14ac:dyDescent="0.35">
      <c r="A77" s="136" t="s">
        <v>71</v>
      </c>
      <c r="B77" s="135" t="s">
        <v>249</v>
      </c>
      <c r="C77" s="277">
        <v>9923</v>
      </c>
      <c r="D77" s="136"/>
      <c r="E77" s="187">
        <f t="shared" ref="E77:E140" si="3">C77</f>
        <v>9923</v>
      </c>
      <c r="F77" s="187">
        <f t="shared" ref="F77:F140" si="4">SUM(H77:AV77)</f>
        <v>9923</v>
      </c>
      <c r="G77" s="187">
        <f t="shared" ref="G77:G140" si="5">E77-(F77+AW77+AX77)</f>
        <v>0</v>
      </c>
      <c r="H77" s="214"/>
      <c r="I77" s="215"/>
      <c r="J77" s="215"/>
      <c r="K77" s="215"/>
      <c r="L77" s="215"/>
      <c r="M77" s="215"/>
      <c r="N77" s="215"/>
      <c r="O77" s="215"/>
      <c r="P77" s="215"/>
      <c r="Q77" s="215"/>
      <c r="R77" s="199">
        <v>9923</v>
      </c>
      <c r="S77" s="190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6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</row>
    <row r="78" spans="1:50" s="119" customFormat="1" ht="18" customHeight="1" thickBot="1" x14ac:dyDescent="0.35">
      <c r="A78" s="136" t="s">
        <v>72</v>
      </c>
      <c r="B78" s="135" t="s">
        <v>250</v>
      </c>
      <c r="C78" s="277">
        <v>121388</v>
      </c>
      <c r="D78" s="136"/>
      <c r="E78" s="187">
        <f t="shared" si="3"/>
        <v>121388</v>
      </c>
      <c r="F78" s="187">
        <f t="shared" si="4"/>
        <v>121388</v>
      </c>
      <c r="G78" s="187">
        <f t="shared" si="5"/>
        <v>0</v>
      </c>
      <c r="H78" s="214"/>
      <c r="I78" s="215"/>
      <c r="J78" s="215"/>
      <c r="K78" s="215"/>
      <c r="L78" s="215"/>
      <c r="M78" s="215"/>
      <c r="N78" s="215"/>
      <c r="O78" s="215">
        <v>39323</v>
      </c>
      <c r="P78" s="215"/>
      <c r="Q78" s="215"/>
      <c r="R78" s="199"/>
      <c r="S78" s="199">
        <v>49574.7</v>
      </c>
      <c r="T78" s="215"/>
      <c r="U78" s="215"/>
      <c r="V78" s="215"/>
      <c r="W78" s="215"/>
      <c r="X78" s="215">
        <v>32490.3</v>
      </c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6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7"/>
    </row>
    <row r="79" spans="1:50" s="119" customFormat="1" ht="18" customHeight="1" thickBot="1" x14ac:dyDescent="0.35">
      <c r="A79" s="136" t="s">
        <v>73</v>
      </c>
      <c r="B79" s="135" t="s">
        <v>251</v>
      </c>
      <c r="C79" s="277">
        <v>119835</v>
      </c>
      <c r="D79" s="136"/>
      <c r="E79" s="187">
        <f t="shared" si="3"/>
        <v>119835</v>
      </c>
      <c r="F79" s="187">
        <f t="shared" si="4"/>
        <v>119835</v>
      </c>
      <c r="G79" s="187">
        <f t="shared" si="5"/>
        <v>0</v>
      </c>
      <c r="H79" s="214"/>
      <c r="I79" s="215"/>
      <c r="J79" s="215"/>
      <c r="K79" s="215"/>
      <c r="L79" s="215"/>
      <c r="M79" s="215"/>
      <c r="N79" s="215"/>
      <c r="O79" s="215"/>
      <c r="P79" s="215"/>
      <c r="Q79" s="215"/>
      <c r="R79" s="190"/>
      <c r="S79" s="199">
        <v>117382.25</v>
      </c>
      <c r="T79" s="215"/>
      <c r="U79" s="215"/>
      <c r="V79" s="215"/>
      <c r="W79" s="215">
        <v>2452.75</v>
      </c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6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</row>
    <row r="80" spans="1:50" s="119" customFormat="1" ht="18" customHeight="1" thickBot="1" x14ac:dyDescent="0.35">
      <c r="A80" s="136" t="s">
        <v>74</v>
      </c>
      <c r="B80" s="135" t="s">
        <v>252</v>
      </c>
      <c r="C80" s="277">
        <v>30827</v>
      </c>
      <c r="D80" s="136"/>
      <c r="E80" s="187">
        <f t="shared" si="3"/>
        <v>30827</v>
      </c>
      <c r="F80" s="187">
        <f t="shared" si="4"/>
        <v>30827</v>
      </c>
      <c r="G80" s="187">
        <f t="shared" si="5"/>
        <v>0</v>
      </c>
      <c r="H80" s="214"/>
      <c r="I80" s="215"/>
      <c r="J80" s="215"/>
      <c r="K80" s="215"/>
      <c r="L80" s="215"/>
      <c r="M80" s="215"/>
      <c r="N80" s="215"/>
      <c r="O80" s="215"/>
      <c r="P80" s="215"/>
      <c r="Q80" s="215"/>
      <c r="R80" s="199"/>
      <c r="S80" s="199"/>
      <c r="T80" s="215"/>
      <c r="U80" s="215"/>
      <c r="V80" s="215">
        <v>30635</v>
      </c>
      <c r="W80" s="215"/>
      <c r="X80" s="215"/>
      <c r="Y80" s="215"/>
      <c r="Z80" s="215"/>
      <c r="AA80" s="215">
        <v>192</v>
      </c>
      <c r="AB80" s="215"/>
      <c r="AC80" s="215"/>
      <c r="AD80" s="215"/>
      <c r="AE80" s="215"/>
      <c r="AF80" s="215"/>
      <c r="AG80" s="215"/>
      <c r="AH80" s="215"/>
      <c r="AI80" s="216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</row>
    <row r="81" spans="1:50" s="119" customFormat="1" ht="18" customHeight="1" thickBot="1" x14ac:dyDescent="0.35">
      <c r="A81" s="136" t="s">
        <v>75</v>
      </c>
      <c r="B81" s="135" t="s">
        <v>253</v>
      </c>
      <c r="C81" s="277">
        <v>6608</v>
      </c>
      <c r="D81" s="136"/>
      <c r="E81" s="187">
        <f t="shared" si="3"/>
        <v>6608</v>
      </c>
      <c r="F81" s="187">
        <f t="shared" si="4"/>
        <v>6608</v>
      </c>
      <c r="G81" s="187">
        <f t="shared" si="5"/>
        <v>0</v>
      </c>
      <c r="H81" s="214"/>
      <c r="I81" s="215"/>
      <c r="J81" s="215"/>
      <c r="K81" s="215"/>
      <c r="L81" s="215"/>
      <c r="M81" s="215"/>
      <c r="N81" s="215"/>
      <c r="O81" s="215"/>
      <c r="P81" s="215">
        <v>2119</v>
      </c>
      <c r="Q81" s="215"/>
      <c r="R81" s="199">
        <v>1500</v>
      </c>
      <c r="S81" s="199"/>
      <c r="T81" s="215"/>
      <c r="U81" s="215"/>
      <c r="V81" s="215"/>
      <c r="W81" s="215">
        <v>2989</v>
      </c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6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7"/>
    </row>
    <row r="82" spans="1:50" s="119" customFormat="1" ht="18" customHeight="1" thickBot="1" x14ac:dyDescent="0.35">
      <c r="A82" s="136" t="s">
        <v>76</v>
      </c>
      <c r="B82" s="135" t="s">
        <v>254</v>
      </c>
      <c r="C82" s="277">
        <v>17488</v>
      </c>
      <c r="D82" s="136"/>
      <c r="E82" s="187">
        <f t="shared" si="3"/>
        <v>17488</v>
      </c>
      <c r="F82" s="187">
        <f t="shared" si="4"/>
        <v>17488</v>
      </c>
      <c r="G82" s="187">
        <f t="shared" si="5"/>
        <v>0</v>
      </c>
      <c r="H82" s="214"/>
      <c r="I82" s="215"/>
      <c r="J82" s="215"/>
      <c r="K82" s="215"/>
      <c r="L82" s="215"/>
      <c r="M82" s="215"/>
      <c r="O82" s="215"/>
      <c r="P82" s="215"/>
      <c r="Q82" s="215"/>
      <c r="R82" s="199"/>
      <c r="S82" s="199">
        <v>17488</v>
      </c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6"/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  <c r="AW82" s="217"/>
      <c r="AX82" s="217"/>
    </row>
    <row r="83" spans="1:50" s="119" customFormat="1" ht="18" customHeight="1" thickBot="1" x14ac:dyDescent="0.35">
      <c r="A83" s="136" t="s">
        <v>77</v>
      </c>
      <c r="B83" s="135" t="s">
        <v>255</v>
      </c>
      <c r="C83" s="277">
        <v>27423</v>
      </c>
      <c r="D83" s="136"/>
      <c r="E83" s="187">
        <f t="shared" si="3"/>
        <v>27423</v>
      </c>
      <c r="F83" s="187">
        <f t="shared" si="4"/>
        <v>27423</v>
      </c>
      <c r="G83" s="187">
        <f t="shared" si="5"/>
        <v>0</v>
      </c>
      <c r="H83" s="214"/>
      <c r="I83" s="215"/>
      <c r="J83" s="215"/>
      <c r="K83" s="215"/>
      <c r="L83" s="215"/>
      <c r="M83" s="215">
        <v>6250</v>
      </c>
      <c r="N83" s="215"/>
      <c r="O83" s="215">
        <v>3400</v>
      </c>
      <c r="P83" s="215"/>
      <c r="Q83" s="215">
        <v>6259.8</v>
      </c>
      <c r="R83" s="199"/>
      <c r="S83" s="199"/>
      <c r="T83" s="215"/>
      <c r="U83" s="215"/>
      <c r="V83" s="215"/>
      <c r="W83" s="215"/>
      <c r="X83" s="215"/>
      <c r="Y83" s="215"/>
      <c r="Z83" s="215">
        <v>3130</v>
      </c>
      <c r="AA83" s="215"/>
      <c r="AB83" s="215"/>
      <c r="AC83" s="215"/>
      <c r="AD83" s="215">
        <f>5500+2883.2</f>
        <v>8383.2000000000007</v>
      </c>
      <c r="AE83" s="215"/>
      <c r="AF83" s="215"/>
      <c r="AG83" s="215"/>
      <c r="AH83" s="215"/>
      <c r="AI83" s="216"/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  <c r="AW83" s="217"/>
      <c r="AX83" s="217"/>
    </row>
    <row r="84" spans="1:50" s="119" customFormat="1" ht="18" customHeight="1" thickBot="1" x14ac:dyDescent="0.35">
      <c r="A84" s="136" t="s">
        <v>78</v>
      </c>
      <c r="B84" s="135" t="s">
        <v>256</v>
      </c>
      <c r="C84" s="277">
        <v>46090</v>
      </c>
      <c r="D84" s="136"/>
      <c r="E84" s="187">
        <f t="shared" si="3"/>
        <v>46090</v>
      </c>
      <c r="F84" s="187">
        <f t="shared" si="4"/>
        <v>46090</v>
      </c>
      <c r="G84" s="187">
        <f t="shared" si="5"/>
        <v>0</v>
      </c>
      <c r="H84" s="214"/>
      <c r="I84" s="215"/>
      <c r="J84" s="215"/>
      <c r="K84" s="215"/>
      <c r="L84" s="215"/>
      <c r="M84" s="215"/>
      <c r="N84" s="215"/>
      <c r="O84" s="215">
        <v>19469.939999999999</v>
      </c>
      <c r="P84" s="215"/>
      <c r="Q84" s="215"/>
      <c r="R84" s="199">
        <v>90.26</v>
      </c>
      <c r="S84" s="199">
        <v>22990.799999999999</v>
      </c>
      <c r="T84" s="215"/>
      <c r="U84" s="215"/>
      <c r="V84" s="215"/>
      <c r="W84" s="215"/>
      <c r="X84" s="215"/>
      <c r="Y84" s="215"/>
      <c r="Z84" s="215"/>
      <c r="AA84" s="215">
        <v>3539</v>
      </c>
      <c r="AB84" s="215"/>
      <c r="AC84" s="215"/>
      <c r="AD84" s="215"/>
      <c r="AE84" s="215"/>
      <c r="AF84" s="215"/>
      <c r="AG84" s="215"/>
      <c r="AH84" s="215"/>
      <c r="AI84" s="216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</row>
    <row r="85" spans="1:50" s="119" customFormat="1" ht="18" customHeight="1" thickBot="1" x14ac:dyDescent="0.35">
      <c r="A85" s="136" t="s">
        <v>79</v>
      </c>
      <c r="B85" s="135" t="s">
        <v>257</v>
      </c>
      <c r="C85" s="277">
        <v>3345</v>
      </c>
      <c r="D85" s="136"/>
      <c r="E85" s="187">
        <f t="shared" si="3"/>
        <v>3345</v>
      </c>
      <c r="F85" s="187">
        <f t="shared" si="4"/>
        <v>3345</v>
      </c>
      <c r="G85" s="187">
        <f t="shared" si="5"/>
        <v>0</v>
      </c>
      <c r="H85" s="214"/>
      <c r="I85" s="215"/>
      <c r="J85" s="215"/>
      <c r="K85" s="215"/>
      <c r="L85" s="215"/>
      <c r="M85" s="215"/>
      <c r="N85" s="215"/>
      <c r="O85" s="215"/>
      <c r="P85" s="215"/>
      <c r="Q85" s="215"/>
      <c r="R85" s="199">
        <v>3288</v>
      </c>
      <c r="S85" s="199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>
        <v>57</v>
      </c>
      <c r="AE85" s="215"/>
      <c r="AF85" s="215"/>
      <c r="AG85" s="215"/>
      <c r="AH85" s="215"/>
      <c r="AI85" s="216"/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  <c r="AW85" s="217"/>
      <c r="AX85" s="217"/>
    </row>
    <row r="86" spans="1:50" s="119" customFormat="1" ht="18" customHeight="1" thickBot="1" x14ac:dyDescent="0.35">
      <c r="A86" s="136" t="s">
        <v>80</v>
      </c>
      <c r="B86" s="135" t="s">
        <v>258</v>
      </c>
      <c r="C86" s="277">
        <v>37778</v>
      </c>
      <c r="D86" s="136"/>
      <c r="E86" s="187">
        <f t="shared" si="3"/>
        <v>37778</v>
      </c>
      <c r="F86" s="187">
        <f t="shared" si="4"/>
        <v>37778</v>
      </c>
      <c r="G86" s="187">
        <f t="shared" si="5"/>
        <v>0</v>
      </c>
      <c r="H86" s="214"/>
      <c r="I86" s="215"/>
      <c r="J86" s="215"/>
      <c r="K86" s="215"/>
      <c r="L86" s="215"/>
      <c r="M86" s="215">
        <f>11492.46+1491.01+8451.28</f>
        <v>21434.75</v>
      </c>
      <c r="N86" s="215"/>
      <c r="O86" s="215">
        <v>14086.75</v>
      </c>
      <c r="P86" s="215">
        <v>2256.5</v>
      </c>
      <c r="Q86" s="215"/>
      <c r="R86" s="199"/>
      <c r="S86" s="199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6"/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  <c r="AW86" s="217"/>
      <c r="AX86" s="217"/>
    </row>
    <row r="87" spans="1:50" s="119" customFormat="1" ht="18" customHeight="1" thickBot="1" x14ac:dyDescent="0.35">
      <c r="A87" s="136" t="s">
        <v>81</v>
      </c>
      <c r="B87" s="135" t="s">
        <v>259</v>
      </c>
      <c r="C87" s="277">
        <v>12314</v>
      </c>
      <c r="D87" s="136"/>
      <c r="E87" s="187">
        <f t="shared" si="3"/>
        <v>12314</v>
      </c>
      <c r="F87" s="187">
        <f t="shared" si="4"/>
        <v>12314</v>
      </c>
      <c r="G87" s="187">
        <f t="shared" si="5"/>
        <v>0</v>
      </c>
      <c r="H87" s="214"/>
      <c r="I87" s="215"/>
      <c r="J87" s="215"/>
      <c r="K87" s="215">
        <v>1061</v>
      </c>
      <c r="L87" s="215">
        <v>1061</v>
      </c>
      <c r="M87" s="215">
        <v>1061</v>
      </c>
      <c r="N87" s="215">
        <v>1061</v>
      </c>
      <c r="O87" s="215">
        <v>1061</v>
      </c>
      <c r="P87" s="215">
        <v>1061</v>
      </c>
      <c r="Q87" s="215">
        <v>936</v>
      </c>
      <c r="R87" s="190">
        <v>1061</v>
      </c>
      <c r="S87" s="190">
        <v>1187</v>
      </c>
      <c r="T87" s="215">
        <v>1061</v>
      </c>
      <c r="U87" s="215">
        <v>1703</v>
      </c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6"/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  <c r="AW87" s="217"/>
      <c r="AX87" s="217"/>
    </row>
    <row r="88" spans="1:50" s="119" customFormat="1" ht="18" customHeight="1" thickBot="1" x14ac:dyDescent="0.35">
      <c r="A88" s="136" t="s">
        <v>82</v>
      </c>
      <c r="B88" s="135" t="s">
        <v>260</v>
      </c>
      <c r="C88" s="277">
        <v>8066</v>
      </c>
      <c r="D88" s="136"/>
      <c r="E88" s="187">
        <f t="shared" si="3"/>
        <v>8066</v>
      </c>
      <c r="F88" s="187">
        <f t="shared" si="4"/>
        <v>8066</v>
      </c>
      <c r="G88" s="187">
        <f t="shared" si="5"/>
        <v>0</v>
      </c>
      <c r="H88" s="214"/>
      <c r="I88" s="215"/>
      <c r="J88" s="215"/>
      <c r="K88" s="215"/>
      <c r="L88" s="215"/>
      <c r="M88" s="215"/>
      <c r="N88" s="215"/>
      <c r="O88" s="215"/>
      <c r="P88" s="215"/>
      <c r="Q88" s="215"/>
      <c r="R88" s="199"/>
      <c r="S88" s="198"/>
      <c r="T88" s="215"/>
      <c r="U88" s="215"/>
      <c r="V88" s="215"/>
      <c r="W88" s="215"/>
      <c r="X88" s="215"/>
      <c r="Y88" s="215">
        <v>8066</v>
      </c>
      <c r="Z88" s="215"/>
      <c r="AA88" s="215"/>
      <c r="AB88" s="215"/>
      <c r="AC88" s="215"/>
      <c r="AD88" s="215"/>
      <c r="AE88" s="215"/>
      <c r="AF88" s="215"/>
      <c r="AG88" s="215"/>
      <c r="AH88" s="215"/>
      <c r="AI88" s="216"/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  <c r="AW88" s="217"/>
      <c r="AX88" s="217"/>
    </row>
    <row r="89" spans="1:50" s="119" customFormat="1" ht="18" customHeight="1" thickBot="1" x14ac:dyDescent="0.35">
      <c r="A89" s="136" t="s">
        <v>83</v>
      </c>
      <c r="B89" s="135" t="s">
        <v>261</v>
      </c>
      <c r="C89" s="277">
        <v>1540601</v>
      </c>
      <c r="D89" s="136"/>
      <c r="E89" s="187">
        <f t="shared" si="3"/>
        <v>1540601</v>
      </c>
      <c r="F89" s="187">
        <f t="shared" si="4"/>
        <v>1540601</v>
      </c>
      <c r="G89" s="187">
        <f t="shared" si="5"/>
        <v>0</v>
      </c>
      <c r="H89" s="214"/>
      <c r="I89" s="215"/>
      <c r="J89" s="215"/>
      <c r="K89" s="215"/>
      <c r="L89" s="215"/>
      <c r="M89" s="215"/>
      <c r="N89" s="215"/>
      <c r="O89" s="215">
        <v>46348.99</v>
      </c>
      <c r="P89" s="215">
        <v>153699.47</v>
      </c>
      <c r="Q89" s="215">
        <v>168717.97</v>
      </c>
      <c r="R89" s="190">
        <v>148519.78</v>
      </c>
      <c r="S89" s="190">
        <v>160425.28</v>
      </c>
      <c r="T89" s="215">
        <v>148552.21</v>
      </c>
      <c r="U89" s="215"/>
      <c r="V89" s="215">
        <v>210109.15</v>
      </c>
      <c r="W89" s="215"/>
      <c r="X89" s="215"/>
      <c r="Y89" s="215"/>
      <c r="Z89" s="215">
        <v>504228.15</v>
      </c>
      <c r="AA89" s="215"/>
      <c r="AB89" s="215"/>
      <c r="AC89" s="215"/>
      <c r="AD89" s="215"/>
      <c r="AE89" s="215"/>
      <c r="AF89" s="215"/>
      <c r="AG89" s="215"/>
      <c r="AH89" s="215"/>
      <c r="AI89" s="216"/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  <c r="AW89" s="217"/>
      <c r="AX89" s="217"/>
    </row>
    <row r="90" spans="1:50" s="119" customFormat="1" ht="18" customHeight="1" thickBot="1" x14ac:dyDescent="0.35">
      <c r="A90" s="136" t="s">
        <v>84</v>
      </c>
      <c r="B90" s="135" t="s">
        <v>262</v>
      </c>
      <c r="C90" s="277">
        <v>5812</v>
      </c>
      <c r="D90" s="136"/>
      <c r="E90" s="187">
        <f t="shared" si="3"/>
        <v>5812</v>
      </c>
      <c r="F90" s="187">
        <f t="shared" si="4"/>
        <v>5812</v>
      </c>
      <c r="G90" s="187">
        <f t="shared" si="5"/>
        <v>0</v>
      </c>
      <c r="H90" s="214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>
        <v>5812</v>
      </c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6"/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  <c r="AW90" s="217"/>
      <c r="AX90" s="217"/>
    </row>
    <row r="91" spans="1:50" s="119" customFormat="1" ht="18" customHeight="1" thickBot="1" x14ac:dyDescent="0.35">
      <c r="A91" s="136" t="s">
        <v>85</v>
      </c>
      <c r="B91" s="135" t="s">
        <v>263</v>
      </c>
      <c r="C91" s="277">
        <v>2285</v>
      </c>
      <c r="D91" s="136"/>
      <c r="E91" s="187">
        <f t="shared" si="3"/>
        <v>2285</v>
      </c>
      <c r="F91" s="187">
        <f t="shared" si="4"/>
        <v>2285</v>
      </c>
      <c r="G91" s="187">
        <f t="shared" si="5"/>
        <v>0</v>
      </c>
      <c r="H91" s="214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>
        <v>2285</v>
      </c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6"/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  <c r="AW91" s="217"/>
      <c r="AX91" s="217"/>
    </row>
    <row r="92" spans="1:50" s="119" customFormat="1" ht="18" customHeight="1" thickBot="1" x14ac:dyDescent="0.35">
      <c r="A92" s="136" t="s">
        <v>86</v>
      </c>
      <c r="B92" s="135" t="s">
        <v>264</v>
      </c>
      <c r="C92" s="277">
        <v>6233</v>
      </c>
      <c r="D92" s="136" t="s">
        <v>370</v>
      </c>
      <c r="E92" s="187">
        <v>0</v>
      </c>
      <c r="F92" s="187">
        <f t="shared" si="4"/>
        <v>0</v>
      </c>
      <c r="G92" s="187">
        <f t="shared" si="5"/>
        <v>0</v>
      </c>
      <c r="H92" s="214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6"/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  <c r="AW92" s="217"/>
      <c r="AX92" s="217"/>
    </row>
    <row r="93" spans="1:50" s="119" customFormat="1" ht="18" customHeight="1" thickBot="1" x14ac:dyDescent="0.35">
      <c r="A93" s="136" t="s">
        <v>87</v>
      </c>
      <c r="B93" s="135" t="s">
        <v>265</v>
      </c>
      <c r="C93" s="277">
        <v>3750</v>
      </c>
      <c r="D93" s="136" t="s">
        <v>370</v>
      </c>
      <c r="E93" s="187">
        <v>0</v>
      </c>
      <c r="F93" s="187">
        <f t="shared" si="4"/>
        <v>0</v>
      </c>
      <c r="G93" s="187">
        <f t="shared" si="5"/>
        <v>0</v>
      </c>
      <c r="H93" s="214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6"/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  <c r="AW93" s="217"/>
      <c r="AX93" s="217"/>
    </row>
    <row r="94" spans="1:50" s="119" customFormat="1" ht="18" customHeight="1" thickBot="1" x14ac:dyDescent="0.35">
      <c r="A94" s="136" t="s">
        <v>88</v>
      </c>
      <c r="B94" s="135" t="s">
        <v>266</v>
      </c>
      <c r="C94" s="277">
        <v>6243</v>
      </c>
      <c r="D94" s="136" t="s">
        <v>370</v>
      </c>
      <c r="E94" s="187">
        <v>0</v>
      </c>
      <c r="F94" s="187">
        <f t="shared" si="4"/>
        <v>0</v>
      </c>
      <c r="G94" s="187">
        <f t="shared" si="5"/>
        <v>0</v>
      </c>
      <c r="H94" s="214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6"/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  <c r="AW94" s="217"/>
      <c r="AX94" s="217"/>
    </row>
    <row r="95" spans="1:50" s="119" customFormat="1" ht="18" customHeight="1" thickBot="1" x14ac:dyDescent="0.35">
      <c r="A95" s="136" t="s">
        <v>89</v>
      </c>
      <c r="B95" s="135" t="s">
        <v>267</v>
      </c>
      <c r="C95" s="277">
        <v>2402</v>
      </c>
      <c r="D95" s="136" t="s">
        <v>370</v>
      </c>
      <c r="E95" s="187">
        <v>0</v>
      </c>
      <c r="F95" s="187">
        <f t="shared" si="4"/>
        <v>0</v>
      </c>
      <c r="G95" s="187">
        <f t="shared" si="5"/>
        <v>0</v>
      </c>
      <c r="H95" s="214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6"/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  <c r="AW95" s="217"/>
      <c r="AX95" s="217"/>
    </row>
    <row r="96" spans="1:50" s="119" customFormat="1" ht="18" customHeight="1" thickBot="1" x14ac:dyDescent="0.35">
      <c r="A96" s="136" t="s">
        <v>90</v>
      </c>
      <c r="B96" s="135" t="s">
        <v>268</v>
      </c>
      <c r="C96" s="277">
        <v>31565</v>
      </c>
      <c r="D96" s="136" t="s">
        <v>370</v>
      </c>
      <c r="E96" s="187">
        <v>0</v>
      </c>
      <c r="F96" s="187">
        <f t="shared" si="4"/>
        <v>0</v>
      </c>
      <c r="G96" s="187">
        <f t="shared" si="5"/>
        <v>0</v>
      </c>
      <c r="H96" s="214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6"/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  <c r="AW96" s="217"/>
      <c r="AX96" s="217"/>
    </row>
    <row r="97" spans="1:50" s="119" customFormat="1" ht="18" customHeight="1" thickBot="1" x14ac:dyDescent="0.35">
      <c r="A97" s="136" t="s">
        <v>91</v>
      </c>
      <c r="B97" s="135" t="s">
        <v>269</v>
      </c>
      <c r="C97" s="277">
        <v>38510</v>
      </c>
      <c r="D97" s="136"/>
      <c r="E97" s="187">
        <f t="shared" si="3"/>
        <v>38510</v>
      </c>
      <c r="F97" s="187">
        <f t="shared" si="4"/>
        <v>38510</v>
      </c>
      <c r="G97" s="187">
        <f t="shared" si="5"/>
        <v>0</v>
      </c>
      <c r="H97" s="214"/>
      <c r="I97" s="215"/>
      <c r="J97" s="215"/>
      <c r="K97" s="215"/>
      <c r="L97" s="215"/>
      <c r="M97" s="215">
        <v>6941</v>
      </c>
      <c r="N97" s="215"/>
      <c r="O97" s="215"/>
      <c r="P97" s="215"/>
      <c r="Q97" s="215">
        <v>6681</v>
      </c>
      <c r="R97" s="215">
        <v>6682</v>
      </c>
      <c r="S97" s="215">
        <f>3340+14866</f>
        <v>18206</v>
      </c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6"/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  <c r="AW97" s="217"/>
      <c r="AX97" s="217"/>
    </row>
    <row r="98" spans="1:50" s="119" customFormat="1" ht="18" customHeight="1" thickBot="1" x14ac:dyDescent="0.35">
      <c r="A98" s="136" t="s">
        <v>92</v>
      </c>
      <c r="B98" s="135" t="s">
        <v>270</v>
      </c>
      <c r="C98" s="277">
        <v>118137</v>
      </c>
      <c r="D98" s="136"/>
      <c r="E98" s="187">
        <f t="shared" si="3"/>
        <v>118137</v>
      </c>
      <c r="F98" s="187">
        <f t="shared" si="4"/>
        <v>118137</v>
      </c>
      <c r="G98" s="187">
        <f t="shared" si="5"/>
        <v>0</v>
      </c>
      <c r="H98" s="214"/>
      <c r="I98" s="215"/>
      <c r="J98" s="215"/>
      <c r="K98" s="215">
        <v>4371.28</v>
      </c>
      <c r="L98" s="215">
        <v>9470.6</v>
      </c>
      <c r="M98" s="215"/>
      <c r="N98" s="215"/>
      <c r="O98" s="215"/>
      <c r="P98" s="215"/>
      <c r="Q98" s="215"/>
      <c r="R98" s="215"/>
      <c r="S98" s="215"/>
      <c r="T98" s="215"/>
      <c r="U98" s="215">
        <v>77313.279999999999</v>
      </c>
      <c r="V98" s="215"/>
      <c r="W98" s="215">
        <v>26981.84</v>
      </c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6"/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  <c r="AW98" s="217"/>
      <c r="AX98" s="217"/>
    </row>
    <row r="99" spans="1:50" s="119" customFormat="1" ht="18" customHeight="1" thickBot="1" x14ac:dyDescent="0.35">
      <c r="A99" s="136" t="s">
        <v>93</v>
      </c>
      <c r="B99" s="135" t="s">
        <v>271</v>
      </c>
      <c r="C99" s="277">
        <v>29231</v>
      </c>
      <c r="D99" s="136"/>
      <c r="E99" s="187">
        <f t="shared" si="3"/>
        <v>29231</v>
      </c>
      <c r="F99" s="187">
        <f t="shared" si="4"/>
        <v>29231</v>
      </c>
      <c r="G99" s="187">
        <f t="shared" si="5"/>
        <v>0</v>
      </c>
      <c r="H99" s="214"/>
      <c r="I99" s="215"/>
      <c r="J99" s="215"/>
      <c r="K99" s="215"/>
      <c r="L99" s="215"/>
      <c r="M99" s="215"/>
      <c r="N99" s="215"/>
      <c r="O99" s="215"/>
      <c r="P99" s="215">
        <v>14670</v>
      </c>
      <c r="Q99" s="215"/>
      <c r="R99" s="215"/>
      <c r="S99" s="215">
        <v>4300</v>
      </c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>
        <v>10261</v>
      </c>
      <c r="AE99" s="215"/>
      <c r="AF99" s="215"/>
      <c r="AG99" s="215"/>
      <c r="AH99" s="215"/>
      <c r="AI99" s="216"/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  <c r="AW99" s="217"/>
      <c r="AX99" s="217"/>
    </row>
    <row r="100" spans="1:50" s="119" customFormat="1" ht="18" customHeight="1" thickBot="1" x14ac:dyDescent="0.35">
      <c r="A100" s="136" t="s">
        <v>94</v>
      </c>
      <c r="B100" s="135" t="s">
        <v>272</v>
      </c>
      <c r="C100" s="277">
        <v>22630</v>
      </c>
      <c r="D100" s="136"/>
      <c r="E100" s="187">
        <f t="shared" si="3"/>
        <v>22630</v>
      </c>
      <c r="F100" s="187">
        <f t="shared" si="4"/>
        <v>22630</v>
      </c>
      <c r="G100" s="187">
        <f t="shared" si="5"/>
        <v>0</v>
      </c>
      <c r="H100" s="214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>
        <v>22630</v>
      </c>
      <c r="AC100" s="215"/>
      <c r="AD100" s="215"/>
      <c r="AE100" s="215"/>
      <c r="AF100" s="215"/>
      <c r="AG100" s="215"/>
      <c r="AH100" s="215"/>
      <c r="AI100" s="216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  <c r="AW100" s="217"/>
      <c r="AX100" s="217"/>
    </row>
    <row r="101" spans="1:50" s="119" customFormat="1" ht="18" customHeight="1" thickBot="1" x14ac:dyDescent="0.35">
      <c r="A101" s="136" t="s">
        <v>95</v>
      </c>
      <c r="B101" s="135" t="s">
        <v>273</v>
      </c>
      <c r="C101" s="277">
        <v>546393</v>
      </c>
      <c r="D101" s="136"/>
      <c r="E101" s="187">
        <f t="shared" si="3"/>
        <v>546393</v>
      </c>
      <c r="F101" s="187">
        <f t="shared" si="4"/>
        <v>546393</v>
      </c>
      <c r="G101" s="187">
        <f t="shared" si="5"/>
        <v>0</v>
      </c>
      <c r="H101" s="214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>
        <v>31657.02</v>
      </c>
      <c r="S101" s="215">
        <v>56790.96</v>
      </c>
      <c r="T101" s="215"/>
      <c r="U101" s="215">
        <v>23391.88</v>
      </c>
      <c r="V101" s="215"/>
      <c r="W101" s="215"/>
      <c r="X101" s="215">
        <f>43741.14+60344.41</f>
        <v>104085.55</v>
      </c>
      <c r="Y101" s="215"/>
      <c r="Z101" s="215"/>
      <c r="AA101" s="215">
        <v>97870.97</v>
      </c>
      <c r="AB101" s="215"/>
      <c r="AC101" s="215"/>
      <c r="AD101" s="215">
        <v>232596.62</v>
      </c>
      <c r="AE101" s="215"/>
      <c r="AF101" s="215"/>
      <c r="AG101" s="215"/>
      <c r="AH101" s="215"/>
      <c r="AI101" s="216"/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  <c r="AW101" s="217"/>
      <c r="AX101" s="217"/>
    </row>
    <row r="102" spans="1:50" s="119" customFormat="1" ht="18" customHeight="1" thickBot="1" x14ac:dyDescent="0.35">
      <c r="A102" s="136" t="s">
        <v>96</v>
      </c>
      <c r="B102" s="135" t="s">
        <v>274</v>
      </c>
      <c r="C102" s="277">
        <v>355892</v>
      </c>
      <c r="D102" s="136"/>
      <c r="E102" s="187">
        <f t="shared" si="3"/>
        <v>355892</v>
      </c>
      <c r="F102" s="187">
        <f t="shared" si="4"/>
        <v>355892</v>
      </c>
      <c r="G102" s="187">
        <f t="shared" si="5"/>
        <v>0</v>
      </c>
      <c r="H102" s="214"/>
      <c r="I102" s="215"/>
      <c r="J102" s="215"/>
      <c r="K102" s="215"/>
      <c r="L102" s="215"/>
      <c r="M102" s="215"/>
      <c r="O102" s="215"/>
      <c r="P102" s="215"/>
      <c r="Q102" s="215">
        <v>13834.64</v>
      </c>
      <c r="R102" s="215">
        <v>21365.19</v>
      </c>
      <c r="S102" s="215">
        <v>23942.48</v>
      </c>
      <c r="T102" s="215">
        <v>37190.74</v>
      </c>
      <c r="U102" s="215">
        <v>16266.72</v>
      </c>
      <c r="V102" s="215">
        <v>17617.87</v>
      </c>
      <c r="W102" s="215"/>
      <c r="X102" s="215">
        <v>31410.54</v>
      </c>
      <c r="Y102" s="215"/>
      <c r="Z102" s="215">
        <v>16640.57</v>
      </c>
      <c r="AA102" s="215">
        <v>32933.300000000003</v>
      </c>
      <c r="AB102" s="215"/>
      <c r="AC102" s="215">
        <v>18864.060000000001</v>
      </c>
      <c r="AD102" s="215">
        <v>72021.45</v>
      </c>
      <c r="AE102" s="215"/>
      <c r="AF102" s="215">
        <v>53804.44</v>
      </c>
      <c r="AG102" s="215"/>
      <c r="AH102" s="215"/>
      <c r="AI102" s="216"/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  <c r="AW102" s="217"/>
      <c r="AX102" s="217"/>
    </row>
    <row r="103" spans="1:50" s="119" customFormat="1" ht="18" customHeight="1" thickBot="1" x14ac:dyDescent="0.35">
      <c r="A103" s="136" t="s">
        <v>97</v>
      </c>
      <c r="B103" s="135" t="s">
        <v>275</v>
      </c>
      <c r="C103" s="277">
        <v>48930</v>
      </c>
      <c r="D103" s="136"/>
      <c r="E103" s="187">
        <f t="shared" si="3"/>
        <v>48930</v>
      </c>
      <c r="F103" s="187">
        <f t="shared" si="4"/>
        <v>48929.999999999993</v>
      </c>
      <c r="G103" s="187">
        <f t="shared" si="5"/>
        <v>0</v>
      </c>
      <c r="H103" s="214"/>
      <c r="I103" s="215"/>
      <c r="J103" s="215">
        <v>3907.7</v>
      </c>
      <c r="K103" s="215">
        <v>972.99</v>
      </c>
      <c r="L103" s="215">
        <v>4335.9799999999996</v>
      </c>
      <c r="M103" s="215">
        <v>4778.28</v>
      </c>
      <c r="N103" s="215"/>
      <c r="O103" s="215">
        <v>1792.64</v>
      </c>
      <c r="P103" s="215">
        <v>6117.22</v>
      </c>
      <c r="Q103" s="215">
        <v>1807.26</v>
      </c>
      <c r="R103" s="215">
        <v>1807.26</v>
      </c>
      <c r="S103" s="215"/>
      <c r="T103" s="215">
        <f>1695+20478.74</f>
        <v>22173.74</v>
      </c>
      <c r="U103" s="215"/>
      <c r="V103" s="215"/>
      <c r="W103" s="215"/>
      <c r="X103" s="215"/>
      <c r="Y103" s="215"/>
      <c r="Z103" s="215">
        <v>1236.93</v>
      </c>
      <c r="AA103" s="215"/>
      <c r="AB103" s="215"/>
      <c r="AC103" s="215"/>
      <c r="AD103" s="215"/>
      <c r="AE103" s="215"/>
      <c r="AF103" s="215"/>
      <c r="AG103" s="215"/>
      <c r="AH103" s="215"/>
      <c r="AI103" s="216"/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  <c r="AW103" s="217"/>
      <c r="AX103" s="217"/>
    </row>
    <row r="104" spans="1:50" s="119" customFormat="1" ht="18" customHeight="1" thickBot="1" x14ac:dyDescent="0.35">
      <c r="A104" s="136" t="s">
        <v>98</v>
      </c>
      <c r="B104" s="135" t="s">
        <v>276</v>
      </c>
      <c r="C104" s="277">
        <v>77658</v>
      </c>
      <c r="D104" s="136"/>
      <c r="E104" s="187">
        <f t="shared" si="3"/>
        <v>77658</v>
      </c>
      <c r="F104" s="187">
        <f t="shared" si="4"/>
        <v>77658</v>
      </c>
      <c r="G104" s="187">
        <f t="shared" si="5"/>
        <v>0</v>
      </c>
      <c r="H104" s="214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>
        <v>57125.58</v>
      </c>
      <c r="T104" s="215">
        <v>9157</v>
      </c>
      <c r="U104" s="215"/>
      <c r="V104" s="215"/>
      <c r="W104" s="215"/>
      <c r="X104" s="215"/>
      <c r="Y104" s="215"/>
      <c r="Z104" s="215"/>
      <c r="AA104" s="215"/>
      <c r="AB104" s="215"/>
      <c r="AC104" s="215">
        <v>11375.42</v>
      </c>
      <c r="AD104" s="215"/>
      <c r="AE104" s="215"/>
      <c r="AF104" s="215"/>
      <c r="AG104" s="215"/>
      <c r="AH104" s="215"/>
      <c r="AI104" s="216"/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  <c r="AW104" s="217"/>
      <c r="AX104" s="217"/>
    </row>
    <row r="105" spans="1:50" s="119" customFormat="1" ht="18" customHeight="1" thickBot="1" x14ac:dyDescent="0.35">
      <c r="A105" s="136" t="s">
        <v>99</v>
      </c>
      <c r="B105" s="135" t="s">
        <v>277</v>
      </c>
      <c r="C105" s="277">
        <v>5470</v>
      </c>
      <c r="D105" s="136"/>
      <c r="E105" s="187">
        <f t="shared" si="3"/>
        <v>5470</v>
      </c>
      <c r="F105" s="187">
        <f t="shared" si="4"/>
        <v>5470</v>
      </c>
      <c r="G105" s="187">
        <f t="shared" si="5"/>
        <v>0</v>
      </c>
      <c r="H105" s="214"/>
      <c r="I105" s="215"/>
      <c r="J105" s="215"/>
      <c r="K105" s="215"/>
      <c r="L105" s="215"/>
      <c r="M105" s="215"/>
      <c r="N105" s="215"/>
      <c r="O105" s="215"/>
      <c r="P105" s="215"/>
      <c r="Q105" s="215">
        <v>5414</v>
      </c>
      <c r="R105" s="215"/>
      <c r="S105" s="198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>
        <v>56</v>
      </c>
      <c r="AF105" s="215"/>
      <c r="AG105" s="215"/>
      <c r="AH105" s="215"/>
      <c r="AI105" s="216"/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  <c r="AW105" s="217"/>
      <c r="AX105" s="217"/>
    </row>
    <row r="106" spans="1:50" s="119" customFormat="1" ht="18" customHeight="1" thickBot="1" x14ac:dyDescent="0.35">
      <c r="A106" s="136" t="s">
        <v>100</v>
      </c>
      <c r="B106" s="135" t="s">
        <v>278</v>
      </c>
      <c r="C106" s="277">
        <v>14242</v>
      </c>
      <c r="D106" s="136"/>
      <c r="E106" s="187">
        <f t="shared" si="3"/>
        <v>14242</v>
      </c>
      <c r="F106" s="187">
        <f t="shared" si="4"/>
        <v>14242</v>
      </c>
      <c r="G106" s="187">
        <f t="shared" si="5"/>
        <v>0</v>
      </c>
      <c r="H106" s="214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>
        <v>14207</v>
      </c>
      <c r="T106" s="215"/>
      <c r="U106" s="215"/>
      <c r="V106" s="215"/>
      <c r="W106" s="215"/>
      <c r="X106" s="215"/>
      <c r="Y106" s="215"/>
      <c r="Z106" s="215"/>
      <c r="AA106" s="215"/>
      <c r="AB106" s="215">
        <v>35</v>
      </c>
      <c r="AC106" s="215"/>
      <c r="AD106" s="215"/>
      <c r="AE106" s="215"/>
      <c r="AF106" s="215"/>
      <c r="AG106" s="215"/>
      <c r="AH106" s="215"/>
      <c r="AI106" s="216"/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  <c r="AW106" s="217"/>
      <c r="AX106" s="217"/>
    </row>
    <row r="107" spans="1:50" s="119" customFormat="1" ht="18" customHeight="1" thickBot="1" x14ac:dyDescent="0.35">
      <c r="A107" s="136" t="s">
        <v>101</v>
      </c>
      <c r="B107" s="135" t="s">
        <v>279</v>
      </c>
      <c r="C107" s="277">
        <v>7615</v>
      </c>
      <c r="D107" s="136"/>
      <c r="E107" s="187">
        <f t="shared" si="3"/>
        <v>7615</v>
      </c>
      <c r="F107" s="187">
        <f t="shared" si="4"/>
        <v>7615</v>
      </c>
      <c r="G107" s="187">
        <f t="shared" si="5"/>
        <v>0</v>
      </c>
      <c r="H107" s="214"/>
      <c r="I107" s="215"/>
      <c r="J107" s="215"/>
      <c r="K107" s="215"/>
      <c r="L107" s="215"/>
      <c r="M107" s="215"/>
      <c r="N107" s="215">
        <v>7615</v>
      </c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6"/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  <c r="AW107" s="217"/>
      <c r="AX107" s="217"/>
    </row>
    <row r="108" spans="1:50" s="119" customFormat="1" ht="18" customHeight="1" thickBot="1" x14ac:dyDescent="0.35">
      <c r="A108" s="136" t="s">
        <v>102</v>
      </c>
      <c r="B108" s="135" t="s">
        <v>280</v>
      </c>
      <c r="C108" s="277">
        <v>1461</v>
      </c>
      <c r="D108" s="136"/>
      <c r="E108" s="187">
        <f t="shared" si="3"/>
        <v>1461</v>
      </c>
      <c r="F108" s="187">
        <f t="shared" si="4"/>
        <v>1461</v>
      </c>
      <c r="G108" s="187">
        <f t="shared" si="5"/>
        <v>0</v>
      </c>
      <c r="H108" s="214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>
        <v>1460</v>
      </c>
      <c r="T108" s="215"/>
      <c r="U108" s="215"/>
      <c r="V108" s="215"/>
      <c r="W108" s="215"/>
      <c r="X108" s="215"/>
      <c r="Y108" s="215"/>
      <c r="Z108" s="215"/>
      <c r="AA108" s="215"/>
      <c r="AB108" s="215">
        <v>1</v>
      </c>
      <c r="AC108" s="215"/>
      <c r="AD108" s="215"/>
      <c r="AE108" s="215"/>
      <c r="AF108" s="215"/>
      <c r="AG108" s="215"/>
      <c r="AH108" s="215"/>
      <c r="AI108" s="216"/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  <c r="AW108" s="217"/>
      <c r="AX108" s="217"/>
    </row>
    <row r="109" spans="1:50" s="119" customFormat="1" ht="18" customHeight="1" thickBot="1" x14ac:dyDescent="0.35">
      <c r="A109" s="136" t="s">
        <v>103</v>
      </c>
      <c r="B109" s="135" t="s">
        <v>281</v>
      </c>
      <c r="C109" s="277">
        <v>1712</v>
      </c>
      <c r="D109" s="136"/>
      <c r="E109" s="187">
        <f t="shared" si="3"/>
        <v>1712</v>
      </c>
      <c r="F109" s="187">
        <f t="shared" si="4"/>
        <v>1712</v>
      </c>
      <c r="G109" s="187">
        <f t="shared" si="5"/>
        <v>0</v>
      </c>
      <c r="H109" s="214"/>
      <c r="I109" s="215"/>
      <c r="J109" s="215"/>
      <c r="K109" s="215">
        <v>1711</v>
      </c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>
        <v>1</v>
      </c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  <c r="AI109" s="216"/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  <c r="AW109" s="217"/>
      <c r="AX109" s="217"/>
    </row>
    <row r="110" spans="1:50" s="119" customFormat="1" ht="18" customHeight="1" thickBot="1" x14ac:dyDescent="0.35">
      <c r="A110" s="136" t="s">
        <v>104</v>
      </c>
      <c r="B110" s="135" t="s">
        <v>282</v>
      </c>
      <c r="C110" s="277">
        <v>7828</v>
      </c>
      <c r="D110" s="136" t="s">
        <v>370</v>
      </c>
      <c r="E110" s="187">
        <v>0</v>
      </c>
      <c r="F110" s="187">
        <f t="shared" si="4"/>
        <v>0</v>
      </c>
      <c r="G110" s="187">
        <f t="shared" si="5"/>
        <v>0</v>
      </c>
      <c r="H110" s="214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16"/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  <c r="AW110" s="217"/>
      <c r="AX110" s="217"/>
    </row>
    <row r="111" spans="1:50" s="119" customFormat="1" ht="18" customHeight="1" thickBot="1" x14ac:dyDescent="0.35">
      <c r="A111" s="136" t="s">
        <v>105</v>
      </c>
      <c r="B111" s="135" t="s">
        <v>283</v>
      </c>
      <c r="C111" s="277">
        <v>17919</v>
      </c>
      <c r="D111" s="136" t="s">
        <v>370</v>
      </c>
      <c r="E111" s="187">
        <v>0</v>
      </c>
      <c r="F111" s="187">
        <f t="shared" si="4"/>
        <v>0</v>
      </c>
      <c r="G111" s="187">
        <f t="shared" si="5"/>
        <v>0</v>
      </c>
      <c r="H111" s="214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  <c r="AI111" s="216"/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  <c r="AW111" s="217"/>
      <c r="AX111" s="217"/>
    </row>
    <row r="112" spans="1:50" s="119" customFormat="1" ht="18" customHeight="1" thickBot="1" x14ac:dyDescent="0.35">
      <c r="A112" s="136" t="s">
        <v>106</v>
      </c>
      <c r="B112" s="135" t="s">
        <v>284</v>
      </c>
      <c r="C112" s="277">
        <v>3564</v>
      </c>
      <c r="D112" s="136" t="s">
        <v>370</v>
      </c>
      <c r="E112" s="187">
        <v>0</v>
      </c>
      <c r="F112" s="187">
        <f t="shared" si="4"/>
        <v>0</v>
      </c>
      <c r="G112" s="187">
        <f t="shared" si="5"/>
        <v>0</v>
      </c>
      <c r="H112" s="214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6"/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  <c r="AW112" s="217"/>
      <c r="AX112" s="217"/>
    </row>
    <row r="113" spans="1:50" s="119" customFormat="1" ht="18" customHeight="1" thickBot="1" x14ac:dyDescent="0.35">
      <c r="A113" s="136" t="s">
        <v>107</v>
      </c>
      <c r="B113" s="135" t="s">
        <v>285</v>
      </c>
      <c r="C113" s="277">
        <v>84709</v>
      </c>
      <c r="D113" s="136" t="s">
        <v>371</v>
      </c>
      <c r="E113" s="187">
        <v>0</v>
      </c>
      <c r="F113" s="187">
        <f t="shared" si="4"/>
        <v>0</v>
      </c>
      <c r="G113" s="187">
        <f t="shared" si="5"/>
        <v>0</v>
      </c>
      <c r="H113" s="214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  <c r="AI113" s="216"/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  <c r="AW113" s="217"/>
      <c r="AX113" s="217"/>
    </row>
    <row r="114" spans="1:50" s="119" customFormat="1" ht="18" customHeight="1" thickBot="1" x14ac:dyDescent="0.35">
      <c r="A114" s="136" t="s">
        <v>108</v>
      </c>
      <c r="B114" s="135" t="s">
        <v>286</v>
      </c>
      <c r="C114" s="277">
        <v>587</v>
      </c>
      <c r="D114" s="136" t="s">
        <v>372</v>
      </c>
      <c r="E114" s="187">
        <v>0</v>
      </c>
      <c r="F114" s="187">
        <f t="shared" si="4"/>
        <v>0</v>
      </c>
      <c r="G114" s="187">
        <f t="shared" si="5"/>
        <v>0</v>
      </c>
      <c r="H114" s="214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  <c r="AI114" s="216"/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  <c r="AW114" s="217"/>
      <c r="AX114" s="217"/>
    </row>
    <row r="115" spans="1:50" s="119" customFormat="1" ht="18" customHeight="1" thickBot="1" x14ac:dyDescent="0.35">
      <c r="A115" s="136" t="s">
        <v>109</v>
      </c>
      <c r="B115" s="135" t="s">
        <v>287</v>
      </c>
      <c r="C115" s="277">
        <v>4090</v>
      </c>
      <c r="D115" s="136"/>
      <c r="E115" s="187">
        <f t="shared" si="3"/>
        <v>4090</v>
      </c>
      <c r="F115" s="187">
        <f t="shared" si="4"/>
        <v>4090</v>
      </c>
      <c r="G115" s="187">
        <f t="shared" si="5"/>
        <v>0</v>
      </c>
      <c r="H115" s="214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>
        <v>4090</v>
      </c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  <c r="AI115" s="216"/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  <c r="AW115" s="217"/>
      <c r="AX115" s="217"/>
    </row>
    <row r="116" spans="1:50" s="119" customFormat="1" ht="18" customHeight="1" thickBot="1" x14ac:dyDescent="0.35">
      <c r="A116" s="136" t="s">
        <v>110</v>
      </c>
      <c r="B116" s="135" t="s">
        <v>288</v>
      </c>
      <c r="C116" s="277">
        <v>3056</v>
      </c>
      <c r="D116" s="136" t="s">
        <v>372</v>
      </c>
      <c r="E116" s="187">
        <v>0</v>
      </c>
      <c r="F116" s="187">
        <f t="shared" si="4"/>
        <v>0</v>
      </c>
      <c r="G116" s="187">
        <f t="shared" si="5"/>
        <v>0</v>
      </c>
      <c r="H116" s="214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16"/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  <c r="AW116" s="217"/>
      <c r="AX116" s="217"/>
    </row>
    <row r="117" spans="1:50" s="119" customFormat="1" ht="18" customHeight="1" thickBot="1" x14ac:dyDescent="0.35">
      <c r="A117" s="136" t="s">
        <v>111</v>
      </c>
      <c r="B117" s="135" t="s">
        <v>289</v>
      </c>
      <c r="C117" s="277">
        <v>3343</v>
      </c>
      <c r="D117" s="136"/>
      <c r="E117" s="187">
        <f t="shared" si="3"/>
        <v>3343</v>
      </c>
      <c r="F117" s="187">
        <f t="shared" si="4"/>
        <v>3343</v>
      </c>
      <c r="G117" s="187">
        <f t="shared" si="5"/>
        <v>0</v>
      </c>
      <c r="H117" s="214"/>
      <c r="I117" s="215"/>
      <c r="J117" s="215"/>
      <c r="K117" s="215"/>
      <c r="L117" s="215"/>
      <c r="M117" s="215"/>
      <c r="N117" s="215"/>
      <c r="O117" s="215">
        <v>3312</v>
      </c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>
        <v>31</v>
      </c>
      <c r="AD117" s="215"/>
      <c r="AE117" s="215"/>
      <c r="AF117" s="215"/>
      <c r="AG117" s="215"/>
      <c r="AH117" s="215"/>
      <c r="AI117" s="216"/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  <c r="AW117" s="217"/>
      <c r="AX117" s="217"/>
    </row>
    <row r="118" spans="1:50" s="119" customFormat="1" ht="18" customHeight="1" thickBot="1" x14ac:dyDescent="0.35">
      <c r="A118" s="136" t="s">
        <v>112</v>
      </c>
      <c r="B118" s="135" t="s">
        <v>290</v>
      </c>
      <c r="C118" s="277">
        <v>9978</v>
      </c>
      <c r="D118" s="136"/>
      <c r="E118" s="187">
        <f t="shared" si="3"/>
        <v>9978</v>
      </c>
      <c r="F118" s="187">
        <f t="shared" si="4"/>
        <v>9978</v>
      </c>
      <c r="G118" s="187">
        <f t="shared" si="5"/>
        <v>0</v>
      </c>
      <c r="H118" s="214"/>
      <c r="I118" s="215"/>
      <c r="J118" s="215"/>
      <c r="K118" s="215"/>
      <c r="L118" s="215"/>
      <c r="M118" s="215"/>
      <c r="N118" s="215">
        <v>2154.33</v>
      </c>
      <c r="O118" s="215"/>
      <c r="P118" s="215"/>
      <c r="Q118" s="215">
        <v>3567.5</v>
      </c>
      <c r="R118" s="215"/>
      <c r="S118" s="215">
        <v>3081.93</v>
      </c>
      <c r="T118" s="215">
        <v>1112.24</v>
      </c>
      <c r="U118" s="215"/>
      <c r="V118" s="215"/>
      <c r="W118" s="215"/>
      <c r="X118" s="215"/>
      <c r="Y118" s="215"/>
      <c r="Z118" s="215"/>
      <c r="AA118" s="215"/>
      <c r="AB118" s="215">
        <v>62</v>
      </c>
      <c r="AC118" s="215"/>
      <c r="AD118" s="215"/>
      <c r="AE118" s="215"/>
      <c r="AF118" s="215"/>
      <c r="AG118" s="215"/>
      <c r="AH118" s="215"/>
      <c r="AI118" s="216"/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  <c r="AW118" s="217"/>
      <c r="AX118" s="217"/>
    </row>
    <row r="119" spans="1:50" s="119" customFormat="1" ht="18" customHeight="1" thickBot="1" x14ac:dyDescent="0.35">
      <c r="A119" s="136" t="s">
        <v>113</v>
      </c>
      <c r="B119" s="135" t="s">
        <v>291</v>
      </c>
      <c r="C119" s="277">
        <v>733891</v>
      </c>
      <c r="D119" s="136"/>
      <c r="E119" s="187">
        <f t="shared" si="3"/>
        <v>733891</v>
      </c>
      <c r="F119" s="187">
        <f t="shared" si="4"/>
        <v>733890.99999999988</v>
      </c>
      <c r="G119" s="187">
        <f t="shared" si="5"/>
        <v>0</v>
      </c>
      <c r="H119" s="214"/>
      <c r="I119" s="215"/>
      <c r="J119" s="215"/>
      <c r="K119" s="215"/>
      <c r="L119" s="215"/>
      <c r="M119" s="215"/>
      <c r="N119" s="215">
        <v>103741.54</v>
      </c>
      <c r="O119" s="215"/>
      <c r="P119" s="215">
        <v>97738.48</v>
      </c>
      <c r="Q119" s="215">
        <v>43606.55</v>
      </c>
      <c r="R119" s="215">
        <v>39104.449999999997</v>
      </c>
      <c r="S119" s="215">
        <v>47864.59</v>
      </c>
      <c r="T119" s="215"/>
      <c r="U119" s="215"/>
      <c r="V119" s="215"/>
      <c r="W119" s="215">
        <v>180862.82</v>
      </c>
      <c r="X119" s="215"/>
      <c r="Y119" s="215"/>
      <c r="Z119" s="215">
        <v>177917.25</v>
      </c>
      <c r="AA119" s="215">
        <v>43055.32</v>
      </c>
      <c r="AB119" s="215"/>
      <c r="AC119" s="215"/>
      <c r="AD119" s="215"/>
      <c r="AE119" s="215"/>
      <c r="AF119" s="215"/>
      <c r="AG119" s="215"/>
      <c r="AH119" s="215"/>
      <c r="AI119" s="216"/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  <c r="AW119" s="217"/>
      <c r="AX119" s="217"/>
    </row>
    <row r="120" spans="1:50" s="119" customFormat="1" ht="18" customHeight="1" thickBot="1" x14ac:dyDescent="0.35">
      <c r="A120" s="136" t="s">
        <v>114</v>
      </c>
      <c r="B120" s="135" t="s">
        <v>292</v>
      </c>
      <c r="C120" s="277">
        <v>1837</v>
      </c>
      <c r="D120" s="136"/>
      <c r="E120" s="187">
        <f t="shared" si="3"/>
        <v>1837</v>
      </c>
      <c r="F120" s="187">
        <f t="shared" si="4"/>
        <v>1837</v>
      </c>
      <c r="G120" s="187">
        <f t="shared" si="5"/>
        <v>0</v>
      </c>
      <c r="H120" s="214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>
        <v>1837</v>
      </c>
      <c r="AE120" s="215"/>
      <c r="AF120" s="215"/>
      <c r="AG120" s="215"/>
      <c r="AH120" s="215"/>
      <c r="AI120" s="216"/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  <c r="AW120" s="217"/>
      <c r="AX120" s="217"/>
    </row>
    <row r="121" spans="1:50" s="119" customFormat="1" ht="18" customHeight="1" thickBot="1" x14ac:dyDescent="0.35">
      <c r="A121" s="136" t="s">
        <v>115</v>
      </c>
      <c r="B121" s="135" t="s">
        <v>293</v>
      </c>
      <c r="C121" s="277">
        <v>64654</v>
      </c>
      <c r="D121" s="136"/>
      <c r="E121" s="187">
        <f t="shared" si="3"/>
        <v>64654</v>
      </c>
      <c r="F121" s="187">
        <f t="shared" si="4"/>
        <v>64654</v>
      </c>
      <c r="G121" s="187">
        <f t="shared" si="5"/>
        <v>0</v>
      </c>
      <c r="H121" s="214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>
        <v>64654</v>
      </c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6"/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  <c r="AW121" s="217"/>
      <c r="AX121" s="217"/>
    </row>
    <row r="122" spans="1:50" s="119" customFormat="1" ht="18" customHeight="1" thickBot="1" x14ac:dyDescent="0.35">
      <c r="A122" s="136" t="s">
        <v>116</v>
      </c>
      <c r="B122" s="135" t="s">
        <v>294</v>
      </c>
      <c r="C122" s="277">
        <v>148385</v>
      </c>
      <c r="D122" s="136"/>
      <c r="E122" s="187">
        <f t="shared" si="3"/>
        <v>148385</v>
      </c>
      <c r="F122" s="187">
        <f t="shared" si="4"/>
        <v>148385.00000000003</v>
      </c>
      <c r="G122" s="187">
        <f t="shared" si="5"/>
        <v>0</v>
      </c>
      <c r="H122" s="214"/>
      <c r="I122" s="215"/>
      <c r="J122" s="215">
        <v>8746.4</v>
      </c>
      <c r="K122" s="215">
        <v>7638.32</v>
      </c>
      <c r="L122" s="215">
        <v>7269.74</v>
      </c>
      <c r="M122" s="215">
        <v>7269.74</v>
      </c>
      <c r="N122" s="215">
        <v>23626.46</v>
      </c>
      <c r="O122" s="215">
        <v>7264.19</v>
      </c>
      <c r="P122" s="215">
        <v>9264.19</v>
      </c>
      <c r="Q122" s="215">
        <v>7264.19</v>
      </c>
      <c r="R122" s="215">
        <v>7264.19</v>
      </c>
      <c r="S122" s="215">
        <v>21845.19</v>
      </c>
      <c r="T122" s="215">
        <f>10456.31+3805.4</f>
        <v>14261.71</v>
      </c>
      <c r="U122" s="215"/>
      <c r="V122" s="215"/>
      <c r="W122" s="215"/>
      <c r="X122" s="215">
        <v>26026.23</v>
      </c>
      <c r="Y122" s="215">
        <v>644.45000000000005</v>
      </c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16"/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  <c r="AW122" s="217"/>
      <c r="AX122" s="217"/>
    </row>
    <row r="123" spans="1:50" s="119" customFormat="1" ht="18" customHeight="1" thickBot="1" x14ac:dyDescent="0.35">
      <c r="A123" s="136" t="s">
        <v>117</v>
      </c>
      <c r="B123" s="135" t="s">
        <v>295</v>
      </c>
      <c r="C123" s="277">
        <v>10672</v>
      </c>
      <c r="D123" s="136"/>
      <c r="E123" s="187">
        <f t="shared" si="3"/>
        <v>10672</v>
      </c>
      <c r="F123" s="187">
        <f t="shared" si="4"/>
        <v>10672</v>
      </c>
      <c r="G123" s="187">
        <f t="shared" si="5"/>
        <v>0</v>
      </c>
      <c r="H123" s="214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>
        <v>10672</v>
      </c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6"/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  <c r="AW123" s="217"/>
      <c r="AX123" s="217"/>
    </row>
    <row r="124" spans="1:50" s="119" customFormat="1" ht="18" customHeight="1" thickBot="1" x14ac:dyDescent="0.35">
      <c r="A124" s="136" t="s">
        <v>118</v>
      </c>
      <c r="B124" s="135" t="s">
        <v>296</v>
      </c>
      <c r="C124" s="277">
        <v>19459</v>
      </c>
      <c r="D124" s="136"/>
      <c r="E124" s="187">
        <f t="shared" si="3"/>
        <v>19459</v>
      </c>
      <c r="F124" s="187">
        <f t="shared" si="4"/>
        <v>19459</v>
      </c>
      <c r="G124" s="187">
        <f t="shared" si="5"/>
        <v>0</v>
      </c>
      <c r="H124" s="214"/>
      <c r="I124" s="215"/>
      <c r="J124" s="215"/>
      <c r="K124" s="215"/>
      <c r="L124" s="215"/>
      <c r="M124" s="215">
        <f>1213.64+2577.28+4000</f>
        <v>7790.92</v>
      </c>
      <c r="N124" s="215">
        <v>1288.6400000000001</v>
      </c>
      <c r="O124" s="215">
        <v>1288.6400000000001</v>
      </c>
      <c r="P124" s="215">
        <v>1288.6400000000001</v>
      </c>
      <c r="Q124" s="215">
        <v>1288.6400000000001</v>
      </c>
      <c r="R124" s="215">
        <v>3219.26</v>
      </c>
      <c r="S124" s="215">
        <v>3219.26</v>
      </c>
      <c r="T124" s="215"/>
      <c r="U124" s="215"/>
      <c r="V124" s="215"/>
      <c r="W124" s="215"/>
      <c r="X124" s="215"/>
      <c r="Y124" s="215">
        <v>75</v>
      </c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6"/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  <c r="AW124" s="217"/>
      <c r="AX124" s="217"/>
    </row>
    <row r="125" spans="1:50" s="119" customFormat="1" ht="18" customHeight="1" thickBot="1" x14ac:dyDescent="0.35">
      <c r="A125" s="136" t="s">
        <v>119</v>
      </c>
      <c r="B125" s="135" t="s">
        <v>297</v>
      </c>
      <c r="C125" s="277">
        <v>213802</v>
      </c>
      <c r="D125" s="136"/>
      <c r="E125" s="187">
        <f t="shared" si="3"/>
        <v>213802</v>
      </c>
      <c r="F125" s="187">
        <f t="shared" si="4"/>
        <v>213802</v>
      </c>
      <c r="G125" s="187">
        <f t="shared" si="5"/>
        <v>0</v>
      </c>
      <c r="H125" s="214"/>
      <c r="I125" s="215"/>
      <c r="J125" s="215"/>
      <c r="K125" s="215"/>
      <c r="L125" s="215"/>
      <c r="M125" s="215"/>
      <c r="N125" s="215">
        <v>55504.33</v>
      </c>
      <c r="O125" s="215"/>
      <c r="P125" s="215"/>
      <c r="Q125" s="215">
        <v>51644.69</v>
      </c>
      <c r="R125" s="215"/>
      <c r="S125" s="215">
        <v>46453.7</v>
      </c>
      <c r="T125" s="215"/>
      <c r="U125" s="215">
        <v>12403.24</v>
      </c>
      <c r="V125" s="215"/>
      <c r="W125" s="215"/>
      <c r="X125" s="215">
        <v>37386.870000000003</v>
      </c>
      <c r="Y125" s="215"/>
      <c r="Z125" s="215">
        <v>10409.17</v>
      </c>
      <c r="AA125" s="215"/>
      <c r="AB125" s="215"/>
      <c r="AC125" s="215"/>
      <c r="AD125" s="215"/>
      <c r="AE125" s="215"/>
      <c r="AF125" s="215"/>
      <c r="AG125" s="215"/>
      <c r="AH125" s="215"/>
      <c r="AI125" s="216"/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  <c r="AW125" s="217"/>
      <c r="AX125" s="217"/>
    </row>
    <row r="126" spans="1:50" s="119" customFormat="1" ht="18" customHeight="1" thickBot="1" x14ac:dyDescent="0.35">
      <c r="A126" s="136" t="s">
        <v>120</v>
      </c>
      <c r="B126" s="135" t="s">
        <v>298</v>
      </c>
      <c r="C126" s="277">
        <v>10385</v>
      </c>
      <c r="D126" s="136"/>
      <c r="E126" s="187">
        <f t="shared" si="3"/>
        <v>10385</v>
      </c>
      <c r="F126" s="187">
        <f t="shared" si="4"/>
        <v>10385</v>
      </c>
      <c r="G126" s="187">
        <f t="shared" si="5"/>
        <v>0</v>
      </c>
      <c r="H126" s="214"/>
      <c r="I126" s="215"/>
      <c r="J126" s="215"/>
      <c r="K126" s="215"/>
      <c r="L126" s="215">
        <v>3873</v>
      </c>
      <c r="M126" s="215"/>
      <c r="N126" s="215"/>
      <c r="O126" s="215"/>
      <c r="P126" s="215"/>
      <c r="Q126" s="215"/>
      <c r="R126" s="215"/>
      <c r="S126" s="215">
        <v>6452</v>
      </c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>
        <v>60</v>
      </c>
      <c r="AD126" s="215"/>
      <c r="AE126" s="215"/>
      <c r="AF126" s="215"/>
      <c r="AG126" s="215"/>
      <c r="AH126" s="215"/>
      <c r="AI126" s="216"/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  <c r="AW126" s="217"/>
      <c r="AX126" s="217"/>
    </row>
    <row r="127" spans="1:50" s="119" customFormat="1" ht="18" customHeight="1" thickBot="1" x14ac:dyDescent="0.35">
      <c r="A127" s="136" t="s">
        <v>121</v>
      </c>
      <c r="B127" s="135" t="s">
        <v>299</v>
      </c>
      <c r="C127" s="277">
        <v>41879</v>
      </c>
      <c r="D127" s="136" t="s">
        <v>371</v>
      </c>
      <c r="E127" s="187">
        <v>0</v>
      </c>
      <c r="F127" s="187">
        <f t="shared" si="4"/>
        <v>0</v>
      </c>
      <c r="G127" s="187">
        <f t="shared" si="5"/>
        <v>0</v>
      </c>
      <c r="H127" s="214"/>
      <c r="I127" s="215"/>
      <c r="J127" s="215"/>
      <c r="K127" s="215"/>
      <c r="L127" s="215"/>
      <c r="M127" s="215"/>
      <c r="N127" s="217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  <c r="AI127" s="216"/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  <c r="AW127" s="217"/>
      <c r="AX127" s="217"/>
    </row>
    <row r="128" spans="1:50" s="119" customFormat="1" ht="18" customHeight="1" thickBot="1" x14ac:dyDescent="0.35">
      <c r="A128" s="136" t="s">
        <v>122</v>
      </c>
      <c r="B128" s="135" t="s">
        <v>300</v>
      </c>
      <c r="C128" s="277">
        <v>92513</v>
      </c>
      <c r="D128" s="136"/>
      <c r="E128" s="187">
        <f t="shared" si="3"/>
        <v>92513</v>
      </c>
      <c r="F128" s="187">
        <f t="shared" si="4"/>
        <v>92513.000000000015</v>
      </c>
      <c r="G128" s="187">
        <f t="shared" si="5"/>
        <v>0</v>
      </c>
      <c r="H128" s="214"/>
      <c r="I128" s="215"/>
      <c r="J128" s="215"/>
      <c r="K128" s="215">
        <v>924.63</v>
      </c>
      <c r="L128" s="215">
        <v>5762.45</v>
      </c>
      <c r="M128" s="215">
        <f>3213.59+6430.37</f>
        <v>9643.9599999999991</v>
      </c>
      <c r="N128" s="215"/>
      <c r="O128" s="215">
        <f>6430.37+7180.37</f>
        <v>13610.74</v>
      </c>
      <c r="P128" s="215">
        <v>7460.89</v>
      </c>
      <c r="Q128" s="215">
        <v>6430.37</v>
      </c>
      <c r="R128" s="215">
        <v>6430.37</v>
      </c>
      <c r="S128" s="215">
        <v>6430.37</v>
      </c>
      <c r="T128" s="215">
        <v>6486.11</v>
      </c>
      <c r="U128" s="215">
        <v>6509.55</v>
      </c>
      <c r="V128" s="215">
        <v>5936.22</v>
      </c>
      <c r="W128" s="215">
        <v>8060.46</v>
      </c>
      <c r="X128" s="215">
        <v>7652.63</v>
      </c>
      <c r="Y128" s="215">
        <v>1174.25</v>
      </c>
      <c r="Z128" s="215"/>
      <c r="AA128" s="215"/>
      <c r="AB128" s="215"/>
      <c r="AC128" s="215"/>
      <c r="AD128" s="215"/>
      <c r="AE128" s="215"/>
      <c r="AF128" s="215"/>
      <c r="AG128" s="215"/>
      <c r="AH128" s="215"/>
      <c r="AI128" s="216"/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  <c r="AW128" s="217"/>
      <c r="AX128" s="217"/>
    </row>
    <row r="129" spans="1:50" s="119" customFormat="1" ht="18" customHeight="1" thickBot="1" x14ac:dyDescent="0.35">
      <c r="A129" s="136" t="s">
        <v>123</v>
      </c>
      <c r="B129" s="135" t="s">
        <v>301</v>
      </c>
      <c r="C129" s="277">
        <v>3508</v>
      </c>
      <c r="D129" s="136" t="s">
        <v>371</v>
      </c>
      <c r="E129" s="187">
        <v>0</v>
      </c>
      <c r="F129" s="187">
        <f t="shared" si="4"/>
        <v>0</v>
      </c>
      <c r="G129" s="187">
        <f t="shared" si="5"/>
        <v>0</v>
      </c>
      <c r="H129" s="214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/>
      <c r="AG129" s="215"/>
      <c r="AH129" s="215"/>
      <c r="AI129" s="216"/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  <c r="AW129" s="217"/>
      <c r="AX129" s="217"/>
    </row>
    <row r="130" spans="1:50" s="119" customFormat="1" ht="18" customHeight="1" thickBot="1" x14ac:dyDescent="0.35">
      <c r="A130" s="136" t="s">
        <v>124</v>
      </c>
      <c r="B130" s="135" t="s">
        <v>302</v>
      </c>
      <c r="C130" s="277">
        <v>17641</v>
      </c>
      <c r="D130" s="136" t="s">
        <v>371</v>
      </c>
      <c r="E130" s="187">
        <v>0</v>
      </c>
      <c r="F130" s="187">
        <f t="shared" si="4"/>
        <v>0</v>
      </c>
      <c r="G130" s="187">
        <f t="shared" si="5"/>
        <v>0</v>
      </c>
      <c r="H130" s="214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16"/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  <c r="AW130" s="217"/>
      <c r="AX130" s="217"/>
    </row>
    <row r="131" spans="1:50" s="119" customFormat="1" ht="18" customHeight="1" thickBot="1" x14ac:dyDescent="0.35">
      <c r="A131" s="136" t="s">
        <v>125</v>
      </c>
      <c r="B131" s="135" t="s">
        <v>303</v>
      </c>
      <c r="C131" s="277">
        <v>74430</v>
      </c>
      <c r="D131" s="136"/>
      <c r="E131" s="187">
        <f t="shared" si="3"/>
        <v>74430</v>
      </c>
      <c r="F131" s="187">
        <f t="shared" si="4"/>
        <v>74430</v>
      </c>
      <c r="G131" s="187">
        <f t="shared" si="5"/>
        <v>0</v>
      </c>
      <c r="H131" s="214"/>
      <c r="I131" s="215"/>
      <c r="J131" s="215"/>
      <c r="K131" s="215"/>
      <c r="L131" s="215"/>
      <c r="M131" s="215"/>
      <c r="N131" s="215"/>
      <c r="O131" s="215"/>
      <c r="P131" s="215"/>
      <c r="Q131" s="215">
        <v>26317</v>
      </c>
      <c r="R131" s="215"/>
      <c r="S131" s="215">
        <v>40391</v>
      </c>
      <c r="T131" s="215"/>
      <c r="U131" s="215"/>
      <c r="V131" s="215"/>
      <c r="W131" s="215"/>
      <c r="X131" s="215"/>
      <c r="Y131" s="215"/>
      <c r="Z131" s="215">
        <v>7722</v>
      </c>
      <c r="AA131" s="215"/>
      <c r="AB131" s="215"/>
      <c r="AC131" s="215"/>
      <c r="AD131" s="215"/>
      <c r="AE131" s="215"/>
      <c r="AF131" s="215"/>
      <c r="AG131" s="215"/>
      <c r="AH131" s="215"/>
      <c r="AI131" s="216"/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  <c r="AW131" s="217"/>
      <c r="AX131" s="217"/>
    </row>
    <row r="132" spans="1:50" s="119" customFormat="1" ht="18" customHeight="1" thickBot="1" x14ac:dyDescent="0.35">
      <c r="A132" s="136" t="s">
        <v>126</v>
      </c>
      <c r="B132" s="135" t="s">
        <v>304</v>
      </c>
      <c r="C132" s="277">
        <v>48564</v>
      </c>
      <c r="D132" s="136"/>
      <c r="E132" s="187">
        <f t="shared" si="3"/>
        <v>48564</v>
      </c>
      <c r="F132" s="187">
        <f t="shared" si="4"/>
        <v>48564</v>
      </c>
      <c r="G132" s="187">
        <f t="shared" si="5"/>
        <v>0</v>
      </c>
      <c r="H132" s="214"/>
      <c r="I132" s="215"/>
      <c r="J132" s="215"/>
      <c r="K132" s="215"/>
      <c r="L132" s="215"/>
      <c r="M132" s="215"/>
      <c r="N132" s="215"/>
      <c r="O132" s="215"/>
      <c r="P132" s="215"/>
      <c r="Q132" s="215">
        <v>48564</v>
      </c>
      <c r="R132" s="215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  <c r="AF132" s="215"/>
      <c r="AG132" s="215"/>
      <c r="AH132" s="215"/>
      <c r="AI132" s="216"/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  <c r="AW132" s="217"/>
      <c r="AX132" s="217"/>
    </row>
    <row r="133" spans="1:50" s="119" customFormat="1" ht="18" customHeight="1" thickBot="1" x14ac:dyDescent="0.35">
      <c r="A133" s="136" t="s">
        <v>127</v>
      </c>
      <c r="B133" s="135" t="s">
        <v>305</v>
      </c>
      <c r="C133" s="277">
        <v>6679</v>
      </c>
      <c r="D133" s="136"/>
      <c r="E133" s="187">
        <f t="shared" si="3"/>
        <v>6679</v>
      </c>
      <c r="F133" s="187">
        <f t="shared" si="4"/>
        <v>6679</v>
      </c>
      <c r="G133" s="187">
        <f t="shared" si="5"/>
        <v>0</v>
      </c>
      <c r="H133" s="214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>
        <v>6679</v>
      </c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  <c r="AI133" s="216"/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  <c r="AW133" s="217"/>
      <c r="AX133" s="217"/>
    </row>
    <row r="134" spans="1:50" s="119" customFormat="1" ht="18" customHeight="1" thickBot="1" x14ac:dyDescent="0.35">
      <c r="A134" s="261" t="s">
        <v>128</v>
      </c>
      <c r="B134" s="135" t="s">
        <v>306</v>
      </c>
      <c r="C134" s="277">
        <v>15846</v>
      </c>
      <c r="D134" s="136"/>
      <c r="E134" s="187">
        <f t="shared" si="3"/>
        <v>15846</v>
      </c>
      <c r="F134" s="187">
        <f t="shared" si="4"/>
        <v>15846</v>
      </c>
      <c r="G134" s="187">
        <f t="shared" si="5"/>
        <v>0</v>
      </c>
      <c r="H134" s="214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>
        <v>15771</v>
      </c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>
        <v>75</v>
      </c>
      <c r="AF134" s="215"/>
      <c r="AG134" s="215"/>
      <c r="AH134" s="215"/>
      <c r="AI134" s="216"/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  <c r="AW134" s="217"/>
      <c r="AX134" s="217"/>
    </row>
    <row r="135" spans="1:50" s="119" customFormat="1" ht="18" customHeight="1" thickBot="1" x14ac:dyDescent="0.35">
      <c r="A135" s="136" t="s">
        <v>129</v>
      </c>
      <c r="B135" s="135" t="s">
        <v>307</v>
      </c>
      <c r="C135" s="277">
        <v>3927</v>
      </c>
      <c r="D135" s="136"/>
      <c r="E135" s="187">
        <f t="shared" si="3"/>
        <v>3927</v>
      </c>
      <c r="F135" s="187">
        <f t="shared" si="4"/>
        <v>3927</v>
      </c>
      <c r="G135" s="187">
        <f t="shared" si="5"/>
        <v>0</v>
      </c>
      <c r="H135" s="214"/>
      <c r="I135" s="215"/>
      <c r="J135" s="215"/>
      <c r="K135" s="215"/>
      <c r="L135" s="215"/>
      <c r="M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>
        <v>3927</v>
      </c>
      <c r="AE135" s="215"/>
      <c r="AF135" s="215"/>
      <c r="AG135" s="215"/>
      <c r="AH135" s="215"/>
      <c r="AI135" s="216"/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  <c r="AW135" s="217"/>
      <c r="AX135" s="217"/>
    </row>
    <row r="136" spans="1:50" s="119" customFormat="1" ht="18" customHeight="1" thickBot="1" x14ac:dyDescent="0.35">
      <c r="A136" s="136" t="s">
        <v>130</v>
      </c>
      <c r="B136" s="135" t="s">
        <v>308</v>
      </c>
      <c r="C136" s="277">
        <v>9236</v>
      </c>
      <c r="D136" s="136"/>
      <c r="E136" s="187">
        <f t="shared" si="3"/>
        <v>9236</v>
      </c>
      <c r="F136" s="187">
        <f t="shared" si="4"/>
        <v>9236</v>
      </c>
      <c r="G136" s="187">
        <f t="shared" si="5"/>
        <v>0</v>
      </c>
      <c r="H136" s="214"/>
      <c r="I136" s="215"/>
      <c r="J136" s="215"/>
      <c r="K136" s="215">
        <v>1064</v>
      </c>
      <c r="L136" s="215">
        <v>782</v>
      </c>
      <c r="M136" s="215">
        <v>923</v>
      </c>
      <c r="N136" s="215">
        <v>923</v>
      </c>
      <c r="O136" s="215">
        <v>923</v>
      </c>
      <c r="P136" s="215">
        <v>923</v>
      </c>
      <c r="Q136" s="215">
        <v>923</v>
      </c>
      <c r="R136" s="215">
        <v>923</v>
      </c>
      <c r="S136" s="215">
        <v>1852</v>
      </c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6"/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  <c r="AW136" s="217"/>
      <c r="AX136" s="217"/>
    </row>
    <row r="137" spans="1:50" s="119" customFormat="1" ht="18" customHeight="1" thickBot="1" x14ac:dyDescent="0.35">
      <c r="A137" s="136" t="s">
        <v>131</v>
      </c>
      <c r="B137" s="135" t="s">
        <v>309</v>
      </c>
      <c r="C137" s="277">
        <v>5059</v>
      </c>
      <c r="D137" s="136"/>
      <c r="E137" s="187">
        <f t="shared" si="3"/>
        <v>5059</v>
      </c>
      <c r="F137" s="187">
        <f t="shared" si="4"/>
        <v>5059</v>
      </c>
      <c r="G137" s="187">
        <f t="shared" si="5"/>
        <v>0</v>
      </c>
      <c r="H137" s="214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>
        <f>2362.23+2696.77</f>
        <v>5059</v>
      </c>
      <c r="AF137" s="215"/>
      <c r="AG137" s="215"/>
      <c r="AH137" s="215"/>
      <c r="AI137" s="216"/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  <c r="AW137" s="217"/>
      <c r="AX137" s="217"/>
    </row>
    <row r="138" spans="1:50" s="119" customFormat="1" ht="18" customHeight="1" thickBot="1" x14ac:dyDescent="0.35">
      <c r="A138" s="136" t="s">
        <v>132</v>
      </c>
      <c r="B138" s="135" t="s">
        <v>310</v>
      </c>
      <c r="C138" s="277">
        <v>6606</v>
      </c>
      <c r="D138" s="136"/>
      <c r="E138" s="187">
        <f t="shared" si="3"/>
        <v>6606</v>
      </c>
      <c r="F138" s="187">
        <f t="shared" si="4"/>
        <v>6606</v>
      </c>
      <c r="G138" s="187">
        <f t="shared" si="5"/>
        <v>0</v>
      </c>
      <c r="H138" s="214"/>
      <c r="I138" s="215"/>
      <c r="J138" s="215"/>
      <c r="K138" s="215"/>
      <c r="L138" s="215"/>
      <c r="M138" s="215"/>
      <c r="N138" s="215"/>
      <c r="O138" s="215">
        <v>1752</v>
      </c>
      <c r="P138" s="215"/>
      <c r="Q138" s="215"/>
      <c r="R138" s="215">
        <v>4819</v>
      </c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>
        <v>35</v>
      </c>
      <c r="AD138" s="215"/>
      <c r="AE138" s="215"/>
      <c r="AF138" s="215"/>
      <c r="AG138" s="215"/>
      <c r="AH138" s="215"/>
      <c r="AI138" s="216"/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  <c r="AW138" s="217"/>
      <c r="AX138" s="217"/>
    </row>
    <row r="139" spans="1:50" s="119" customFormat="1" ht="18" customHeight="1" thickBot="1" x14ac:dyDescent="0.35">
      <c r="A139" s="136" t="s">
        <v>133</v>
      </c>
      <c r="B139" s="135" t="s">
        <v>311</v>
      </c>
      <c r="C139" s="277">
        <v>28138</v>
      </c>
      <c r="D139" s="136"/>
      <c r="E139" s="187">
        <f t="shared" si="3"/>
        <v>28138</v>
      </c>
      <c r="F139" s="187">
        <f t="shared" si="4"/>
        <v>28138</v>
      </c>
      <c r="G139" s="187">
        <f t="shared" si="5"/>
        <v>0</v>
      </c>
      <c r="H139" s="214"/>
      <c r="I139" s="215"/>
      <c r="J139" s="215"/>
      <c r="K139" s="215"/>
      <c r="L139" s="215"/>
      <c r="M139" s="215">
        <v>9553.2000000000007</v>
      </c>
      <c r="N139" s="215"/>
      <c r="O139" s="215">
        <v>13811.4</v>
      </c>
      <c r="P139" s="215"/>
      <c r="Q139" s="215"/>
      <c r="R139" s="215">
        <v>4320.3999999999996</v>
      </c>
      <c r="S139" s="215"/>
      <c r="T139" s="215">
        <v>453</v>
      </c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5"/>
      <c r="AI139" s="216"/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  <c r="AW139" s="217"/>
      <c r="AX139" s="217"/>
    </row>
    <row r="140" spans="1:50" s="119" customFormat="1" ht="18" customHeight="1" thickBot="1" x14ac:dyDescent="0.35">
      <c r="A140" s="136" t="s">
        <v>134</v>
      </c>
      <c r="B140" s="135" t="s">
        <v>312</v>
      </c>
      <c r="C140" s="277">
        <v>21002</v>
      </c>
      <c r="D140" s="136"/>
      <c r="E140" s="187">
        <f t="shared" si="3"/>
        <v>21002</v>
      </c>
      <c r="F140" s="187">
        <f t="shared" si="4"/>
        <v>21002</v>
      </c>
      <c r="G140" s="187">
        <f t="shared" si="5"/>
        <v>0</v>
      </c>
      <c r="H140" s="214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>
        <v>21002</v>
      </c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6"/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  <c r="AW140" s="217"/>
      <c r="AX140" s="217"/>
    </row>
    <row r="141" spans="1:50" s="119" customFormat="1" ht="18" customHeight="1" thickBot="1" x14ac:dyDescent="0.35">
      <c r="A141" s="136" t="s">
        <v>135</v>
      </c>
      <c r="B141" s="135" t="s">
        <v>313</v>
      </c>
      <c r="C141" s="277">
        <v>16111</v>
      </c>
      <c r="D141" s="136"/>
      <c r="E141" s="187">
        <f t="shared" ref="E141:E191" si="6">C141</f>
        <v>16111</v>
      </c>
      <c r="F141" s="187">
        <f t="shared" ref="F141:F194" si="7">SUM(H141:AV141)</f>
        <v>16111</v>
      </c>
      <c r="G141" s="187">
        <f t="shared" ref="G141:G194" si="8">E141-(F141+AW141+AX141)</f>
        <v>0</v>
      </c>
      <c r="H141" s="214"/>
      <c r="I141" s="215"/>
      <c r="J141" s="215"/>
      <c r="K141" s="215"/>
      <c r="L141" s="215"/>
      <c r="M141" s="215"/>
      <c r="N141" s="215"/>
      <c r="O141" s="215">
        <v>6003</v>
      </c>
      <c r="P141" s="215"/>
      <c r="Q141" s="215"/>
      <c r="R141" s="215">
        <v>9757</v>
      </c>
      <c r="S141" s="215"/>
      <c r="T141" s="215"/>
      <c r="U141" s="215"/>
      <c r="V141" s="215"/>
      <c r="W141" s="215"/>
      <c r="X141" s="215"/>
      <c r="Y141" s="215"/>
      <c r="Z141" s="215">
        <v>351</v>
      </c>
      <c r="AA141" s="215"/>
      <c r="AB141" s="215"/>
      <c r="AC141" s="215"/>
      <c r="AD141" s="215"/>
      <c r="AE141" s="215"/>
      <c r="AF141" s="215"/>
      <c r="AG141" s="215"/>
      <c r="AH141" s="215"/>
      <c r="AI141" s="216"/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  <c r="AW141" s="217"/>
      <c r="AX141" s="217"/>
    </row>
    <row r="142" spans="1:50" s="119" customFormat="1" ht="18" customHeight="1" thickBot="1" x14ac:dyDescent="0.35">
      <c r="A142" s="136" t="s">
        <v>136</v>
      </c>
      <c r="B142" s="135" t="s">
        <v>314</v>
      </c>
      <c r="C142" s="277">
        <v>8010</v>
      </c>
      <c r="D142" s="136" t="s">
        <v>372</v>
      </c>
      <c r="E142" s="187">
        <v>0</v>
      </c>
      <c r="F142" s="187">
        <f t="shared" si="7"/>
        <v>0</v>
      </c>
      <c r="G142" s="187">
        <f t="shared" si="8"/>
        <v>0</v>
      </c>
      <c r="H142" s="214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I142" s="216"/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  <c r="AW142" s="217"/>
      <c r="AX142" s="217"/>
    </row>
    <row r="143" spans="1:50" s="119" customFormat="1" ht="18" customHeight="1" thickBot="1" x14ac:dyDescent="0.35">
      <c r="A143" s="136" t="s">
        <v>137</v>
      </c>
      <c r="B143" s="135" t="s">
        <v>315</v>
      </c>
      <c r="C143" s="277">
        <v>19120</v>
      </c>
      <c r="D143" s="136"/>
      <c r="E143" s="187">
        <f t="shared" si="6"/>
        <v>19120</v>
      </c>
      <c r="F143" s="187">
        <f t="shared" si="7"/>
        <v>19120</v>
      </c>
      <c r="G143" s="187">
        <f t="shared" si="8"/>
        <v>0</v>
      </c>
      <c r="H143" s="214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>
        <v>18314.900000000001</v>
      </c>
      <c r="AB143" s="215"/>
      <c r="AC143" s="215"/>
      <c r="AD143" s="215"/>
      <c r="AE143" s="215"/>
      <c r="AF143" s="215"/>
      <c r="AG143" s="215"/>
      <c r="AH143" s="215"/>
      <c r="AI143" s="216"/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>
        <v>805.1</v>
      </c>
      <c r="AU143" s="217"/>
      <c r="AV143" s="217"/>
      <c r="AW143" s="217"/>
      <c r="AX143" s="217"/>
    </row>
    <row r="144" spans="1:50" s="119" customFormat="1" ht="18" customHeight="1" thickBot="1" x14ac:dyDescent="0.35">
      <c r="A144" s="136" t="s">
        <v>138</v>
      </c>
      <c r="B144" s="135" t="s">
        <v>316</v>
      </c>
      <c r="C144" s="277">
        <v>9069</v>
      </c>
      <c r="D144" s="136"/>
      <c r="E144" s="187">
        <f t="shared" si="6"/>
        <v>9069</v>
      </c>
      <c r="F144" s="187">
        <f t="shared" si="7"/>
        <v>9069</v>
      </c>
      <c r="G144" s="187">
        <f t="shared" si="8"/>
        <v>0</v>
      </c>
      <c r="H144" s="214"/>
      <c r="I144" s="215"/>
      <c r="J144" s="215"/>
      <c r="K144" s="215"/>
      <c r="L144" s="215"/>
      <c r="M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>
        <v>9069</v>
      </c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6"/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  <c r="AW144" s="217"/>
      <c r="AX144" s="217"/>
    </row>
    <row r="145" spans="1:50" s="119" customFormat="1" ht="18" customHeight="1" thickBot="1" x14ac:dyDescent="0.35">
      <c r="A145" s="136" t="s">
        <v>139</v>
      </c>
      <c r="B145" s="135" t="s">
        <v>317</v>
      </c>
      <c r="C145" s="277">
        <v>73087</v>
      </c>
      <c r="D145" s="136"/>
      <c r="E145" s="187">
        <f t="shared" si="6"/>
        <v>73087</v>
      </c>
      <c r="F145" s="187">
        <f t="shared" si="7"/>
        <v>73087</v>
      </c>
      <c r="G145" s="187">
        <f t="shared" si="8"/>
        <v>0</v>
      </c>
      <c r="H145" s="214"/>
      <c r="I145" s="215"/>
      <c r="J145" s="215"/>
      <c r="K145" s="215"/>
      <c r="L145" s="215"/>
      <c r="M145" s="215">
        <f>6331+8422</f>
        <v>14753</v>
      </c>
      <c r="N145" s="215">
        <v>6192</v>
      </c>
      <c r="O145" s="215">
        <v>6154</v>
      </c>
      <c r="P145" s="215">
        <v>8289</v>
      </c>
      <c r="Q145" s="215">
        <v>4008</v>
      </c>
      <c r="R145" s="284">
        <v>4080</v>
      </c>
      <c r="S145" s="215">
        <f>4008*2</f>
        <v>8016</v>
      </c>
      <c r="T145" s="215"/>
      <c r="U145" s="215"/>
      <c r="V145" s="215"/>
      <c r="W145" s="215">
        <v>8015</v>
      </c>
      <c r="X145" s="215">
        <v>12454</v>
      </c>
      <c r="Y145" s="215">
        <v>1126</v>
      </c>
      <c r="Z145" s="215"/>
      <c r="AA145" s="215"/>
      <c r="AB145" s="215"/>
      <c r="AC145" s="215"/>
      <c r="AD145" s="215"/>
      <c r="AE145" s="215"/>
      <c r="AF145" s="215"/>
      <c r="AG145" s="215"/>
      <c r="AH145" s="215"/>
      <c r="AI145" s="216"/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  <c r="AW145" s="217"/>
      <c r="AX145" s="217"/>
    </row>
    <row r="146" spans="1:50" s="119" customFormat="1" ht="18" customHeight="1" thickBot="1" x14ac:dyDescent="0.35">
      <c r="A146" s="136" t="s">
        <v>140</v>
      </c>
      <c r="B146" s="135" t="s">
        <v>318</v>
      </c>
      <c r="C146" s="277">
        <v>10558</v>
      </c>
      <c r="D146" s="136"/>
      <c r="E146" s="187">
        <f t="shared" si="6"/>
        <v>10558</v>
      </c>
      <c r="F146" s="187">
        <f t="shared" si="7"/>
        <v>10558</v>
      </c>
      <c r="G146" s="187">
        <f t="shared" si="8"/>
        <v>0</v>
      </c>
      <c r="H146" s="214"/>
      <c r="I146" s="215"/>
      <c r="J146" s="215"/>
      <c r="K146" s="215"/>
      <c r="L146" s="215"/>
      <c r="M146" s="215"/>
      <c r="N146" s="215"/>
      <c r="O146" s="215">
        <v>10463</v>
      </c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>
        <v>95</v>
      </c>
      <c r="AD146" s="215"/>
      <c r="AE146" s="215"/>
      <c r="AF146" s="215"/>
      <c r="AG146" s="215"/>
      <c r="AH146" s="215"/>
      <c r="AI146" s="216"/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  <c r="AW146" s="217"/>
      <c r="AX146" s="217"/>
    </row>
    <row r="147" spans="1:50" s="119" customFormat="1" ht="18" customHeight="1" thickBot="1" x14ac:dyDescent="0.35">
      <c r="A147" s="136" t="s">
        <v>141</v>
      </c>
      <c r="B147" s="135" t="s">
        <v>319</v>
      </c>
      <c r="C147" s="277">
        <v>6631</v>
      </c>
      <c r="D147" s="136"/>
      <c r="E147" s="187">
        <f t="shared" si="6"/>
        <v>6631</v>
      </c>
      <c r="F147" s="187">
        <f t="shared" si="7"/>
        <v>6631</v>
      </c>
      <c r="G147" s="187">
        <f t="shared" si="8"/>
        <v>0</v>
      </c>
      <c r="H147" s="214"/>
      <c r="I147" s="215"/>
      <c r="J147" s="215"/>
      <c r="K147" s="215"/>
      <c r="L147" s="215"/>
      <c r="M147" s="215"/>
      <c r="N147" s="215"/>
      <c r="O147" s="215"/>
      <c r="P147" s="215"/>
      <c r="Q147" s="215">
        <v>3274.74</v>
      </c>
      <c r="R147" s="215"/>
      <c r="S147" s="215">
        <v>1432.86</v>
      </c>
      <c r="T147" s="215"/>
      <c r="U147" s="215"/>
      <c r="V147" s="215">
        <v>1923.4</v>
      </c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215"/>
      <c r="AG147" s="215"/>
      <c r="AH147" s="215"/>
      <c r="AI147" s="216"/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  <c r="AW147" s="217"/>
      <c r="AX147" s="217"/>
    </row>
    <row r="148" spans="1:50" s="119" customFormat="1" ht="18" customHeight="1" thickBot="1" x14ac:dyDescent="0.35">
      <c r="A148" s="136" t="s">
        <v>142</v>
      </c>
      <c r="B148" s="135" t="s">
        <v>320</v>
      </c>
      <c r="C148" s="277">
        <v>929175</v>
      </c>
      <c r="D148" s="136"/>
      <c r="E148" s="187">
        <f t="shared" si="6"/>
        <v>929175</v>
      </c>
      <c r="F148" s="187">
        <f t="shared" si="7"/>
        <v>929174.99999999988</v>
      </c>
      <c r="G148" s="187">
        <f t="shared" si="8"/>
        <v>0</v>
      </c>
      <c r="H148" s="214"/>
      <c r="I148" s="215"/>
      <c r="J148" s="215"/>
      <c r="K148" s="215"/>
      <c r="L148" s="215"/>
      <c r="M148" s="215"/>
      <c r="O148" s="282">
        <v>62807.81</v>
      </c>
      <c r="P148" s="215">
        <v>70173.679999999993</v>
      </c>
      <c r="Q148" s="215">
        <v>68891.56</v>
      </c>
      <c r="R148" s="215">
        <v>59407.65</v>
      </c>
      <c r="S148" s="215">
        <v>289532.31</v>
      </c>
      <c r="T148" s="215"/>
      <c r="U148" s="215"/>
      <c r="V148" s="215">
        <v>106305.48</v>
      </c>
      <c r="W148" s="215">
        <v>2312</v>
      </c>
      <c r="X148" s="215">
        <v>191873.7</v>
      </c>
      <c r="Y148" s="215">
        <v>37146.57</v>
      </c>
      <c r="Z148" s="215">
        <v>40724.239999999998</v>
      </c>
      <c r="AA148" s="215"/>
      <c r="AB148" s="215"/>
      <c r="AC148" s="215"/>
      <c r="AD148" s="215"/>
      <c r="AE148" s="215"/>
      <c r="AF148" s="215"/>
      <c r="AG148" s="215"/>
      <c r="AH148" s="215"/>
      <c r="AI148" s="216"/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  <c r="AW148" s="217"/>
      <c r="AX148" s="217"/>
    </row>
    <row r="149" spans="1:50" s="119" customFormat="1" ht="18" customHeight="1" thickBot="1" x14ac:dyDescent="0.35">
      <c r="A149" s="136" t="s">
        <v>143</v>
      </c>
      <c r="B149" s="135" t="s">
        <v>321</v>
      </c>
      <c r="C149" s="277">
        <v>229210</v>
      </c>
      <c r="D149" s="136"/>
      <c r="E149" s="187">
        <f t="shared" si="6"/>
        <v>229210</v>
      </c>
      <c r="F149" s="187">
        <f t="shared" si="7"/>
        <v>229210.00000000006</v>
      </c>
      <c r="G149" s="187">
        <f t="shared" si="8"/>
        <v>0</v>
      </c>
      <c r="H149" s="214"/>
      <c r="I149" s="215"/>
      <c r="J149" s="215"/>
      <c r="K149" s="215"/>
      <c r="L149" s="215">
        <v>15239.27</v>
      </c>
      <c r="M149" s="215">
        <v>14633.17</v>
      </c>
      <c r="N149" s="215">
        <v>14633.66</v>
      </c>
      <c r="O149" s="282">
        <v>14644.42</v>
      </c>
      <c r="P149" s="215">
        <v>14639.05</v>
      </c>
      <c r="Q149" s="215">
        <v>17015.13</v>
      </c>
      <c r="R149" s="215">
        <v>14639.05</v>
      </c>
      <c r="S149" s="215">
        <v>14639.05</v>
      </c>
      <c r="T149" s="215"/>
      <c r="U149" s="215">
        <v>14569.45</v>
      </c>
      <c r="V149" s="215">
        <v>12428.26</v>
      </c>
      <c r="W149" s="215"/>
      <c r="X149" s="215"/>
      <c r="Y149" s="215"/>
      <c r="Z149" s="215">
        <v>29285.7</v>
      </c>
      <c r="AA149" s="215">
        <v>52843.79</v>
      </c>
      <c r="AB149" s="215"/>
      <c r="AC149" s="215"/>
      <c r="AD149" s="215"/>
      <c r="AE149" s="215"/>
      <c r="AF149" s="215"/>
      <c r="AG149" s="215"/>
      <c r="AH149" s="215"/>
      <c r="AI149" s="216"/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  <c r="AW149" s="217"/>
      <c r="AX149" s="217"/>
    </row>
    <row r="150" spans="1:50" s="119" customFormat="1" ht="18" customHeight="1" thickBot="1" x14ac:dyDescent="0.35">
      <c r="A150" s="136" t="s">
        <v>144</v>
      </c>
      <c r="B150" s="135" t="s">
        <v>322</v>
      </c>
      <c r="C150" s="277">
        <v>18124</v>
      </c>
      <c r="D150" s="136"/>
      <c r="E150" s="187">
        <f t="shared" si="6"/>
        <v>18124</v>
      </c>
      <c r="F150" s="187">
        <f t="shared" si="7"/>
        <v>18124</v>
      </c>
      <c r="G150" s="187">
        <f t="shared" si="8"/>
        <v>0</v>
      </c>
      <c r="H150" s="214"/>
      <c r="I150" s="215"/>
      <c r="J150" s="215"/>
      <c r="K150" s="215"/>
      <c r="L150" s="215"/>
      <c r="M150" s="215"/>
      <c r="N150" s="215"/>
      <c r="O150" s="282"/>
      <c r="P150" s="215"/>
      <c r="Q150" s="215">
        <v>13591</v>
      </c>
      <c r="R150" s="215"/>
      <c r="S150" s="215">
        <v>4531</v>
      </c>
      <c r="T150" s="215"/>
      <c r="U150" s="215"/>
      <c r="V150" s="215"/>
      <c r="W150" s="215"/>
      <c r="X150" s="215">
        <v>2</v>
      </c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6"/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  <c r="AW150" s="217"/>
      <c r="AX150" s="217"/>
    </row>
    <row r="151" spans="1:50" s="119" customFormat="1" ht="18" customHeight="1" thickBot="1" x14ac:dyDescent="0.35">
      <c r="A151" s="136" t="s">
        <v>145</v>
      </c>
      <c r="B151" s="135" t="s">
        <v>323</v>
      </c>
      <c r="C151" s="277">
        <v>9326</v>
      </c>
      <c r="D151" s="136"/>
      <c r="E151" s="187">
        <f t="shared" si="6"/>
        <v>9326</v>
      </c>
      <c r="F151" s="187">
        <f t="shared" si="7"/>
        <v>9326</v>
      </c>
      <c r="G151" s="187">
        <f t="shared" si="8"/>
        <v>0</v>
      </c>
      <c r="H151" s="214"/>
      <c r="I151" s="215"/>
      <c r="J151" s="215"/>
      <c r="K151" s="215"/>
      <c r="L151" s="215"/>
      <c r="M151" s="215"/>
      <c r="O151" s="282"/>
      <c r="P151" s="215"/>
      <c r="Q151" s="215"/>
      <c r="R151" s="215"/>
      <c r="S151" s="215">
        <v>9326</v>
      </c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6"/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  <c r="AW151" s="217"/>
      <c r="AX151" s="217"/>
    </row>
    <row r="152" spans="1:50" s="119" customFormat="1" ht="18" customHeight="1" thickBot="1" x14ac:dyDescent="0.35">
      <c r="A152" s="136" t="s">
        <v>146</v>
      </c>
      <c r="B152" s="135" t="s">
        <v>324</v>
      </c>
      <c r="C152" s="277">
        <v>26464</v>
      </c>
      <c r="D152" s="136"/>
      <c r="E152" s="187">
        <f t="shared" si="6"/>
        <v>26464</v>
      </c>
      <c r="F152" s="187">
        <f t="shared" si="7"/>
        <v>26464</v>
      </c>
      <c r="G152" s="187">
        <f t="shared" si="8"/>
        <v>0</v>
      </c>
      <c r="H152" s="214"/>
      <c r="I152" s="215"/>
      <c r="J152" s="215"/>
      <c r="K152" s="215"/>
      <c r="L152" s="215"/>
      <c r="M152" s="215"/>
      <c r="N152" s="215"/>
      <c r="O152" s="282"/>
      <c r="P152" s="215"/>
      <c r="Q152" s="215"/>
      <c r="R152" s="215"/>
      <c r="S152" s="215"/>
      <c r="T152" s="215"/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>
        <v>545.16</v>
      </c>
      <c r="AE152" s="215">
        <v>4215.83</v>
      </c>
      <c r="AF152" s="215"/>
      <c r="AG152" s="215"/>
      <c r="AH152" s="215">
        <f>6355.58+3707</f>
        <v>10062.58</v>
      </c>
      <c r="AI152" s="216">
        <v>11640.43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  <c r="AW152" s="217"/>
      <c r="AX152" s="217"/>
    </row>
    <row r="153" spans="1:50" s="119" customFormat="1" ht="18" customHeight="1" thickBot="1" x14ac:dyDescent="0.35">
      <c r="A153" s="136" t="s">
        <v>147</v>
      </c>
      <c r="B153" s="135" t="s">
        <v>325</v>
      </c>
      <c r="C153" s="277">
        <v>54467</v>
      </c>
      <c r="D153" s="136"/>
      <c r="E153" s="187">
        <f t="shared" si="6"/>
        <v>54467</v>
      </c>
      <c r="F153" s="187">
        <f t="shared" si="7"/>
        <v>54467</v>
      </c>
      <c r="G153" s="187">
        <f t="shared" si="8"/>
        <v>0</v>
      </c>
      <c r="H153" s="214"/>
      <c r="I153" s="215"/>
      <c r="J153" s="215"/>
      <c r="K153" s="215">
        <v>4396</v>
      </c>
      <c r="L153" s="215">
        <v>4396</v>
      </c>
      <c r="M153" s="215">
        <v>4396</v>
      </c>
      <c r="N153" s="215">
        <v>4207</v>
      </c>
      <c r="O153" s="215">
        <v>4396</v>
      </c>
      <c r="P153" s="215">
        <v>4397</v>
      </c>
      <c r="Q153" s="215">
        <v>4396</v>
      </c>
      <c r="R153" s="215">
        <v>4396</v>
      </c>
      <c r="S153" s="215">
        <v>4260</v>
      </c>
      <c r="T153" s="215">
        <v>4218</v>
      </c>
      <c r="U153" s="215"/>
      <c r="V153" s="215">
        <v>8891</v>
      </c>
      <c r="W153" s="215">
        <v>2118</v>
      </c>
      <c r="X153" s="215"/>
      <c r="Y153" s="215"/>
      <c r="Z153" s="215"/>
      <c r="AA153" s="215"/>
      <c r="AB153" s="215"/>
      <c r="AC153" s="215"/>
      <c r="AD153" s="215"/>
      <c r="AE153" s="215"/>
      <c r="AF153" s="215"/>
      <c r="AG153" s="215"/>
      <c r="AH153" s="215"/>
      <c r="AI153" s="216"/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  <c r="AW153" s="217"/>
      <c r="AX153" s="217"/>
    </row>
    <row r="154" spans="1:50" s="119" customFormat="1" ht="18" customHeight="1" thickBot="1" x14ac:dyDescent="0.35">
      <c r="A154" s="136" t="s">
        <v>148</v>
      </c>
      <c r="B154" s="135" t="s">
        <v>326</v>
      </c>
      <c r="C154" s="277">
        <v>6377</v>
      </c>
      <c r="D154" s="136"/>
      <c r="E154" s="187">
        <f t="shared" si="6"/>
        <v>6377</v>
      </c>
      <c r="F154" s="187">
        <f t="shared" si="7"/>
        <v>6377</v>
      </c>
      <c r="G154" s="187">
        <f t="shared" si="8"/>
        <v>0</v>
      </c>
      <c r="H154" s="214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>
        <v>12</v>
      </c>
      <c r="T154" s="215"/>
      <c r="U154" s="215"/>
      <c r="V154" s="215"/>
      <c r="W154" s="215"/>
      <c r="X154" s="215"/>
      <c r="Y154" s="215"/>
      <c r="Z154" s="215"/>
      <c r="AA154" s="215"/>
      <c r="AB154" s="215"/>
      <c r="AC154" s="215"/>
      <c r="AD154" s="215"/>
      <c r="AE154" s="215">
        <v>6365</v>
      </c>
      <c r="AF154" s="215"/>
      <c r="AG154" s="215"/>
      <c r="AH154" s="215"/>
      <c r="AI154" s="216"/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  <c r="AW154" s="217"/>
      <c r="AX154" s="217"/>
    </row>
    <row r="155" spans="1:50" s="119" customFormat="1" ht="18" customHeight="1" thickBot="1" x14ac:dyDescent="0.35">
      <c r="A155" s="136" t="s">
        <v>149</v>
      </c>
      <c r="B155" s="135" t="s">
        <v>327</v>
      </c>
      <c r="C155" s="277">
        <v>4624</v>
      </c>
      <c r="D155" s="136"/>
      <c r="E155" s="187">
        <f t="shared" si="6"/>
        <v>4624</v>
      </c>
      <c r="F155" s="187">
        <f t="shared" si="7"/>
        <v>4624</v>
      </c>
      <c r="G155" s="187">
        <f t="shared" si="8"/>
        <v>0</v>
      </c>
      <c r="H155" s="214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>
        <v>4512</v>
      </c>
      <c r="T155" s="215"/>
      <c r="U155" s="215"/>
      <c r="V155" s="215"/>
      <c r="W155" s="215"/>
      <c r="X155" s="215"/>
      <c r="Y155" s="215"/>
      <c r="Z155" s="215"/>
      <c r="AA155" s="215"/>
      <c r="AB155" s="215"/>
      <c r="AC155" s="215"/>
      <c r="AD155" s="215"/>
      <c r="AE155" s="215"/>
      <c r="AF155" s="215"/>
      <c r="AG155" s="215"/>
      <c r="AH155" s="215"/>
      <c r="AI155" s="216"/>
      <c r="AJ155" s="217"/>
      <c r="AK155" s="282">
        <v>112</v>
      </c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  <c r="AW155" s="217"/>
      <c r="AX155" s="217"/>
    </row>
    <row r="156" spans="1:50" s="119" customFormat="1" ht="18" customHeight="1" thickBot="1" x14ac:dyDescent="0.35">
      <c r="A156" s="136" t="s">
        <v>150</v>
      </c>
      <c r="B156" s="135" t="s">
        <v>328</v>
      </c>
      <c r="C156" s="277">
        <v>39468</v>
      </c>
      <c r="D156" s="136"/>
      <c r="E156" s="187">
        <f t="shared" si="6"/>
        <v>39468</v>
      </c>
      <c r="F156" s="187">
        <f t="shared" si="7"/>
        <v>39468</v>
      </c>
      <c r="G156" s="187">
        <f t="shared" si="8"/>
        <v>0</v>
      </c>
      <c r="H156" s="214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>
        <v>39468</v>
      </c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  <c r="AF156" s="215"/>
      <c r="AG156" s="215"/>
      <c r="AH156" s="215"/>
      <c r="AI156" s="216"/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  <c r="AW156" s="217"/>
      <c r="AX156" s="217"/>
    </row>
    <row r="157" spans="1:50" s="119" customFormat="1" ht="18" customHeight="1" thickBot="1" x14ac:dyDescent="0.35">
      <c r="A157" s="136" t="s">
        <v>151</v>
      </c>
      <c r="B157" s="135" t="s">
        <v>329</v>
      </c>
      <c r="C157" s="277">
        <v>11216</v>
      </c>
      <c r="D157" s="136"/>
      <c r="E157" s="187">
        <f t="shared" si="6"/>
        <v>11216</v>
      </c>
      <c r="F157" s="187">
        <f t="shared" si="7"/>
        <v>11216</v>
      </c>
      <c r="G157" s="187">
        <f t="shared" si="8"/>
        <v>0</v>
      </c>
      <c r="H157" s="214"/>
      <c r="I157" s="215"/>
      <c r="J157" s="215"/>
      <c r="K157" s="215"/>
      <c r="L157" s="215"/>
      <c r="M157" s="215"/>
      <c r="N157" s="215"/>
      <c r="O157" s="215"/>
      <c r="P157" s="215"/>
      <c r="Q157" s="215">
        <v>11216</v>
      </c>
      <c r="R157" s="215"/>
      <c r="S157" s="215"/>
      <c r="T157" s="215"/>
      <c r="U157" s="215"/>
      <c r="V157" s="215"/>
      <c r="W157" s="215"/>
      <c r="X157" s="215"/>
      <c r="Y157" s="215"/>
      <c r="Z157" s="215"/>
      <c r="AA157" s="215"/>
      <c r="AB157" s="215"/>
      <c r="AC157" s="215"/>
      <c r="AD157" s="215"/>
      <c r="AE157" s="215"/>
      <c r="AF157" s="215"/>
      <c r="AG157" s="215"/>
      <c r="AH157" s="215"/>
      <c r="AI157" s="216"/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  <c r="AW157" s="217"/>
      <c r="AX157" s="217"/>
    </row>
    <row r="158" spans="1:50" s="119" customFormat="1" ht="18" customHeight="1" thickBot="1" x14ac:dyDescent="0.35">
      <c r="A158" s="136" t="s">
        <v>152</v>
      </c>
      <c r="B158" s="135" t="s">
        <v>330</v>
      </c>
      <c r="C158" s="277">
        <v>11059</v>
      </c>
      <c r="D158" s="136"/>
      <c r="E158" s="187">
        <f t="shared" si="6"/>
        <v>11059</v>
      </c>
      <c r="F158" s="187">
        <f t="shared" si="7"/>
        <v>11059</v>
      </c>
      <c r="G158" s="187">
        <f>C158-F158</f>
        <v>0</v>
      </c>
      <c r="H158" s="214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>
        <v>11059</v>
      </c>
      <c r="V158" s="215"/>
      <c r="W158" s="215"/>
      <c r="X158" s="215"/>
      <c r="Y158" s="215"/>
      <c r="Z158" s="215"/>
      <c r="AA158" s="215"/>
      <c r="AB158" s="215"/>
      <c r="AC158" s="215"/>
      <c r="AD158" s="215"/>
      <c r="AE158" s="215"/>
      <c r="AF158" s="215"/>
      <c r="AG158" s="215"/>
      <c r="AH158" s="215"/>
      <c r="AI158" s="216"/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  <c r="AW158" s="217"/>
      <c r="AX158" s="217"/>
    </row>
    <row r="159" spans="1:50" s="119" customFormat="1" ht="18" customHeight="1" thickBot="1" x14ac:dyDescent="0.35">
      <c r="A159" s="136" t="s">
        <v>153</v>
      </c>
      <c r="B159" s="135" t="s">
        <v>331</v>
      </c>
      <c r="C159" s="277">
        <v>13473</v>
      </c>
      <c r="D159" s="136"/>
      <c r="E159" s="187">
        <f t="shared" si="6"/>
        <v>13473</v>
      </c>
      <c r="F159" s="187">
        <f t="shared" si="7"/>
        <v>13473</v>
      </c>
      <c r="G159" s="187">
        <f t="shared" si="8"/>
        <v>0</v>
      </c>
      <c r="H159" s="214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15"/>
      <c r="U159" s="215"/>
      <c r="V159" s="215"/>
      <c r="W159" s="215"/>
      <c r="X159" s="215">
        <v>3556.45</v>
      </c>
      <c r="Y159" s="215"/>
      <c r="Z159" s="215">
        <v>2621.49</v>
      </c>
      <c r="AA159" s="215">
        <v>30.95</v>
      </c>
      <c r="AB159" s="215">
        <v>82.5</v>
      </c>
      <c r="AC159" s="215"/>
      <c r="AD159" s="215">
        <v>110</v>
      </c>
      <c r="AE159" s="215"/>
      <c r="AF159" s="215"/>
      <c r="AG159" s="215"/>
      <c r="AH159" s="215"/>
      <c r="AI159" s="216">
        <v>7071.61</v>
      </c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  <c r="AW159" s="217"/>
      <c r="AX159" s="217"/>
    </row>
    <row r="160" spans="1:50" s="119" customFormat="1" ht="18" customHeight="1" thickBot="1" x14ac:dyDescent="0.35">
      <c r="A160" s="136" t="s">
        <v>154</v>
      </c>
      <c r="B160" s="135" t="s">
        <v>332</v>
      </c>
      <c r="C160" s="277">
        <v>39409</v>
      </c>
      <c r="D160" s="136"/>
      <c r="E160" s="187">
        <f t="shared" si="6"/>
        <v>39409</v>
      </c>
      <c r="F160" s="187">
        <f t="shared" si="7"/>
        <v>39409</v>
      </c>
      <c r="G160" s="187">
        <f t="shared" si="8"/>
        <v>0</v>
      </c>
      <c r="H160" s="214"/>
      <c r="I160" s="215"/>
      <c r="J160" s="215"/>
      <c r="K160" s="215"/>
      <c r="L160" s="215"/>
      <c r="M160" s="215"/>
      <c r="N160" s="215">
        <v>25808.79</v>
      </c>
      <c r="O160" s="215"/>
      <c r="P160" s="215"/>
      <c r="Q160" s="215">
        <v>13600.21</v>
      </c>
      <c r="R160" s="215"/>
      <c r="S160" s="215"/>
      <c r="T160" s="215"/>
      <c r="U160" s="215"/>
      <c r="V160" s="215"/>
      <c r="W160" s="215"/>
      <c r="X160" s="215"/>
      <c r="Y160" s="215"/>
      <c r="Z160" s="215"/>
      <c r="AA160" s="215"/>
      <c r="AB160" s="215"/>
      <c r="AC160" s="215"/>
      <c r="AD160" s="215"/>
      <c r="AE160" s="215"/>
      <c r="AF160" s="215"/>
      <c r="AG160" s="215"/>
      <c r="AH160" s="215"/>
      <c r="AI160" s="216"/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  <c r="AW160" s="217"/>
      <c r="AX160" s="217"/>
    </row>
    <row r="161" spans="1:50" s="119" customFormat="1" ht="18" customHeight="1" thickBot="1" x14ac:dyDescent="0.35">
      <c r="A161" s="136" t="s">
        <v>155</v>
      </c>
      <c r="B161" s="135" t="s">
        <v>333</v>
      </c>
      <c r="C161" s="277">
        <v>2280</v>
      </c>
      <c r="D161" s="136"/>
      <c r="E161" s="187">
        <f t="shared" si="6"/>
        <v>2280</v>
      </c>
      <c r="F161" s="187">
        <f t="shared" si="7"/>
        <v>2280</v>
      </c>
      <c r="G161" s="187">
        <f t="shared" si="8"/>
        <v>0</v>
      </c>
      <c r="H161" s="214"/>
      <c r="I161" s="215"/>
      <c r="J161" s="215"/>
      <c r="K161" s="215"/>
      <c r="L161" s="215"/>
      <c r="M161" s="215"/>
      <c r="N161" s="215"/>
      <c r="O161" s="215"/>
      <c r="P161" s="215">
        <v>2280</v>
      </c>
      <c r="Q161" s="215"/>
      <c r="R161" s="215"/>
      <c r="S161" s="215"/>
      <c r="T161" s="215"/>
      <c r="U161" s="215"/>
      <c r="V161" s="215"/>
      <c r="W161" s="215"/>
      <c r="X161" s="215"/>
      <c r="Y161" s="215"/>
      <c r="Z161" s="215"/>
      <c r="AA161" s="215"/>
      <c r="AB161" s="215"/>
      <c r="AC161" s="215"/>
      <c r="AD161" s="215"/>
      <c r="AE161" s="215"/>
      <c r="AF161" s="215"/>
      <c r="AG161" s="215"/>
      <c r="AH161" s="215"/>
      <c r="AI161" s="216"/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  <c r="AW161" s="217"/>
      <c r="AX161" s="217"/>
    </row>
    <row r="162" spans="1:50" s="119" customFormat="1" ht="18" customHeight="1" thickBot="1" x14ac:dyDescent="0.35">
      <c r="A162" s="136" t="s">
        <v>156</v>
      </c>
      <c r="B162" s="135" t="s">
        <v>334</v>
      </c>
      <c r="C162" s="277">
        <v>14716</v>
      </c>
      <c r="D162" s="136"/>
      <c r="E162" s="187">
        <f t="shared" si="6"/>
        <v>14716</v>
      </c>
      <c r="F162" s="187">
        <f t="shared" si="7"/>
        <v>14716</v>
      </c>
      <c r="G162" s="187">
        <f t="shared" si="8"/>
        <v>0</v>
      </c>
      <c r="H162" s="214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>
        <v>11460</v>
      </c>
      <c r="T162" s="215"/>
      <c r="U162" s="215"/>
      <c r="V162" s="215"/>
      <c r="W162" s="215"/>
      <c r="X162" s="215"/>
      <c r="Y162" s="215"/>
      <c r="Z162" s="215"/>
      <c r="AA162" s="215"/>
      <c r="AB162" s="215"/>
      <c r="AC162" s="215">
        <v>3256</v>
      </c>
      <c r="AD162" s="215"/>
      <c r="AE162" s="215"/>
      <c r="AF162" s="215"/>
      <c r="AG162" s="215"/>
      <c r="AH162" s="215"/>
      <c r="AI162" s="216"/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  <c r="AW162" s="217"/>
      <c r="AX162" s="217"/>
    </row>
    <row r="163" spans="1:50" s="119" customFormat="1" ht="18" customHeight="1" thickBot="1" x14ac:dyDescent="0.35">
      <c r="A163" s="136" t="s">
        <v>157</v>
      </c>
      <c r="B163" s="135" t="s">
        <v>335</v>
      </c>
      <c r="C163" s="277">
        <v>8070</v>
      </c>
      <c r="D163" s="136"/>
      <c r="E163" s="187">
        <f t="shared" si="6"/>
        <v>8070</v>
      </c>
      <c r="F163" s="187">
        <f t="shared" si="7"/>
        <v>8070</v>
      </c>
      <c r="G163" s="187">
        <f t="shared" si="8"/>
        <v>0</v>
      </c>
      <c r="H163" s="214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5"/>
      <c r="U163" s="215"/>
      <c r="V163" s="215"/>
      <c r="W163" s="215"/>
      <c r="X163" s="215"/>
      <c r="Y163" s="215"/>
      <c r="Z163" s="215"/>
      <c r="AA163" s="215"/>
      <c r="AB163" s="215"/>
      <c r="AC163" s="215"/>
      <c r="AD163" s="215">
        <v>8070</v>
      </c>
      <c r="AE163" s="215"/>
      <c r="AF163" s="215"/>
      <c r="AG163" s="215"/>
      <c r="AH163" s="215"/>
      <c r="AI163" s="216"/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  <c r="AW163" s="217"/>
      <c r="AX163" s="217"/>
    </row>
    <row r="164" spans="1:50" s="119" customFormat="1" ht="18" customHeight="1" thickBot="1" x14ac:dyDescent="0.35">
      <c r="A164" s="136" t="s">
        <v>158</v>
      </c>
      <c r="B164" s="135" t="s">
        <v>336</v>
      </c>
      <c r="C164" s="277">
        <v>9112</v>
      </c>
      <c r="D164" s="136" t="s">
        <v>372</v>
      </c>
      <c r="E164" s="187">
        <v>0</v>
      </c>
      <c r="F164" s="187">
        <f t="shared" si="7"/>
        <v>0</v>
      </c>
      <c r="G164" s="187">
        <f t="shared" si="8"/>
        <v>0</v>
      </c>
      <c r="H164" s="214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15"/>
      <c r="U164" s="215"/>
      <c r="V164" s="215"/>
      <c r="W164" s="215"/>
      <c r="X164" s="215"/>
      <c r="Y164" s="215"/>
      <c r="Z164" s="215"/>
      <c r="AA164" s="215"/>
      <c r="AB164" s="215"/>
      <c r="AC164" s="215"/>
      <c r="AD164" s="215"/>
      <c r="AE164" s="215"/>
      <c r="AF164" s="215"/>
      <c r="AG164" s="215"/>
      <c r="AH164" s="215"/>
      <c r="AI164" s="216"/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  <c r="AW164" s="217"/>
      <c r="AX164" s="217"/>
    </row>
    <row r="165" spans="1:50" s="119" customFormat="1" ht="18" customHeight="1" thickBot="1" x14ac:dyDescent="0.35">
      <c r="A165" s="136" t="s">
        <v>159</v>
      </c>
      <c r="B165" s="135" t="s">
        <v>616</v>
      </c>
      <c r="C165" s="277">
        <v>5367</v>
      </c>
      <c r="D165" s="136" t="s">
        <v>372</v>
      </c>
      <c r="E165" s="187">
        <v>0</v>
      </c>
      <c r="F165" s="187">
        <f t="shared" si="7"/>
        <v>0</v>
      </c>
      <c r="G165" s="187">
        <f t="shared" si="8"/>
        <v>0</v>
      </c>
      <c r="H165" s="214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15"/>
      <c r="U165" s="215"/>
      <c r="V165" s="215"/>
      <c r="W165" s="215"/>
      <c r="X165" s="215"/>
      <c r="Y165" s="215"/>
      <c r="Z165" s="215"/>
      <c r="AA165" s="215"/>
      <c r="AB165" s="215"/>
      <c r="AC165" s="215"/>
      <c r="AD165" s="215"/>
      <c r="AE165" s="215"/>
      <c r="AF165" s="215"/>
      <c r="AG165" s="215"/>
      <c r="AH165" s="215"/>
      <c r="AI165" s="216"/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  <c r="AW165" s="217"/>
      <c r="AX165" s="217"/>
    </row>
    <row r="166" spans="1:50" s="119" customFormat="1" ht="18" customHeight="1" thickBot="1" x14ac:dyDescent="0.35">
      <c r="A166" s="136" t="s">
        <v>160</v>
      </c>
      <c r="B166" s="135" t="s">
        <v>337</v>
      </c>
      <c r="C166" s="277">
        <v>56492</v>
      </c>
      <c r="D166" s="136"/>
      <c r="E166" s="187">
        <f t="shared" si="6"/>
        <v>56492</v>
      </c>
      <c r="F166" s="187">
        <f t="shared" si="7"/>
        <v>56492</v>
      </c>
      <c r="G166" s="187">
        <f t="shared" si="8"/>
        <v>0</v>
      </c>
      <c r="H166" s="214"/>
      <c r="I166" s="215"/>
      <c r="J166" s="215"/>
      <c r="K166" s="215">
        <v>4881.84</v>
      </c>
      <c r="L166" s="215">
        <v>5352.95</v>
      </c>
      <c r="M166" s="215">
        <v>4877.41</v>
      </c>
      <c r="N166" s="215">
        <v>5353</v>
      </c>
      <c r="O166" s="215">
        <v>4873.6000000000004</v>
      </c>
      <c r="P166" s="215">
        <v>5653.6</v>
      </c>
      <c r="Q166" s="215">
        <v>5394.04</v>
      </c>
      <c r="R166" s="215">
        <v>4947.45</v>
      </c>
      <c r="S166" s="215">
        <v>4947.43</v>
      </c>
      <c r="T166" s="215">
        <v>4947.43</v>
      </c>
      <c r="U166" s="215">
        <v>5263.25</v>
      </c>
      <c r="V166" s="215"/>
      <c r="W166" s="215"/>
      <c r="X166" s="215"/>
      <c r="Y166" s="215"/>
      <c r="Z166" s="215"/>
      <c r="AA166" s="215"/>
      <c r="AB166" s="215"/>
      <c r="AC166" s="215"/>
      <c r="AD166" s="215"/>
      <c r="AE166" s="215"/>
      <c r="AF166" s="215"/>
      <c r="AG166" s="215"/>
      <c r="AH166" s="215"/>
      <c r="AI166" s="216"/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  <c r="AW166" s="217"/>
      <c r="AX166" s="217"/>
    </row>
    <row r="167" spans="1:50" s="119" customFormat="1" ht="18" customHeight="1" thickBot="1" x14ac:dyDescent="0.35">
      <c r="A167" s="136" t="s">
        <v>161</v>
      </c>
      <c r="B167" s="135" t="s">
        <v>338</v>
      </c>
      <c r="C167" s="277">
        <v>16166</v>
      </c>
      <c r="D167" s="136"/>
      <c r="E167" s="187">
        <f t="shared" si="6"/>
        <v>16166</v>
      </c>
      <c r="F167" s="187">
        <f t="shared" si="7"/>
        <v>16165.999999999998</v>
      </c>
      <c r="G167" s="187">
        <f t="shared" si="8"/>
        <v>0</v>
      </c>
      <c r="H167" s="214"/>
      <c r="I167" s="215"/>
      <c r="J167" s="215"/>
      <c r="K167" s="215"/>
      <c r="L167" s="215"/>
      <c r="M167" s="215">
        <v>5001.3</v>
      </c>
      <c r="N167" s="215"/>
      <c r="O167" s="215">
        <v>8054</v>
      </c>
      <c r="P167" s="215"/>
      <c r="Q167" s="215">
        <v>2671.24</v>
      </c>
      <c r="R167" s="215">
        <v>78</v>
      </c>
      <c r="S167" s="215">
        <v>361.46</v>
      </c>
      <c r="T167" s="215"/>
      <c r="U167" s="215"/>
      <c r="V167" s="215"/>
      <c r="W167" s="215"/>
      <c r="X167" s="215"/>
      <c r="Y167" s="215"/>
      <c r="Z167" s="215"/>
      <c r="AA167" s="215"/>
      <c r="AB167" s="215"/>
      <c r="AC167" s="215"/>
      <c r="AD167" s="215"/>
      <c r="AE167" s="215"/>
      <c r="AF167" s="215"/>
      <c r="AG167" s="215"/>
      <c r="AH167" s="215"/>
      <c r="AI167" s="216"/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  <c r="AW167" s="217"/>
      <c r="AX167" s="217"/>
    </row>
    <row r="168" spans="1:50" s="119" customFormat="1" ht="18" customHeight="1" thickBot="1" x14ac:dyDescent="0.35">
      <c r="A168" s="136" t="s">
        <v>162</v>
      </c>
      <c r="B168" s="135" t="s">
        <v>339</v>
      </c>
      <c r="C168" s="277">
        <v>66546</v>
      </c>
      <c r="D168" s="136"/>
      <c r="E168" s="187">
        <f t="shared" si="6"/>
        <v>66546</v>
      </c>
      <c r="F168" s="187">
        <f t="shared" si="7"/>
        <v>66546</v>
      </c>
      <c r="G168" s="187">
        <f t="shared" si="8"/>
        <v>0</v>
      </c>
      <c r="H168" s="214"/>
      <c r="I168" s="215"/>
      <c r="J168" s="215"/>
      <c r="K168" s="215"/>
      <c r="L168" s="215"/>
      <c r="M168" s="215"/>
      <c r="O168" s="215"/>
      <c r="P168" s="215"/>
      <c r="Q168" s="215">
        <v>31958</v>
      </c>
      <c r="R168" s="215"/>
      <c r="S168" s="215">
        <v>27795</v>
      </c>
      <c r="T168" s="215"/>
      <c r="U168" s="215"/>
      <c r="V168" s="215"/>
      <c r="W168" s="215"/>
      <c r="X168" s="215"/>
      <c r="Y168" s="215"/>
      <c r="Z168" s="215">
        <v>6793</v>
      </c>
      <c r="AA168" s="215"/>
      <c r="AB168" s="215"/>
      <c r="AC168" s="215"/>
      <c r="AD168" s="215"/>
      <c r="AE168" s="215"/>
      <c r="AF168" s="215"/>
      <c r="AG168" s="215"/>
      <c r="AH168" s="215"/>
      <c r="AI168" s="216"/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  <c r="AW168" s="217"/>
      <c r="AX168" s="217"/>
    </row>
    <row r="169" spans="1:50" s="119" customFormat="1" ht="18" customHeight="1" thickBot="1" x14ac:dyDescent="0.35">
      <c r="A169" s="136" t="s">
        <v>163</v>
      </c>
      <c r="B169" s="135" t="s">
        <v>340</v>
      </c>
      <c r="C169" s="277">
        <v>16854</v>
      </c>
      <c r="D169" s="136"/>
      <c r="E169" s="187">
        <f t="shared" si="6"/>
        <v>16854</v>
      </c>
      <c r="F169" s="187">
        <f t="shared" si="7"/>
        <v>16854</v>
      </c>
      <c r="G169" s="187">
        <f t="shared" si="8"/>
        <v>0</v>
      </c>
      <c r="H169" s="214"/>
      <c r="I169" s="215"/>
      <c r="J169" s="215"/>
      <c r="K169" s="215"/>
      <c r="L169" s="215"/>
      <c r="M169" s="215"/>
      <c r="N169" s="215">
        <v>10770.44</v>
      </c>
      <c r="O169" s="215"/>
      <c r="P169" s="215"/>
      <c r="Q169" s="215"/>
      <c r="R169" s="215"/>
      <c r="S169" s="215">
        <v>5398.56</v>
      </c>
      <c r="T169" s="215"/>
      <c r="U169" s="215"/>
      <c r="V169" s="215"/>
      <c r="W169" s="215"/>
      <c r="X169" s="215"/>
      <c r="Y169" s="215"/>
      <c r="Z169" s="215">
        <v>685</v>
      </c>
      <c r="AA169" s="215"/>
      <c r="AB169" s="215"/>
      <c r="AC169" s="215"/>
      <c r="AD169" s="215"/>
      <c r="AE169" s="215"/>
      <c r="AF169" s="215"/>
      <c r="AG169" s="215"/>
      <c r="AH169" s="215"/>
      <c r="AI169" s="216"/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  <c r="AW169" s="217"/>
      <c r="AX169" s="217"/>
    </row>
    <row r="170" spans="1:50" s="119" customFormat="1" ht="18" customHeight="1" thickBot="1" x14ac:dyDescent="0.35">
      <c r="A170" s="136" t="s">
        <v>164</v>
      </c>
      <c r="B170" s="135" t="s">
        <v>341</v>
      </c>
      <c r="C170" s="277">
        <v>3894</v>
      </c>
      <c r="D170" s="136" t="s">
        <v>370</v>
      </c>
      <c r="E170" s="187">
        <v>0</v>
      </c>
      <c r="F170" s="187">
        <f t="shared" si="7"/>
        <v>0</v>
      </c>
      <c r="G170" s="187">
        <f t="shared" si="8"/>
        <v>0</v>
      </c>
      <c r="H170" s="214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15"/>
      <c r="AF170" s="215"/>
      <c r="AG170" s="215"/>
      <c r="AH170" s="215"/>
      <c r="AI170" s="216"/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  <c r="AW170" s="217"/>
      <c r="AX170" s="217"/>
    </row>
    <row r="171" spans="1:50" s="119" customFormat="1" ht="18" customHeight="1" thickBot="1" x14ac:dyDescent="0.35">
      <c r="A171" s="136" t="s">
        <v>165</v>
      </c>
      <c r="B171" s="135" t="s">
        <v>342</v>
      </c>
      <c r="C171" s="277">
        <v>3687</v>
      </c>
      <c r="D171" s="136" t="s">
        <v>372</v>
      </c>
      <c r="E171" s="187">
        <v>0</v>
      </c>
      <c r="F171" s="187">
        <f t="shared" si="7"/>
        <v>0</v>
      </c>
      <c r="G171" s="187">
        <f t="shared" si="8"/>
        <v>0</v>
      </c>
      <c r="H171" s="214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15"/>
      <c r="U171" s="215"/>
      <c r="V171" s="215"/>
      <c r="W171" s="215"/>
      <c r="X171" s="215"/>
      <c r="Y171" s="215"/>
      <c r="Z171" s="215"/>
      <c r="AA171" s="215"/>
      <c r="AB171" s="215"/>
      <c r="AC171" s="215"/>
      <c r="AD171" s="215"/>
      <c r="AE171" s="215"/>
      <c r="AF171" s="215"/>
      <c r="AG171" s="215"/>
      <c r="AH171" s="215"/>
      <c r="AI171" s="216"/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  <c r="AW171" s="217"/>
      <c r="AX171" s="217"/>
    </row>
    <row r="172" spans="1:50" s="119" customFormat="1" ht="18" customHeight="1" thickBot="1" x14ac:dyDescent="0.35">
      <c r="A172" s="136" t="s">
        <v>166</v>
      </c>
      <c r="B172" s="135" t="s">
        <v>343</v>
      </c>
      <c r="C172" s="277">
        <v>2071</v>
      </c>
      <c r="D172" s="136" t="s">
        <v>372</v>
      </c>
      <c r="E172" s="187">
        <v>0</v>
      </c>
      <c r="F172" s="187">
        <f t="shared" si="7"/>
        <v>0</v>
      </c>
      <c r="G172" s="187">
        <f t="shared" si="8"/>
        <v>0</v>
      </c>
      <c r="H172" s="214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15"/>
      <c r="U172" s="215"/>
      <c r="V172" s="215"/>
      <c r="W172" s="215"/>
      <c r="X172" s="215"/>
      <c r="Y172" s="215"/>
      <c r="Z172" s="215"/>
      <c r="AA172" s="215"/>
      <c r="AB172" s="215"/>
      <c r="AC172" s="215"/>
      <c r="AD172" s="215"/>
      <c r="AE172" s="215"/>
      <c r="AF172" s="215"/>
      <c r="AG172" s="215"/>
      <c r="AH172" s="215"/>
      <c r="AI172" s="216"/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  <c r="AW172" s="217"/>
      <c r="AX172" s="217"/>
    </row>
    <row r="173" spans="1:50" s="119" customFormat="1" ht="18" customHeight="1" thickBot="1" x14ac:dyDescent="0.35">
      <c r="A173" s="136" t="s">
        <v>167</v>
      </c>
      <c r="B173" s="135" t="s">
        <v>344</v>
      </c>
      <c r="C173" s="277">
        <v>2919</v>
      </c>
      <c r="D173" s="136" t="s">
        <v>370</v>
      </c>
      <c r="E173" s="187">
        <v>0</v>
      </c>
      <c r="F173" s="187">
        <f t="shared" si="7"/>
        <v>0</v>
      </c>
      <c r="G173" s="187">
        <f t="shared" si="8"/>
        <v>0</v>
      </c>
      <c r="H173" s="214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215"/>
      <c r="AD173" s="215"/>
      <c r="AE173" s="215"/>
      <c r="AF173" s="215"/>
      <c r="AG173" s="215"/>
      <c r="AH173" s="215"/>
      <c r="AI173" s="216"/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  <c r="AW173" s="217"/>
      <c r="AX173" s="217"/>
    </row>
    <row r="174" spans="1:50" s="119" customFormat="1" ht="18" customHeight="1" thickBot="1" x14ac:dyDescent="0.35">
      <c r="A174" s="136" t="s">
        <v>168</v>
      </c>
      <c r="B174" s="135" t="s">
        <v>345</v>
      </c>
      <c r="C174" s="277">
        <v>45780</v>
      </c>
      <c r="D174" s="136" t="s">
        <v>371</v>
      </c>
      <c r="E174" s="187">
        <v>0</v>
      </c>
      <c r="F174" s="187">
        <f t="shared" si="7"/>
        <v>0</v>
      </c>
      <c r="G174" s="187">
        <f t="shared" si="8"/>
        <v>0</v>
      </c>
      <c r="H174" s="214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15"/>
      <c r="U174" s="215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6"/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  <c r="AW174" s="217"/>
      <c r="AX174" s="217"/>
    </row>
    <row r="175" spans="1:50" s="119" customFormat="1" ht="18" customHeight="1" thickBot="1" x14ac:dyDescent="0.35">
      <c r="A175" s="136" t="s">
        <v>169</v>
      </c>
      <c r="B175" s="135" t="s">
        <v>346</v>
      </c>
      <c r="C175" s="277">
        <v>35449</v>
      </c>
      <c r="D175" s="136"/>
      <c r="E175" s="187">
        <f t="shared" si="6"/>
        <v>35449</v>
      </c>
      <c r="F175" s="187">
        <f t="shared" si="7"/>
        <v>35449</v>
      </c>
      <c r="G175" s="187">
        <f t="shared" si="8"/>
        <v>0</v>
      </c>
      <c r="H175" s="214"/>
      <c r="I175" s="215"/>
      <c r="J175" s="215"/>
      <c r="K175" s="215"/>
      <c r="L175" s="215"/>
      <c r="M175" s="215"/>
      <c r="N175" s="215"/>
      <c r="O175" s="215">
        <v>13693.23</v>
      </c>
      <c r="P175" s="215"/>
      <c r="Q175" s="215"/>
      <c r="R175" s="215"/>
      <c r="S175" s="215">
        <v>14623.4</v>
      </c>
      <c r="T175" s="215"/>
      <c r="U175" s="215"/>
      <c r="V175" s="215">
        <v>7132.37</v>
      </c>
      <c r="W175" s="215"/>
      <c r="X175" s="215"/>
      <c r="Y175" s="215"/>
      <c r="Z175" s="215"/>
      <c r="AA175" s="215"/>
      <c r="AB175" s="215"/>
      <c r="AC175" s="215"/>
      <c r="AD175" s="215"/>
      <c r="AE175" s="215"/>
      <c r="AF175" s="215"/>
      <c r="AG175" s="215"/>
      <c r="AH175" s="215"/>
      <c r="AI175" s="216"/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  <c r="AW175" s="217"/>
      <c r="AX175" s="217"/>
    </row>
    <row r="176" spans="1:50" s="119" customFormat="1" ht="18" customHeight="1" thickBot="1" x14ac:dyDescent="0.35">
      <c r="A176" s="136" t="s">
        <v>170</v>
      </c>
      <c r="B176" s="135" t="s">
        <v>617</v>
      </c>
      <c r="C176" s="277">
        <v>72148</v>
      </c>
      <c r="D176" s="136"/>
      <c r="E176" s="187">
        <f t="shared" si="6"/>
        <v>72148</v>
      </c>
      <c r="F176" s="187">
        <f t="shared" si="7"/>
        <v>72148</v>
      </c>
      <c r="G176" s="187">
        <f t="shared" si="8"/>
        <v>0</v>
      </c>
      <c r="H176" s="214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15"/>
      <c r="U176" s="215"/>
      <c r="V176" s="215"/>
      <c r="W176" s="215">
        <v>72148</v>
      </c>
      <c r="X176" s="215"/>
      <c r="Y176" s="215"/>
      <c r="Z176" s="215"/>
      <c r="AA176" s="215"/>
      <c r="AB176" s="215"/>
      <c r="AC176" s="215"/>
      <c r="AD176" s="215"/>
      <c r="AE176" s="215"/>
      <c r="AF176" s="215"/>
      <c r="AG176" s="215"/>
      <c r="AH176" s="215"/>
      <c r="AI176" s="216"/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  <c r="AW176" s="217"/>
      <c r="AX176" s="217"/>
    </row>
    <row r="177" spans="1:50" s="119" customFormat="1" ht="18" customHeight="1" thickBot="1" x14ac:dyDescent="0.35">
      <c r="A177" s="136" t="s">
        <v>171</v>
      </c>
      <c r="B177" s="135" t="s">
        <v>347</v>
      </c>
      <c r="C177" s="277">
        <v>68798</v>
      </c>
      <c r="D177" s="136"/>
      <c r="E177" s="187">
        <f t="shared" si="6"/>
        <v>68798</v>
      </c>
      <c r="F177" s="187">
        <f t="shared" si="7"/>
        <v>68798</v>
      </c>
      <c r="G177" s="187">
        <f t="shared" si="8"/>
        <v>0</v>
      </c>
      <c r="H177" s="214"/>
      <c r="I177" s="215"/>
      <c r="J177" s="215"/>
      <c r="K177" s="215"/>
      <c r="L177" s="215"/>
      <c r="M177" s="215"/>
      <c r="N177" s="215"/>
      <c r="O177" s="215"/>
      <c r="P177" s="215"/>
      <c r="Q177" s="215">
        <v>26799.59</v>
      </c>
      <c r="R177" s="215"/>
      <c r="S177" s="215">
        <v>14326.71</v>
      </c>
      <c r="T177" s="215">
        <v>17531.97</v>
      </c>
      <c r="U177" s="215"/>
      <c r="V177" s="215">
        <v>4039.73</v>
      </c>
      <c r="W177" s="215">
        <v>6100</v>
      </c>
      <c r="X177" s="215"/>
      <c r="Y177" s="215"/>
      <c r="Z177" s="215"/>
      <c r="AA177" s="215"/>
      <c r="AB177" s="215"/>
      <c r="AC177" s="215"/>
      <c r="AD177" s="215"/>
      <c r="AE177" s="215"/>
      <c r="AF177" s="215"/>
      <c r="AG177" s="215"/>
      <c r="AH177" s="215"/>
      <c r="AI177" s="216"/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  <c r="AW177" s="217"/>
      <c r="AX177" s="217"/>
    </row>
    <row r="178" spans="1:50" s="119" customFormat="1" ht="18" customHeight="1" thickBot="1" x14ac:dyDescent="0.35">
      <c r="A178" s="136" t="s">
        <v>172</v>
      </c>
      <c r="B178" s="135" t="s">
        <v>348</v>
      </c>
      <c r="C178" s="277">
        <v>59892</v>
      </c>
      <c r="D178" s="136"/>
      <c r="E178" s="187">
        <f t="shared" si="6"/>
        <v>59892</v>
      </c>
      <c r="F178" s="187">
        <f t="shared" si="7"/>
        <v>59892</v>
      </c>
      <c r="G178" s="187">
        <f t="shared" si="8"/>
        <v>0</v>
      </c>
      <c r="H178" s="214"/>
      <c r="I178" s="215"/>
      <c r="J178" s="215"/>
      <c r="K178" s="215"/>
      <c r="L178" s="215"/>
      <c r="M178" s="215">
        <v>12506</v>
      </c>
      <c r="N178" s="215">
        <v>6435</v>
      </c>
      <c r="O178" s="215">
        <f>8618.93*2</f>
        <v>17237.86</v>
      </c>
      <c r="P178" s="215">
        <v>8618.93</v>
      </c>
      <c r="Q178" s="215"/>
      <c r="R178" s="215">
        <v>8618.93</v>
      </c>
      <c r="S178" s="215">
        <v>6111.28</v>
      </c>
      <c r="T178" s="215"/>
      <c r="U178" s="215"/>
      <c r="V178" s="215"/>
      <c r="W178" s="215">
        <v>364</v>
      </c>
      <c r="X178" s="215"/>
      <c r="Y178" s="215"/>
      <c r="Z178" s="215"/>
      <c r="AA178" s="215"/>
      <c r="AB178" s="215"/>
      <c r="AC178" s="215"/>
      <c r="AD178" s="215"/>
      <c r="AE178" s="215"/>
      <c r="AF178" s="215"/>
      <c r="AG178" s="215"/>
      <c r="AH178" s="215"/>
      <c r="AI178" s="216"/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  <c r="AW178" s="217"/>
      <c r="AX178" s="217"/>
    </row>
    <row r="179" spans="1:50" s="119" customFormat="1" ht="18" customHeight="1" thickBot="1" x14ac:dyDescent="0.35">
      <c r="A179" s="136" t="s">
        <v>173</v>
      </c>
      <c r="B179" s="135" t="s">
        <v>349</v>
      </c>
      <c r="C179" s="277">
        <v>709986</v>
      </c>
      <c r="D179" s="136"/>
      <c r="E179" s="187">
        <f t="shared" si="6"/>
        <v>709986</v>
      </c>
      <c r="F179" s="187">
        <f t="shared" si="7"/>
        <v>709986</v>
      </c>
      <c r="G179" s="187">
        <f t="shared" si="8"/>
        <v>0</v>
      </c>
      <c r="H179" s="214"/>
      <c r="I179" s="215"/>
      <c r="J179" s="215"/>
      <c r="K179" s="215"/>
      <c r="L179" s="215"/>
      <c r="M179" s="215"/>
      <c r="N179" s="215">
        <v>6614.03</v>
      </c>
      <c r="O179" s="215"/>
      <c r="P179" s="215"/>
      <c r="Q179" s="215">
        <v>189425.13</v>
      </c>
      <c r="R179" s="215">
        <v>26210.11</v>
      </c>
      <c r="S179" s="215">
        <v>155093.41</v>
      </c>
      <c r="T179" s="215"/>
      <c r="U179" s="215"/>
      <c r="V179" s="215"/>
      <c r="W179" s="215"/>
      <c r="X179" s="215">
        <v>170509.1</v>
      </c>
      <c r="Y179" s="215"/>
      <c r="Z179" s="215">
        <v>162134.22</v>
      </c>
      <c r="AA179" s="215"/>
      <c r="AB179" s="215"/>
      <c r="AC179" s="215"/>
      <c r="AD179" s="215"/>
      <c r="AE179" s="215"/>
      <c r="AF179" s="215"/>
      <c r="AG179" s="215"/>
      <c r="AH179" s="215"/>
      <c r="AI179" s="216"/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  <c r="AW179" s="217"/>
      <c r="AX179" s="217"/>
    </row>
    <row r="180" spans="1:50" s="119" customFormat="1" ht="18" customHeight="1" thickBot="1" x14ac:dyDescent="0.35">
      <c r="A180" s="136" t="s">
        <v>174</v>
      </c>
      <c r="B180" s="135" t="s">
        <v>350</v>
      </c>
      <c r="C180" s="277">
        <v>34797</v>
      </c>
      <c r="D180" s="136" t="s">
        <v>371</v>
      </c>
      <c r="E180" s="187">
        <v>0</v>
      </c>
      <c r="F180" s="187">
        <f t="shared" si="7"/>
        <v>0</v>
      </c>
      <c r="G180" s="187">
        <f t="shared" si="8"/>
        <v>0</v>
      </c>
      <c r="H180" s="214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15"/>
      <c r="U180" s="215"/>
      <c r="V180" s="215"/>
      <c r="W180" s="215"/>
      <c r="X180" s="215"/>
      <c r="Y180" s="215"/>
      <c r="Z180" s="215"/>
      <c r="AA180" s="215"/>
      <c r="AB180" s="215"/>
      <c r="AC180" s="215"/>
      <c r="AD180" s="215"/>
      <c r="AE180" s="215"/>
      <c r="AF180" s="215"/>
      <c r="AG180" s="215"/>
      <c r="AH180" s="215"/>
      <c r="AI180" s="216"/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  <c r="AW180" s="217"/>
      <c r="AX180" s="217"/>
    </row>
    <row r="181" spans="1:50" s="119" customFormat="1" ht="18" customHeight="1" thickBot="1" x14ac:dyDescent="0.35">
      <c r="A181" s="136" t="s">
        <v>175</v>
      </c>
      <c r="B181" s="135" t="s">
        <v>351</v>
      </c>
      <c r="C181" s="277">
        <v>76816</v>
      </c>
      <c r="D181" s="136"/>
      <c r="E181" s="187">
        <f t="shared" si="6"/>
        <v>76816</v>
      </c>
      <c r="F181" s="187">
        <f t="shared" si="7"/>
        <v>76816</v>
      </c>
      <c r="G181" s="187">
        <f t="shared" si="8"/>
        <v>0</v>
      </c>
      <c r="H181" s="214"/>
      <c r="I181" s="215"/>
      <c r="J181" s="215"/>
      <c r="K181" s="215"/>
      <c r="L181" s="215"/>
      <c r="M181" s="215">
        <v>4627.3500000000004</v>
      </c>
      <c r="N181" s="215">
        <v>2666.37</v>
      </c>
      <c r="O181" s="215">
        <v>2666.33</v>
      </c>
      <c r="P181" s="215">
        <v>2666.19</v>
      </c>
      <c r="Q181" s="215">
        <v>2666.23</v>
      </c>
      <c r="R181" s="215">
        <v>25628.560000000001</v>
      </c>
      <c r="S181" s="215">
        <v>4851.07</v>
      </c>
      <c r="T181" s="215">
        <v>8391.07</v>
      </c>
      <c r="U181" s="215">
        <v>10076.64</v>
      </c>
      <c r="V181" s="215">
        <v>9759.52</v>
      </c>
      <c r="W181" s="215"/>
      <c r="X181" s="215"/>
      <c r="Y181" s="215"/>
      <c r="Z181" s="215"/>
      <c r="AA181" s="215"/>
      <c r="AB181" s="215">
        <v>2816.67</v>
      </c>
      <c r="AC181" s="215"/>
      <c r="AD181" s="215"/>
      <c r="AE181" s="215"/>
      <c r="AF181" s="215"/>
      <c r="AG181" s="215"/>
      <c r="AH181" s="215"/>
      <c r="AI181" s="216"/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  <c r="AW181" s="217"/>
      <c r="AX181" s="217"/>
    </row>
    <row r="182" spans="1:50" s="119" customFormat="1" ht="18" customHeight="1" thickBot="1" x14ac:dyDescent="0.35">
      <c r="A182" s="136" t="s">
        <v>176</v>
      </c>
      <c r="B182" s="135" t="s">
        <v>352</v>
      </c>
      <c r="C182" s="277">
        <v>26870</v>
      </c>
      <c r="D182" s="136"/>
      <c r="E182" s="187">
        <f t="shared" si="6"/>
        <v>26870</v>
      </c>
      <c r="F182" s="187">
        <f t="shared" si="7"/>
        <v>26870</v>
      </c>
      <c r="G182" s="187">
        <f t="shared" si="8"/>
        <v>0</v>
      </c>
      <c r="H182" s="214"/>
      <c r="I182" s="215"/>
      <c r="J182" s="215"/>
      <c r="K182" s="215"/>
      <c r="L182" s="215"/>
      <c r="M182" s="215"/>
      <c r="N182" s="215"/>
      <c r="O182" s="215"/>
      <c r="P182" s="215">
        <v>1256.49</v>
      </c>
      <c r="Q182" s="215">
        <v>2376.83</v>
      </c>
      <c r="R182" s="215"/>
      <c r="S182" s="215">
        <f>1166.67*2</f>
        <v>2333.34</v>
      </c>
      <c r="T182" s="215"/>
      <c r="U182" s="215">
        <f>(1349.9+2441.67)</f>
        <v>3791.57</v>
      </c>
      <c r="V182" s="215">
        <v>6229.14</v>
      </c>
      <c r="W182" s="215"/>
      <c r="X182" s="215"/>
      <c r="Y182" s="215"/>
      <c r="Z182" s="215"/>
      <c r="AA182" s="215"/>
      <c r="AB182" s="215">
        <v>10882.63</v>
      </c>
      <c r="AC182" s="215"/>
      <c r="AD182" s="215"/>
      <c r="AE182" s="215"/>
      <c r="AF182" s="215"/>
      <c r="AG182" s="215"/>
      <c r="AH182" s="215"/>
      <c r="AI182" s="216"/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  <c r="AW182" s="217"/>
      <c r="AX182" s="217"/>
    </row>
    <row r="183" spans="1:50" s="119" customFormat="1" ht="18" customHeight="1" thickBot="1" x14ac:dyDescent="0.35">
      <c r="A183" s="136" t="s">
        <v>177</v>
      </c>
      <c r="B183" s="135" t="s">
        <v>353</v>
      </c>
      <c r="C183" s="277">
        <v>3460</v>
      </c>
      <c r="D183" s="136" t="s">
        <v>371</v>
      </c>
      <c r="E183" s="187">
        <v>0</v>
      </c>
      <c r="F183" s="187">
        <f t="shared" si="7"/>
        <v>0</v>
      </c>
      <c r="G183" s="187">
        <f t="shared" si="8"/>
        <v>0</v>
      </c>
      <c r="H183" s="214"/>
      <c r="I183" s="215"/>
      <c r="J183" s="215"/>
      <c r="K183" s="215"/>
      <c r="L183" s="215"/>
      <c r="M183" s="215"/>
      <c r="N183" s="215"/>
      <c r="O183" s="215"/>
      <c r="P183" s="215"/>
      <c r="Q183" s="215"/>
      <c r="R183" s="215"/>
      <c r="S183" s="215"/>
      <c r="T183" s="215"/>
      <c r="U183" s="215"/>
      <c r="V183" s="215"/>
      <c r="W183" s="215"/>
      <c r="X183" s="215"/>
      <c r="Y183" s="215"/>
      <c r="Z183" s="215"/>
      <c r="AA183" s="215"/>
      <c r="AB183" s="215"/>
      <c r="AC183" s="215"/>
      <c r="AD183" s="215"/>
      <c r="AE183" s="215"/>
      <c r="AF183" s="215"/>
      <c r="AG183" s="215"/>
      <c r="AH183" s="215"/>
      <c r="AI183" s="216"/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  <c r="AW183" s="217"/>
      <c r="AX183" s="217"/>
    </row>
    <row r="184" spans="1:50" s="119" customFormat="1" ht="18" customHeight="1" thickBot="1" x14ac:dyDescent="0.35">
      <c r="A184" s="136" t="s">
        <v>178</v>
      </c>
      <c r="B184" s="135" t="s">
        <v>354</v>
      </c>
      <c r="C184" s="277">
        <v>922</v>
      </c>
      <c r="D184" s="136" t="s">
        <v>371</v>
      </c>
      <c r="E184" s="187">
        <v>0</v>
      </c>
      <c r="F184" s="187">
        <f t="shared" si="7"/>
        <v>0</v>
      </c>
      <c r="G184" s="187">
        <f t="shared" si="8"/>
        <v>0</v>
      </c>
      <c r="H184" s="214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15"/>
      <c r="U184" s="215"/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215"/>
      <c r="AG184" s="215"/>
      <c r="AH184" s="215"/>
      <c r="AI184" s="216"/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  <c r="AW184" s="217"/>
      <c r="AX184" s="217"/>
    </row>
    <row r="185" spans="1:50" s="119" customFormat="1" ht="18" customHeight="1" thickBot="1" x14ac:dyDescent="0.35">
      <c r="A185" s="136" t="s">
        <v>179</v>
      </c>
      <c r="B185" s="135" t="s">
        <v>355</v>
      </c>
      <c r="C185" s="277">
        <v>3245</v>
      </c>
      <c r="D185" s="136" t="s">
        <v>371</v>
      </c>
      <c r="E185" s="187">
        <v>0</v>
      </c>
      <c r="F185" s="187">
        <f t="shared" si="7"/>
        <v>0</v>
      </c>
      <c r="G185" s="187">
        <f t="shared" si="8"/>
        <v>0</v>
      </c>
      <c r="H185" s="214"/>
      <c r="I185" s="215"/>
      <c r="J185" s="215"/>
      <c r="K185" s="215"/>
      <c r="L185" s="215"/>
      <c r="M185" s="215"/>
      <c r="N185" s="215"/>
      <c r="O185" s="215"/>
      <c r="P185" s="215"/>
      <c r="Q185" s="215"/>
      <c r="R185" s="215"/>
      <c r="S185" s="215"/>
      <c r="T185" s="215"/>
      <c r="U185" s="215"/>
      <c r="V185" s="215"/>
      <c r="W185" s="215"/>
      <c r="X185" s="215"/>
      <c r="Y185" s="215"/>
      <c r="Z185" s="215"/>
      <c r="AA185" s="215"/>
      <c r="AB185" s="215"/>
      <c r="AC185" s="215"/>
      <c r="AD185" s="215"/>
      <c r="AE185" s="215"/>
      <c r="AF185" s="215"/>
      <c r="AG185" s="215"/>
      <c r="AH185" s="215"/>
      <c r="AI185" s="216"/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  <c r="AW185" s="217"/>
      <c r="AX185" s="217"/>
    </row>
    <row r="186" spans="1:50" s="119" customFormat="1" ht="18" customHeight="1" thickBot="1" x14ac:dyDescent="0.35">
      <c r="A186" s="136" t="s">
        <v>180</v>
      </c>
      <c r="B186" s="135" t="s">
        <v>356</v>
      </c>
      <c r="C186" s="277">
        <v>31036</v>
      </c>
      <c r="D186" s="136"/>
      <c r="E186" s="187">
        <f t="shared" si="6"/>
        <v>31036</v>
      </c>
      <c r="F186" s="187">
        <f t="shared" si="7"/>
        <v>31036</v>
      </c>
      <c r="G186" s="187">
        <f t="shared" si="8"/>
        <v>0</v>
      </c>
      <c r="H186" s="214"/>
      <c r="I186" s="215"/>
      <c r="J186" s="215"/>
      <c r="K186" s="215"/>
      <c r="L186" s="215"/>
      <c r="M186" s="215"/>
      <c r="N186" s="215"/>
      <c r="O186" s="215"/>
      <c r="P186" s="215">
        <v>10875.82</v>
      </c>
      <c r="Q186" s="215"/>
      <c r="R186" s="215"/>
      <c r="S186" s="215">
        <v>4542</v>
      </c>
      <c r="T186" s="215"/>
      <c r="U186" s="215"/>
      <c r="V186" s="215"/>
      <c r="W186" s="215"/>
      <c r="X186" s="215"/>
      <c r="Y186" s="215"/>
      <c r="Z186" s="215"/>
      <c r="AA186" s="215"/>
      <c r="AB186" s="215">
        <v>15618.18</v>
      </c>
      <c r="AC186" s="215"/>
      <c r="AD186" s="215"/>
      <c r="AE186" s="215"/>
      <c r="AF186" s="215"/>
      <c r="AG186" s="215"/>
      <c r="AH186" s="215"/>
      <c r="AI186" s="216"/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  <c r="AW186" s="217"/>
      <c r="AX186" s="217"/>
    </row>
    <row r="187" spans="1:50" s="119" customFormat="1" ht="18" customHeight="1" thickBot="1" x14ac:dyDescent="0.35">
      <c r="A187" s="136" t="s">
        <v>181</v>
      </c>
      <c r="B187" s="135" t="s">
        <v>357</v>
      </c>
      <c r="C187" s="277">
        <v>23376</v>
      </c>
      <c r="D187" s="136"/>
      <c r="E187" s="187">
        <f t="shared" si="6"/>
        <v>23376</v>
      </c>
      <c r="F187" s="187">
        <f t="shared" si="7"/>
        <v>23376</v>
      </c>
      <c r="G187" s="187">
        <f t="shared" si="8"/>
        <v>0</v>
      </c>
      <c r="H187" s="214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>
        <v>6417</v>
      </c>
      <c r="T187" s="215"/>
      <c r="U187" s="215"/>
      <c r="V187" s="215"/>
      <c r="W187" s="215"/>
      <c r="X187" s="215"/>
      <c r="Y187" s="215">
        <v>12834</v>
      </c>
      <c r="Z187" s="215"/>
      <c r="AA187" s="215">
        <v>3950</v>
      </c>
      <c r="AB187" s="215"/>
      <c r="AC187" s="215"/>
      <c r="AD187" s="215"/>
      <c r="AE187" s="215"/>
      <c r="AF187" s="215"/>
      <c r="AG187" s="215"/>
      <c r="AH187" s="215"/>
      <c r="AI187" s="216"/>
      <c r="AJ187" s="217"/>
      <c r="AK187" s="217"/>
      <c r="AL187" s="282">
        <v>175</v>
      </c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  <c r="AW187" s="217"/>
      <c r="AX187" s="217"/>
    </row>
    <row r="188" spans="1:50" s="119" customFormat="1" ht="18" customHeight="1" thickBot="1" x14ac:dyDescent="0.35">
      <c r="A188" s="136" t="s">
        <v>182</v>
      </c>
      <c r="B188" s="135" t="s">
        <v>358</v>
      </c>
      <c r="C188" s="277">
        <v>3920</v>
      </c>
      <c r="D188" s="136" t="s">
        <v>370</v>
      </c>
      <c r="E188" s="187">
        <v>0</v>
      </c>
      <c r="F188" s="187">
        <f t="shared" si="7"/>
        <v>0</v>
      </c>
      <c r="G188" s="187">
        <f t="shared" si="8"/>
        <v>0</v>
      </c>
      <c r="H188" s="214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  <c r="AI188" s="216"/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  <c r="AW188" s="217"/>
      <c r="AX188" s="217"/>
    </row>
    <row r="189" spans="1:50" s="119" customFormat="1" ht="18" customHeight="1" thickBot="1" x14ac:dyDescent="0.35">
      <c r="A189" s="136" t="s">
        <v>183</v>
      </c>
      <c r="B189" s="135" t="s">
        <v>359</v>
      </c>
      <c r="C189" s="277">
        <v>1657</v>
      </c>
      <c r="D189" s="136" t="s">
        <v>370</v>
      </c>
      <c r="E189" s="187">
        <v>0</v>
      </c>
      <c r="F189" s="187">
        <f t="shared" si="7"/>
        <v>0</v>
      </c>
      <c r="G189" s="187">
        <f t="shared" si="8"/>
        <v>0</v>
      </c>
      <c r="H189" s="214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15"/>
      <c r="U189" s="215"/>
      <c r="V189" s="215"/>
      <c r="W189" s="215"/>
      <c r="X189" s="215"/>
      <c r="Y189" s="215"/>
      <c r="Z189" s="215"/>
      <c r="AA189" s="215"/>
      <c r="AB189" s="215"/>
      <c r="AC189" s="215"/>
      <c r="AD189" s="215"/>
      <c r="AE189" s="215"/>
      <c r="AF189" s="215"/>
      <c r="AG189" s="215"/>
      <c r="AH189" s="215"/>
      <c r="AI189" s="216"/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  <c r="AW189" s="217"/>
      <c r="AX189" s="217"/>
    </row>
    <row r="190" spans="1:50" s="119" customFormat="1" ht="18" customHeight="1" thickBot="1" x14ac:dyDescent="0.35">
      <c r="A190" s="136" t="s">
        <v>402</v>
      </c>
      <c r="B190" s="135" t="s">
        <v>571</v>
      </c>
      <c r="C190" s="277">
        <v>328593</v>
      </c>
      <c r="D190" s="136"/>
      <c r="E190" s="187">
        <f t="shared" si="6"/>
        <v>328593</v>
      </c>
      <c r="F190" s="187">
        <f t="shared" si="7"/>
        <v>328593</v>
      </c>
      <c r="G190" s="187">
        <f t="shared" si="8"/>
        <v>0</v>
      </c>
      <c r="H190" s="214"/>
      <c r="I190" s="215"/>
      <c r="J190" s="215"/>
      <c r="K190" s="215"/>
      <c r="L190" s="215"/>
      <c r="M190" s="215"/>
      <c r="N190" s="215"/>
      <c r="O190" s="215"/>
      <c r="P190" s="190">
        <v>5373</v>
      </c>
      <c r="Q190" s="190">
        <v>26142</v>
      </c>
      <c r="R190" s="190">
        <v>35936</v>
      </c>
      <c r="S190" s="190">
        <v>39507</v>
      </c>
      <c r="T190" s="190">
        <v>8878</v>
      </c>
      <c r="U190" s="215">
        <v>67294</v>
      </c>
      <c r="V190" s="215"/>
      <c r="W190" s="215"/>
      <c r="X190" s="215"/>
      <c r="Y190" s="215"/>
      <c r="Z190" s="215"/>
      <c r="AA190" s="215">
        <v>39068</v>
      </c>
      <c r="AB190" s="215">
        <v>45752</v>
      </c>
      <c r="AC190" s="215">
        <v>60643</v>
      </c>
      <c r="AD190" s="215"/>
      <c r="AE190" s="215"/>
      <c r="AF190" s="215"/>
      <c r="AG190" s="215"/>
      <c r="AH190" s="215"/>
      <c r="AI190" s="216"/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  <c r="AW190" s="217"/>
      <c r="AX190" s="217"/>
    </row>
    <row r="191" spans="1:50" s="119" customFormat="1" ht="18" customHeight="1" thickBot="1" x14ac:dyDescent="0.35">
      <c r="A191" s="136" t="s">
        <v>362</v>
      </c>
      <c r="B191" s="135" t="s">
        <v>607</v>
      </c>
      <c r="C191" s="277">
        <v>6473</v>
      </c>
      <c r="D191" s="136"/>
      <c r="E191" s="187">
        <f t="shared" si="6"/>
        <v>6473</v>
      </c>
      <c r="F191" s="187">
        <f t="shared" si="7"/>
        <v>6473</v>
      </c>
      <c r="G191" s="187">
        <f t="shared" si="8"/>
        <v>0</v>
      </c>
      <c r="H191" s="214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15">
        <v>672</v>
      </c>
      <c r="U191" s="215"/>
      <c r="V191" s="215"/>
      <c r="W191" s="215"/>
      <c r="X191" s="215"/>
      <c r="Y191" s="215"/>
      <c r="Z191" s="215"/>
      <c r="AA191" s="215"/>
      <c r="AB191" s="215"/>
      <c r="AC191" s="215"/>
      <c r="AD191" s="215"/>
      <c r="AE191" s="215"/>
      <c r="AF191" s="215"/>
      <c r="AG191" s="215">
        <v>5046</v>
      </c>
      <c r="AH191" s="215"/>
      <c r="AI191" s="216"/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>
        <v>755</v>
      </c>
      <c r="AT191" s="217"/>
      <c r="AU191" s="217"/>
      <c r="AV191" s="217"/>
      <c r="AW191" s="217"/>
      <c r="AX191" s="217"/>
    </row>
    <row r="192" spans="1:50" s="119" customFormat="1" ht="18" customHeight="1" thickBot="1" x14ac:dyDescent="0.35">
      <c r="A192" s="136" t="s">
        <v>370</v>
      </c>
      <c r="B192" s="135" t="s">
        <v>374</v>
      </c>
      <c r="C192" s="211">
        <v>0</v>
      </c>
      <c r="D192" s="136"/>
      <c r="E192" s="187">
        <v>161622</v>
      </c>
      <c r="F192" s="187">
        <f t="shared" si="7"/>
        <v>161622</v>
      </c>
      <c r="G192" s="187">
        <f t="shared" si="8"/>
        <v>0</v>
      </c>
      <c r="H192" s="214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15"/>
      <c r="U192" s="215"/>
      <c r="V192" s="215"/>
      <c r="W192" s="215"/>
      <c r="X192" s="215"/>
      <c r="Y192" s="215"/>
      <c r="Z192" s="215">
        <v>15113.16</v>
      </c>
      <c r="AA192" s="215">
        <v>6899.5</v>
      </c>
      <c r="AB192" s="215">
        <v>11256.49</v>
      </c>
      <c r="AC192" s="215">
        <v>13610.5</v>
      </c>
      <c r="AD192" s="215">
        <v>16968</v>
      </c>
      <c r="AE192" s="215">
        <v>53533.49</v>
      </c>
      <c r="AF192" s="215">
        <v>39001.68</v>
      </c>
      <c r="AG192" s="215"/>
      <c r="AH192" s="215"/>
      <c r="AI192" s="216">
        <v>5239.18</v>
      </c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  <c r="AW192" s="217"/>
      <c r="AX192" s="217"/>
    </row>
    <row r="193" spans="1:50" s="119" customFormat="1" ht="18" customHeight="1" thickBot="1" x14ac:dyDescent="0.35">
      <c r="A193" s="136" t="s">
        <v>371</v>
      </c>
      <c r="B193" s="135" t="s">
        <v>608</v>
      </c>
      <c r="C193" s="211">
        <v>0</v>
      </c>
      <c r="D193" s="136"/>
      <c r="E193" s="187">
        <v>235941</v>
      </c>
      <c r="F193" s="187">
        <f t="shared" si="7"/>
        <v>235941</v>
      </c>
      <c r="G193" s="187">
        <f t="shared" si="8"/>
        <v>0</v>
      </c>
      <c r="H193" s="214"/>
      <c r="I193" s="215"/>
      <c r="J193" s="215"/>
      <c r="K193" s="215"/>
      <c r="L193" s="215"/>
      <c r="M193" s="215"/>
      <c r="N193" s="215"/>
      <c r="O193" s="215">
        <v>21895</v>
      </c>
      <c r="P193" s="215">
        <v>16499</v>
      </c>
      <c r="Q193" s="215">
        <v>2856</v>
      </c>
      <c r="R193" s="215">
        <v>2680</v>
      </c>
      <c r="S193" s="215">
        <v>7543</v>
      </c>
      <c r="T193" s="215">
        <v>6909</v>
      </c>
      <c r="U193" s="215">
        <v>32644</v>
      </c>
      <c r="V193" s="215">
        <v>26430</v>
      </c>
      <c r="W193" s="215">
        <v>10681</v>
      </c>
      <c r="X193" s="215">
        <v>1020</v>
      </c>
      <c r="Y193" s="215">
        <v>29797</v>
      </c>
      <c r="Z193" s="215">
        <v>2867</v>
      </c>
      <c r="AA193" s="215">
        <v>12726</v>
      </c>
      <c r="AB193" s="215">
        <v>3470</v>
      </c>
      <c r="AC193" s="215">
        <v>2113</v>
      </c>
      <c r="AD193" s="215">
        <v>7686</v>
      </c>
      <c r="AE193" s="215">
        <v>46868</v>
      </c>
      <c r="AF193" s="215">
        <v>1257</v>
      </c>
      <c r="AG193" s="215"/>
      <c r="AH193" s="215"/>
      <c r="AI193" s="216"/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  <c r="AW193" s="217"/>
      <c r="AX193" s="217"/>
    </row>
    <row r="194" spans="1:50" s="119" customFormat="1" ht="18" customHeight="1" thickBot="1" x14ac:dyDescent="0.35">
      <c r="A194" s="136" t="s">
        <v>372</v>
      </c>
      <c r="B194" s="135" t="s">
        <v>376</v>
      </c>
      <c r="C194" s="211">
        <v>0</v>
      </c>
      <c r="D194" s="136"/>
      <c r="E194" s="187">
        <v>31890</v>
      </c>
      <c r="F194" s="187">
        <f t="shared" si="7"/>
        <v>31890</v>
      </c>
      <c r="G194" s="187">
        <f t="shared" si="8"/>
        <v>0</v>
      </c>
      <c r="H194" s="214"/>
      <c r="I194" s="215"/>
      <c r="J194" s="215"/>
      <c r="K194" s="215"/>
      <c r="L194" s="215"/>
      <c r="M194" s="215"/>
      <c r="N194" s="215"/>
      <c r="O194" s="215"/>
      <c r="P194" s="215">
        <v>1111.68</v>
      </c>
      <c r="Q194" s="215"/>
      <c r="R194" s="215">
        <v>14234.79</v>
      </c>
      <c r="S194" s="215">
        <v>2528</v>
      </c>
      <c r="T194" s="215">
        <v>7719.2</v>
      </c>
      <c r="U194" s="215"/>
      <c r="V194" s="215"/>
      <c r="W194" s="215"/>
      <c r="X194" s="215"/>
      <c r="Y194" s="215"/>
      <c r="Z194" s="215"/>
      <c r="AA194" s="215"/>
      <c r="AB194" s="215">
        <v>6296.33</v>
      </c>
      <c r="AC194" s="215"/>
      <c r="AD194" s="215"/>
      <c r="AE194" s="215"/>
      <c r="AF194" s="215"/>
      <c r="AG194" s="215"/>
      <c r="AH194" s="215"/>
      <c r="AI194" s="216"/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  <c r="AW194" s="217"/>
      <c r="AX194" s="217"/>
    </row>
    <row r="195" spans="1:50" s="3" customFormat="1" ht="18" customHeight="1" thickBot="1" x14ac:dyDescent="0.35">
      <c r="A195" s="157"/>
      <c r="B195" s="158"/>
      <c r="C195" s="212"/>
      <c r="D195" s="133"/>
      <c r="E195" s="188"/>
      <c r="F195" s="188"/>
      <c r="G195" s="188"/>
      <c r="H195" s="218"/>
      <c r="I195" s="190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  <c r="W195" s="190"/>
      <c r="X195" s="190"/>
      <c r="Y195" s="190"/>
      <c r="Z195" s="190"/>
      <c r="AA195" s="190"/>
      <c r="AB195" s="190"/>
      <c r="AC195" s="190"/>
      <c r="AD195" s="190"/>
      <c r="AE195" s="190"/>
      <c r="AF195" s="190"/>
      <c r="AG195" s="190"/>
      <c r="AH195" s="190"/>
      <c r="AI195" s="191"/>
      <c r="AJ195" s="192"/>
      <c r="AK195" s="192"/>
      <c r="AL195" s="192"/>
      <c r="AM195" s="192"/>
      <c r="AN195" s="192"/>
      <c r="AO195" s="192"/>
      <c r="AP195" s="192"/>
      <c r="AQ195" s="192"/>
      <c r="AR195" s="192"/>
      <c r="AS195" s="192"/>
      <c r="AT195" s="192"/>
      <c r="AU195" s="192"/>
      <c r="AV195" s="192"/>
      <c r="AW195" s="192"/>
      <c r="AX195" s="192"/>
    </row>
    <row r="196" spans="1:50" s="48" customFormat="1" ht="18" customHeight="1" thickBot="1" x14ac:dyDescent="0.3">
      <c r="A196" s="113" t="s">
        <v>575</v>
      </c>
      <c r="B196" s="113"/>
      <c r="C196" s="213">
        <f>SUM(C12:C194)</f>
        <v>22127337</v>
      </c>
      <c r="D196" s="135"/>
      <c r="E196" s="189">
        <f t="shared" ref="E196:AX196" si="9">SUM(E12:E194)</f>
        <v>22127337</v>
      </c>
      <c r="F196" s="189">
        <f t="shared" si="9"/>
        <v>22127337</v>
      </c>
      <c r="G196" s="189">
        <f t="shared" si="9"/>
        <v>0</v>
      </c>
      <c r="H196" s="219">
        <f t="shared" si="9"/>
        <v>0</v>
      </c>
      <c r="I196" s="219">
        <f t="shared" si="9"/>
        <v>0</v>
      </c>
      <c r="J196" s="219">
        <f t="shared" si="9"/>
        <v>12654.099999999999</v>
      </c>
      <c r="K196" s="219">
        <f t="shared" si="9"/>
        <v>139553.69</v>
      </c>
      <c r="L196" s="219">
        <f t="shared" si="9"/>
        <v>321646.48</v>
      </c>
      <c r="M196" s="219">
        <f t="shared" si="9"/>
        <v>608432.34000000008</v>
      </c>
      <c r="N196" s="219">
        <f t="shared" si="9"/>
        <v>1119361.03</v>
      </c>
      <c r="O196" s="219">
        <f t="shared" si="9"/>
        <v>1588933.1799999997</v>
      </c>
      <c r="P196" s="219">
        <f t="shared" si="9"/>
        <v>1339148.6899999997</v>
      </c>
      <c r="Q196" s="219">
        <f>SUM(Q12:Q194)</f>
        <v>2187073.92</v>
      </c>
      <c r="R196" s="219">
        <f t="shared" si="9"/>
        <v>1510289.78</v>
      </c>
      <c r="S196" s="219">
        <f t="shared" si="9"/>
        <v>2845642.19</v>
      </c>
      <c r="T196" s="219">
        <f t="shared" si="9"/>
        <v>843048.73999999976</v>
      </c>
      <c r="U196" s="219">
        <f>SUM(U12:U194)</f>
        <v>492256.57</v>
      </c>
      <c r="V196" s="219">
        <f t="shared" si="9"/>
        <v>1047566.0700000001</v>
      </c>
      <c r="W196" s="219">
        <f t="shared" si="9"/>
        <v>640153.99</v>
      </c>
      <c r="X196" s="219">
        <f t="shared" si="9"/>
        <v>2719878.3600000003</v>
      </c>
      <c r="Y196" s="219">
        <f t="shared" si="9"/>
        <v>460069.61999999994</v>
      </c>
      <c r="Z196" s="219">
        <f t="shared" si="9"/>
        <v>1200136.8299999998</v>
      </c>
      <c r="AA196" s="219">
        <f t="shared" si="9"/>
        <v>373054.08</v>
      </c>
      <c r="AB196" s="219">
        <f t="shared" si="9"/>
        <v>637898.53</v>
      </c>
      <c r="AC196" s="219">
        <f t="shared" si="9"/>
        <v>962311.41000000015</v>
      </c>
      <c r="AD196" s="219">
        <f t="shared" si="9"/>
        <v>554099.16999999993</v>
      </c>
      <c r="AE196" s="219">
        <f t="shared" si="9"/>
        <v>296160.8</v>
      </c>
      <c r="AF196" s="219">
        <f t="shared" si="9"/>
        <v>94063.12</v>
      </c>
      <c r="AG196" s="219">
        <f t="shared" si="9"/>
        <v>5046</v>
      </c>
      <c r="AH196" s="219">
        <f t="shared" si="9"/>
        <v>75896.19</v>
      </c>
      <c r="AI196" s="219">
        <f t="shared" si="9"/>
        <v>36850.69</v>
      </c>
      <c r="AJ196" s="219">
        <f t="shared" si="9"/>
        <v>0</v>
      </c>
      <c r="AK196" s="219">
        <f t="shared" si="9"/>
        <v>112</v>
      </c>
      <c r="AL196" s="219">
        <f t="shared" si="9"/>
        <v>175</v>
      </c>
      <c r="AM196" s="219">
        <f t="shared" si="9"/>
        <v>0</v>
      </c>
      <c r="AN196" s="219">
        <f t="shared" si="9"/>
        <v>0</v>
      </c>
      <c r="AO196" s="219">
        <f t="shared" si="9"/>
        <v>0</v>
      </c>
      <c r="AP196" s="219">
        <f t="shared" si="9"/>
        <v>0</v>
      </c>
      <c r="AQ196" s="219">
        <f t="shared" si="9"/>
        <v>14264.33</v>
      </c>
      <c r="AR196" s="219">
        <f t="shared" si="9"/>
        <v>0</v>
      </c>
      <c r="AS196" s="219">
        <f t="shared" si="9"/>
        <v>755</v>
      </c>
      <c r="AT196" s="219"/>
      <c r="AU196" s="219"/>
      <c r="AV196" s="219"/>
      <c r="AW196" s="219">
        <f t="shared" si="9"/>
        <v>0</v>
      </c>
      <c r="AX196" s="219">
        <f t="shared" si="9"/>
        <v>0</v>
      </c>
    </row>
    <row r="197" spans="1:50" s="8" customFormat="1" x14ac:dyDescent="0.25">
      <c r="A197" s="112"/>
      <c r="B197" s="112"/>
      <c r="C197" s="126"/>
      <c r="D197" s="133"/>
      <c r="M197" s="74"/>
    </row>
    <row r="198" spans="1:50" s="8" customFormat="1" x14ac:dyDescent="0.25">
      <c r="A198" s="112"/>
      <c r="B198" s="112"/>
      <c r="D198" s="133"/>
      <c r="K198" s="74"/>
      <c r="L198" s="74"/>
      <c r="M198" s="126"/>
      <c r="N198" s="74"/>
      <c r="O198" s="74"/>
      <c r="P198" s="74"/>
      <c r="Q198" s="74"/>
      <c r="R198" s="74"/>
      <c r="S198" s="74"/>
      <c r="T198" s="262"/>
      <c r="U198" s="239"/>
      <c r="V198" s="74"/>
    </row>
    <row r="199" spans="1:50" s="8" customFormat="1" x14ac:dyDescent="0.25">
      <c r="A199" s="112"/>
      <c r="B199" s="112"/>
      <c r="D199" s="171"/>
      <c r="F199" s="239"/>
      <c r="J199" s="74"/>
      <c r="L199" s="74"/>
      <c r="N199" s="126"/>
      <c r="Q199" s="74"/>
      <c r="R199" s="74"/>
      <c r="S199" s="74"/>
      <c r="T199" s="74"/>
      <c r="U199" s="74"/>
    </row>
    <row r="200" spans="1:50" s="8" customFormat="1" x14ac:dyDescent="0.25">
      <c r="A200" s="112"/>
      <c r="B200" s="112"/>
      <c r="D200" s="4"/>
      <c r="F200" s="239"/>
      <c r="O200" s="239"/>
      <c r="P200" s="239"/>
    </row>
    <row r="201" spans="1:50" s="8" customFormat="1" x14ac:dyDescent="0.25">
      <c r="A201" s="112"/>
      <c r="B201" s="112"/>
      <c r="D201" s="4"/>
      <c r="R201" s="239"/>
      <c r="T201" s="239"/>
    </row>
    <row r="202" spans="1:50" s="8" customFormat="1" x14ac:dyDescent="0.25">
      <c r="A202" s="112"/>
      <c r="B202" s="112"/>
      <c r="D202" s="4"/>
    </row>
    <row r="203" spans="1:50" s="8" customFormat="1" x14ac:dyDescent="0.25">
      <c r="A203" s="112"/>
      <c r="B203" s="112"/>
      <c r="D203" s="4"/>
      <c r="F203" s="239"/>
    </row>
    <row r="204" spans="1:50" s="8" customFormat="1" x14ac:dyDescent="0.25">
      <c r="A204" s="112"/>
      <c r="B204" s="112"/>
      <c r="D204" s="4"/>
    </row>
    <row r="205" spans="1:50" s="8" customFormat="1" x14ac:dyDescent="0.25">
      <c r="A205" s="112"/>
      <c r="B205" s="112"/>
      <c r="D205" s="4"/>
    </row>
    <row r="206" spans="1:50" s="8" customFormat="1" x14ac:dyDescent="0.25">
      <c r="A206" s="112"/>
      <c r="B206" s="112"/>
      <c r="D206" s="4"/>
    </row>
    <row r="207" spans="1:50" s="8" customFormat="1" x14ac:dyDescent="0.25">
      <c r="A207" s="112"/>
      <c r="B207" s="112"/>
      <c r="D207" s="4"/>
    </row>
    <row r="208" spans="1:50" s="8" customFormat="1" x14ac:dyDescent="0.25">
      <c r="A208" s="112"/>
      <c r="B208" s="112"/>
      <c r="D208" s="4"/>
    </row>
    <row r="209" spans="1:4" s="8" customFormat="1" x14ac:dyDescent="0.25">
      <c r="A209" s="112"/>
      <c r="B209" s="112"/>
      <c r="D209" s="4"/>
    </row>
    <row r="210" spans="1:4" s="8" customFormat="1" x14ac:dyDescent="0.25">
      <c r="A210" s="112"/>
      <c r="B210" s="112"/>
      <c r="D210" s="4"/>
    </row>
    <row r="211" spans="1:4" s="8" customFormat="1" x14ac:dyDescent="0.25">
      <c r="A211" s="112"/>
      <c r="B211" s="112"/>
      <c r="D211" s="4"/>
    </row>
    <row r="212" spans="1:4" s="8" customFormat="1" x14ac:dyDescent="0.25">
      <c r="A212" s="112"/>
      <c r="B212" s="112"/>
      <c r="D212" s="4"/>
    </row>
    <row r="213" spans="1:4" s="8" customFormat="1" x14ac:dyDescent="0.25">
      <c r="A213" s="112"/>
      <c r="B213" s="112"/>
      <c r="D213" s="4"/>
    </row>
    <row r="214" spans="1:4" s="8" customFormat="1" x14ac:dyDescent="0.25">
      <c r="A214" s="112"/>
      <c r="B214" s="112"/>
      <c r="D214" s="4"/>
    </row>
    <row r="215" spans="1:4" s="8" customFormat="1" x14ac:dyDescent="0.25">
      <c r="A215" s="112"/>
      <c r="B215" s="112"/>
      <c r="D215" s="4"/>
    </row>
    <row r="216" spans="1:4" s="8" customFormat="1" x14ac:dyDescent="0.25">
      <c r="A216" s="112"/>
      <c r="B216" s="112"/>
      <c r="D216" s="4"/>
    </row>
    <row r="217" spans="1:4" s="8" customFormat="1" x14ac:dyDescent="0.25">
      <c r="A217" s="112"/>
      <c r="B217" s="112"/>
      <c r="D217" s="4"/>
    </row>
    <row r="218" spans="1:4" s="8" customFormat="1" x14ac:dyDescent="0.25">
      <c r="A218" s="112"/>
      <c r="B218" s="112"/>
      <c r="D218" s="4"/>
    </row>
    <row r="219" spans="1:4" s="8" customFormat="1" x14ac:dyDescent="0.25">
      <c r="A219" s="112"/>
      <c r="B219" s="112"/>
      <c r="D219" s="4"/>
    </row>
    <row r="220" spans="1:4" s="8" customFormat="1" x14ac:dyDescent="0.25">
      <c r="A220" s="112"/>
      <c r="B220" s="112"/>
      <c r="D220" s="4"/>
    </row>
    <row r="221" spans="1:4" s="8" customFormat="1" x14ac:dyDescent="0.25">
      <c r="A221" s="112"/>
      <c r="B221" s="112"/>
      <c r="D221" s="4"/>
    </row>
    <row r="222" spans="1:4" s="8" customFormat="1" x14ac:dyDescent="0.25">
      <c r="A222" s="112"/>
      <c r="B222" s="112"/>
      <c r="D222" s="4"/>
    </row>
    <row r="223" spans="1:4" s="8" customFormat="1" x14ac:dyDescent="0.25">
      <c r="A223" s="112"/>
      <c r="B223" s="112"/>
      <c r="D223" s="4"/>
    </row>
    <row r="224" spans="1:4" x14ac:dyDescent="0.25">
      <c r="D224" s="5"/>
    </row>
    <row r="225" spans="4:4" x14ac:dyDescent="0.25">
      <c r="D225" s="5"/>
    </row>
  </sheetData>
  <sheetProtection algorithmName="SHA-512" hashValue="9R/MKqiRnPDKmLNLR1COp00ImmckuCN7Qe1c7wPPwGgR9Ak8WUDIGhXMhEvUTx0MfAPEn+njM+Cm6I4rjyim/w==" saltValue="NX8e9njoiWN9FIPnSCzjJA==" spinCount="100000" sheet="1" objects="1" scenarios="1"/>
  <autoFilter ref="A11:BC194" xr:uid="{00000000-0009-0000-0000-000004000000}"/>
  <pageMargins left="0.7" right="0.7" top="0.75" bottom="0.75" header="0.3" footer="0.3"/>
  <pageSetup scale="14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66CCFF"/>
    <pageSetUpPr fitToPage="1"/>
  </sheetPr>
  <dimension ref="A1:BN211"/>
  <sheetViews>
    <sheetView zoomScaleNormal="100" workbookViewId="0">
      <pane xSplit="7" ySplit="11" topLeftCell="AP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AP198" sqref="AP198:AQ198"/>
    </sheetView>
  </sheetViews>
  <sheetFormatPr defaultColWidth="9.140625" defaultRowHeight="15" x14ac:dyDescent="0.25"/>
  <cols>
    <col min="1" max="1" width="9.140625" style="1"/>
    <col min="2" max="2" width="33.85546875" style="127" bestFit="1" customWidth="1"/>
    <col min="3" max="3" width="16.42578125" style="9" customWidth="1"/>
    <col min="4" max="4" width="20" style="5" customWidth="1"/>
    <col min="5" max="5" width="22.140625" style="9" customWidth="1"/>
    <col min="6" max="6" width="15.7109375" style="9" customWidth="1"/>
    <col min="7" max="7" width="17" style="9" customWidth="1"/>
    <col min="8" max="34" width="15.7109375" style="1" customWidth="1"/>
    <col min="35" max="50" width="16.28515625" style="1" customWidth="1"/>
    <col min="51" max="16384" width="9.140625" style="1"/>
  </cols>
  <sheetData>
    <row r="1" spans="1:50" ht="21" x14ac:dyDescent="0.35">
      <c r="A1" s="76" t="s">
        <v>0</v>
      </c>
      <c r="B1" s="125"/>
      <c r="C1" s="120" t="s">
        <v>668</v>
      </c>
      <c r="D1" s="124"/>
      <c r="E1" s="120"/>
      <c r="F1" s="27"/>
      <c r="G1" s="28"/>
      <c r="H1" s="23"/>
      <c r="I1" s="23"/>
      <c r="J1" s="120" t="str">
        <f>C1</f>
        <v>Title III-A Formula (Revised Final)</v>
      </c>
      <c r="K1" s="120"/>
      <c r="L1" s="76"/>
      <c r="M1" s="76"/>
      <c r="N1" s="79"/>
      <c r="O1" s="79"/>
      <c r="P1" s="120" t="str">
        <f>C1</f>
        <v>Title III-A Formula (Revised Final)</v>
      </c>
      <c r="Q1" s="23"/>
      <c r="R1" s="120"/>
      <c r="S1" s="120"/>
      <c r="T1" s="76"/>
      <c r="U1" s="76"/>
      <c r="V1" s="120" t="str">
        <f>C1</f>
        <v>Title III-A Formula (Revised Final)</v>
      </c>
      <c r="W1" s="79"/>
      <c r="X1" s="23"/>
      <c r="Y1" s="23"/>
      <c r="Z1" s="120"/>
      <c r="AA1" s="120"/>
      <c r="AB1" s="120" t="str">
        <f>C1</f>
        <v>Title III-A Formula (Revised Final)</v>
      </c>
      <c r="AC1" s="76"/>
      <c r="AD1" s="79"/>
      <c r="AE1" s="79"/>
      <c r="AF1" s="23"/>
      <c r="AG1" s="120" t="str">
        <f>C1</f>
        <v>Title III-A Formula (Revised Final)</v>
      </c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</row>
    <row r="2" spans="1:50" ht="15.75" x14ac:dyDescent="0.25">
      <c r="A2" s="81" t="s">
        <v>1</v>
      </c>
      <c r="B2" s="125"/>
      <c r="C2" s="82" t="s">
        <v>383</v>
      </c>
      <c r="D2" s="162"/>
      <c r="E2" s="82"/>
      <c r="F2" s="21"/>
      <c r="G2" s="22"/>
      <c r="H2" s="23"/>
      <c r="I2" s="23"/>
      <c r="J2" s="81" t="str">
        <f>"FY"&amp;C4</f>
        <v>FY2019-2020</v>
      </c>
      <c r="K2" s="81"/>
      <c r="L2" s="121"/>
      <c r="M2" s="121"/>
      <c r="N2" s="83"/>
      <c r="O2" s="83"/>
      <c r="P2" s="81" t="str">
        <f>"FY"&amp;C4</f>
        <v>FY2019-2020</v>
      </c>
      <c r="Q2" s="83"/>
      <c r="R2" s="81"/>
      <c r="S2" s="81"/>
      <c r="T2" s="121"/>
      <c r="U2" s="121"/>
      <c r="V2" s="81" t="str">
        <f>"FY"&amp;C4</f>
        <v>FY2019-2020</v>
      </c>
      <c r="W2" s="83"/>
      <c r="X2" s="83"/>
      <c r="Y2" s="83"/>
      <c r="Z2" s="81"/>
      <c r="AA2" s="81"/>
      <c r="AB2" s="81" t="str">
        <f>"FY"&amp;C4</f>
        <v>FY2019-2020</v>
      </c>
      <c r="AC2" s="121"/>
      <c r="AD2" s="83"/>
      <c r="AE2" s="83"/>
      <c r="AF2" s="83"/>
      <c r="AG2" s="81" t="str">
        <f>"FY"&amp;C4</f>
        <v>FY2019-2020</v>
      </c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</row>
    <row r="3" spans="1:50" ht="15.75" x14ac:dyDescent="0.25">
      <c r="A3" s="81" t="s">
        <v>3</v>
      </c>
      <c r="B3" s="125"/>
      <c r="C3" s="121">
        <v>4365</v>
      </c>
      <c r="D3" s="124"/>
      <c r="E3" s="121"/>
      <c r="F3" s="21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</row>
    <row r="4" spans="1:50" ht="21" x14ac:dyDescent="0.35">
      <c r="A4" s="81" t="s">
        <v>2</v>
      </c>
      <c r="B4" s="125"/>
      <c r="C4" s="120" t="str">
        <f>'ESSA Title I-A Formula'!$C$4</f>
        <v>2019-2020</v>
      </c>
      <c r="D4" s="124"/>
      <c r="E4" s="120"/>
      <c r="F4" s="22"/>
      <c r="G4" s="22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</row>
    <row r="5" spans="1:50" ht="15.75" x14ac:dyDescent="0.25">
      <c r="A5" s="81" t="s">
        <v>392</v>
      </c>
      <c r="B5" s="125"/>
      <c r="C5" s="67" t="s">
        <v>634</v>
      </c>
      <c r="D5" s="124"/>
      <c r="E5" s="67"/>
      <c r="F5" s="21"/>
      <c r="G5" s="24"/>
      <c r="H5" s="85"/>
      <c r="I5" s="85"/>
      <c r="J5" s="85"/>
      <c r="K5" s="8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</row>
    <row r="6" spans="1:50" ht="15.75" x14ac:dyDescent="0.25">
      <c r="A6" s="81" t="s">
        <v>4</v>
      </c>
      <c r="B6" s="125"/>
      <c r="C6" s="67" t="s">
        <v>364</v>
      </c>
      <c r="D6" s="124"/>
      <c r="E6" s="67"/>
      <c r="F6" s="21"/>
      <c r="G6" s="24"/>
      <c r="H6" s="85"/>
      <c r="I6" s="85"/>
      <c r="J6" s="85"/>
      <c r="K6" s="8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</row>
    <row r="7" spans="1:50" ht="15.75" x14ac:dyDescent="0.25">
      <c r="A7" s="81"/>
      <c r="B7" s="125"/>
      <c r="C7" s="121" t="s">
        <v>647</v>
      </c>
      <c r="D7" s="124"/>
      <c r="E7" s="121"/>
      <c r="F7" s="21"/>
      <c r="G7" s="24"/>
      <c r="H7" s="85"/>
      <c r="I7" s="85"/>
      <c r="J7" s="85"/>
      <c r="K7" s="8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</row>
    <row r="8" spans="1:50" ht="15.75" x14ac:dyDescent="0.25">
      <c r="A8" s="81" t="s">
        <v>378</v>
      </c>
      <c r="B8" s="125"/>
      <c r="C8" s="121" t="s">
        <v>586</v>
      </c>
      <c r="D8" s="124"/>
      <c r="E8" s="121"/>
      <c r="F8" s="22"/>
      <c r="G8" s="26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</row>
    <row r="9" spans="1:50" ht="15.75" x14ac:dyDescent="0.25">
      <c r="A9" s="81" t="s">
        <v>379</v>
      </c>
      <c r="B9" s="125"/>
      <c r="C9" s="121" t="s">
        <v>380</v>
      </c>
      <c r="D9" s="124"/>
      <c r="E9" s="121"/>
      <c r="F9" s="22"/>
      <c r="G9" s="26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</row>
    <row r="10" spans="1:50" ht="16.5" thickBot="1" x14ac:dyDescent="0.3">
      <c r="A10" s="81" t="s">
        <v>393</v>
      </c>
      <c r="B10" s="117"/>
      <c r="C10" s="81" t="s">
        <v>670</v>
      </c>
      <c r="D10" s="124"/>
      <c r="E10" s="81"/>
      <c r="F10" s="22"/>
      <c r="G10" s="26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</row>
    <row r="11" spans="1:50" s="37" customFormat="1" ht="48.75" customHeight="1" thickBot="1" x14ac:dyDescent="0.3">
      <c r="A11" s="114" t="s">
        <v>365</v>
      </c>
      <c r="B11" s="87" t="s">
        <v>366</v>
      </c>
      <c r="C11" s="87" t="s">
        <v>367</v>
      </c>
      <c r="D11" s="107" t="s">
        <v>632</v>
      </c>
      <c r="E11" s="41" t="s">
        <v>624</v>
      </c>
      <c r="F11" s="42" t="s">
        <v>368</v>
      </c>
      <c r="G11" s="49" t="s">
        <v>369</v>
      </c>
      <c r="H11" s="100" t="s">
        <v>578</v>
      </c>
      <c r="I11" s="100" t="s">
        <v>579</v>
      </c>
      <c r="J11" s="100" t="s">
        <v>580</v>
      </c>
      <c r="K11" s="100" t="s">
        <v>590</v>
      </c>
      <c r="L11" s="100" t="s">
        <v>591</v>
      </c>
      <c r="M11" s="100" t="s">
        <v>592</v>
      </c>
      <c r="N11" s="100" t="s">
        <v>593</v>
      </c>
      <c r="O11" s="100" t="s">
        <v>594</v>
      </c>
      <c r="P11" s="100" t="s">
        <v>595</v>
      </c>
      <c r="Q11" s="101" t="s">
        <v>596</v>
      </c>
      <c r="R11" s="100" t="s">
        <v>597</v>
      </c>
      <c r="S11" s="100" t="s">
        <v>598</v>
      </c>
      <c r="T11" s="100" t="s">
        <v>599</v>
      </c>
      <c r="U11" s="100" t="s">
        <v>600</v>
      </c>
      <c r="V11" s="100" t="s">
        <v>601</v>
      </c>
      <c r="W11" s="100" t="s">
        <v>627</v>
      </c>
      <c r="X11" s="100" t="s">
        <v>628</v>
      </c>
      <c r="Y11" s="100" t="s">
        <v>629</v>
      </c>
      <c r="Z11" s="100" t="s">
        <v>636</v>
      </c>
      <c r="AA11" s="100" t="s">
        <v>637</v>
      </c>
      <c r="AB11" s="100" t="s">
        <v>638</v>
      </c>
      <c r="AC11" s="100" t="s">
        <v>639</v>
      </c>
      <c r="AD11" s="100" t="s">
        <v>640</v>
      </c>
      <c r="AE11" s="100" t="s">
        <v>641</v>
      </c>
      <c r="AF11" s="100" t="s">
        <v>642</v>
      </c>
      <c r="AG11" s="100" t="s">
        <v>643</v>
      </c>
      <c r="AH11" s="100" t="s">
        <v>644</v>
      </c>
      <c r="AI11" s="100" t="s">
        <v>645</v>
      </c>
      <c r="AJ11" s="100" t="s">
        <v>646</v>
      </c>
      <c r="AK11" s="100" t="s">
        <v>648</v>
      </c>
      <c r="AL11" s="100" t="s">
        <v>671</v>
      </c>
      <c r="AM11" s="100" t="s">
        <v>672</v>
      </c>
      <c r="AN11" s="100" t="s">
        <v>673</v>
      </c>
      <c r="AO11" s="100" t="s">
        <v>674</v>
      </c>
      <c r="AP11" s="100" t="s">
        <v>675</v>
      </c>
      <c r="AQ11" s="100" t="s">
        <v>681</v>
      </c>
      <c r="AR11" s="100" t="s">
        <v>680</v>
      </c>
      <c r="AS11" s="100" t="s">
        <v>679</v>
      </c>
      <c r="AT11" s="100" t="s">
        <v>678</v>
      </c>
      <c r="AU11" s="100" t="s">
        <v>677</v>
      </c>
      <c r="AV11" s="100" t="s">
        <v>676</v>
      </c>
      <c r="AW11" s="100" t="s">
        <v>630</v>
      </c>
      <c r="AX11" s="100" t="s">
        <v>631</v>
      </c>
    </row>
    <row r="12" spans="1:50" s="119" customFormat="1" ht="18" customHeight="1" thickBot="1" x14ac:dyDescent="0.35">
      <c r="A12" s="136" t="s">
        <v>6</v>
      </c>
      <c r="B12" s="130" t="s">
        <v>184</v>
      </c>
      <c r="C12" s="277">
        <v>194910</v>
      </c>
      <c r="D12" s="136"/>
      <c r="E12" s="222">
        <f>C12</f>
        <v>194910</v>
      </c>
      <c r="F12" s="222">
        <f>SUM(H12:AT12)</f>
        <v>194910.00000000003</v>
      </c>
      <c r="G12" s="222">
        <f>E12-(F12+AW12+AX12)</f>
        <v>0</v>
      </c>
      <c r="H12" s="214"/>
      <c r="I12" s="215"/>
      <c r="J12" s="215"/>
      <c r="K12" s="215"/>
      <c r="L12" s="215"/>
      <c r="M12" s="224"/>
      <c r="N12" s="215"/>
      <c r="O12" s="215"/>
      <c r="Q12" s="215"/>
      <c r="R12" s="215"/>
      <c r="S12" s="215"/>
      <c r="T12" s="215">
        <v>119864.6</v>
      </c>
      <c r="U12" s="215">
        <v>11514.59</v>
      </c>
      <c r="V12" s="215"/>
      <c r="W12" s="215">
        <v>31984.14</v>
      </c>
      <c r="X12" s="292">
        <v>17859.57</v>
      </c>
      <c r="Y12" s="215">
        <v>13687.1</v>
      </c>
      <c r="Z12" s="215"/>
      <c r="AA12" s="215"/>
      <c r="AB12" s="215"/>
      <c r="AC12" s="215"/>
      <c r="AD12" s="215"/>
      <c r="AE12" s="215"/>
      <c r="AF12" s="215"/>
      <c r="AG12" s="215"/>
      <c r="AH12" s="215"/>
      <c r="AI12" s="282"/>
      <c r="AJ12" s="217"/>
      <c r="AK12" s="217"/>
      <c r="AL12" s="217"/>
      <c r="AM12" s="217"/>
      <c r="AN12" s="217"/>
      <c r="AO12" s="282"/>
      <c r="AP12" s="217"/>
      <c r="AQ12" s="217"/>
      <c r="AR12" s="217"/>
      <c r="AS12" s="217"/>
      <c r="AT12" s="217"/>
      <c r="AU12" s="217"/>
      <c r="AV12" s="217"/>
      <c r="AW12" s="217"/>
      <c r="AX12" s="217"/>
    </row>
    <row r="13" spans="1:50" s="119" customFormat="1" ht="18" customHeight="1" thickBot="1" x14ac:dyDescent="0.35">
      <c r="A13" s="136" t="s">
        <v>7</v>
      </c>
      <c r="B13" s="130" t="s">
        <v>185</v>
      </c>
      <c r="C13" s="277">
        <v>508547</v>
      </c>
      <c r="D13" s="136"/>
      <c r="E13" s="222">
        <f t="shared" ref="E13:E15" si="0">C13</f>
        <v>508547</v>
      </c>
      <c r="F13" s="222">
        <f t="shared" ref="F13:F76" si="1">SUM(H13:AT13)</f>
        <v>508547</v>
      </c>
      <c r="G13" s="222">
        <f t="shared" ref="G13:G76" si="2">E13-(F13+AW13+AX13)</f>
        <v>0</v>
      </c>
      <c r="H13" s="214"/>
      <c r="I13" s="215"/>
      <c r="J13" s="215"/>
      <c r="K13" s="215"/>
      <c r="L13" s="215"/>
      <c r="M13" s="215">
        <f>100453.16+41751.29</f>
        <v>142204.45000000001</v>
      </c>
      <c r="N13" s="215"/>
      <c r="O13" s="215">
        <v>21712.240000000002</v>
      </c>
      <c r="P13" s="215">
        <v>31904.71</v>
      </c>
      <c r="Q13" s="215">
        <v>32174.94</v>
      </c>
      <c r="R13" s="215">
        <v>31931.26</v>
      </c>
      <c r="S13" s="215">
        <v>31880.34</v>
      </c>
      <c r="T13" s="215"/>
      <c r="U13" s="215"/>
      <c r="V13" s="215"/>
      <c r="W13" s="215"/>
      <c r="X13" s="292">
        <f>79876.88+109893.66</f>
        <v>189770.54</v>
      </c>
      <c r="Y13" s="215">
        <v>26968.52</v>
      </c>
      <c r="Z13" s="215"/>
      <c r="AA13" s="215"/>
      <c r="AB13" s="215"/>
      <c r="AC13" s="215"/>
      <c r="AD13" s="215"/>
      <c r="AE13" s="215"/>
      <c r="AF13" s="215"/>
      <c r="AG13" s="215"/>
      <c r="AH13" s="215"/>
      <c r="AI13" s="282"/>
      <c r="AJ13" s="217"/>
      <c r="AK13" s="217"/>
      <c r="AL13" s="217"/>
      <c r="AM13" s="217"/>
      <c r="AN13" s="217"/>
      <c r="AO13" s="282"/>
      <c r="AP13" s="217"/>
      <c r="AQ13" s="217"/>
      <c r="AR13" s="217"/>
      <c r="AS13" s="217"/>
      <c r="AT13" s="217"/>
      <c r="AU13" s="217"/>
      <c r="AV13" s="217"/>
      <c r="AW13" s="217"/>
      <c r="AX13" s="217"/>
    </row>
    <row r="14" spans="1:50" s="119" customFormat="1" ht="18" customHeight="1" thickBot="1" x14ac:dyDescent="0.35">
      <c r="A14" s="136" t="s">
        <v>8</v>
      </c>
      <c r="B14" s="130" t="s">
        <v>186</v>
      </c>
      <c r="C14" s="277">
        <v>226076</v>
      </c>
      <c r="D14" s="136"/>
      <c r="E14" s="222">
        <f t="shared" si="0"/>
        <v>226076</v>
      </c>
      <c r="F14" s="222">
        <f t="shared" si="1"/>
        <v>226075.99999999997</v>
      </c>
      <c r="G14" s="222">
        <f t="shared" si="2"/>
        <v>0</v>
      </c>
      <c r="H14" s="214"/>
      <c r="I14" s="215"/>
      <c r="J14" s="215"/>
      <c r="K14" s="215"/>
      <c r="L14" s="215"/>
      <c r="M14" s="215"/>
      <c r="N14" s="215"/>
      <c r="O14" s="215"/>
      <c r="P14" s="215">
        <f>22653.68+77414.34</f>
        <v>100068.01999999999</v>
      </c>
      <c r="Q14" s="215">
        <v>45278.52</v>
      </c>
      <c r="R14" s="215">
        <v>20894.07</v>
      </c>
      <c r="S14" s="215">
        <v>31048.49</v>
      </c>
      <c r="T14" s="215"/>
      <c r="U14" s="215"/>
      <c r="V14" s="215"/>
      <c r="W14" s="215">
        <v>22728.85</v>
      </c>
      <c r="X14" s="292">
        <v>6058.05</v>
      </c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82"/>
      <c r="AJ14" s="217"/>
      <c r="AK14" s="217"/>
      <c r="AL14" s="217"/>
      <c r="AM14" s="217"/>
      <c r="AN14" s="217"/>
      <c r="AO14" s="282"/>
      <c r="AP14" s="217"/>
      <c r="AQ14" s="217"/>
      <c r="AR14" s="217"/>
      <c r="AS14" s="217"/>
      <c r="AT14" s="217"/>
      <c r="AU14" s="217"/>
      <c r="AV14" s="217"/>
      <c r="AW14" s="217"/>
      <c r="AX14" s="217"/>
    </row>
    <row r="15" spans="1:50" s="119" customFormat="1" ht="18" customHeight="1" thickBot="1" x14ac:dyDescent="0.35">
      <c r="A15" s="136" t="s">
        <v>9</v>
      </c>
      <c r="B15" s="130" t="s">
        <v>187</v>
      </c>
      <c r="C15" s="277">
        <v>171942</v>
      </c>
      <c r="D15" s="136"/>
      <c r="E15" s="222">
        <f t="shared" si="0"/>
        <v>171942</v>
      </c>
      <c r="F15" s="222">
        <f t="shared" si="1"/>
        <v>171942</v>
      </c>
      <c r="G15" s="222">
        <f t="shared" si="2"/>
        <v>0</v>
      </c>
      <c r="H15" s="214"/>
      <c r="I15" s="215"/>
      <c r="J15" s="215"/>
      <c r="K15" s="215"/>
      <c r="L15" s="215"/>
      <c r="M15" s="215"/>
      <c r="N15" s="215"/>
      <c r="O15" s="215"/>
      <c r="P15" s="215">
        <v>26402</v>
      </c>
      <c r="Q15" s="215">
        <v>21828</v>
      </c>
      <c r="R15" s="215"/>
      <c r="S15" s="215">
        <v>19333</v>
      </c>
      <c r="T15" s="215"/>
      <c r="U15" s="215"/>
      <c r="V15" s="215">
        <v>7141</v>
      </c>
      <c r="W15" s="215"/>
      <c r="X15" s="292"/>
      <c r="Y15" s="215">
        <v>27763.99</v>
      </c>
      <c r="Z15" s="215"/>
      <c r="AA15" s="215"/>
      <c r="AB15" s="215">
        <f>12281+9964</f>
        <v>22245</v>
      </c>
      <c r="AC15" s="215"/>
      <c r="AD15" s="215">
        <v>15242</v>
      </c>
      <c r="AE15" s="215"/>
      <c r="AF15" s="215">
        <v>6243</v>
      </c>
      <c r="AG15" s="215"/>
      <c r="AH15" s="215">
        <v>25744.01</v>
      </c>
      <c r="AI15" s="282"/>
      <c r="AJ15" s="217"/>
      <c r="AK15" s="217"/>
      <c r="AL15" s="217"/>
      <c r="AM15" s="217"/>
      <c r="AN15" s="217"/>
      <c r="AO15" s="282"/>
      <c r="AP15" s="217"/>
      <c r="AQ15" s="217"/>
      <c r="AR15" s="217"/>
      <c r="AS15" s="217"/>
      <c r="AT15" s="217"/>
      <c r="AU15" s="217"/>
      <c r="AV15" s="217"/>
      <c r="AW15" s="217"/>
      <c r="AX15" s="217"/>
    </row>
    <row r="16" spans="1:50" s="119" customFormat="1" ht="18" customHeight="1" thickBot="1" x14ac:dyDescent="0.35">
      <c r="A16" s="136" t="s">
        <v>10</v>
      </c>
      <c r="B16" s="130" t="s">
        <v>188</v>
      </c>
      <c r="C16" s="277">
        <v>9753</v>
      </c>
      <c r="D16" s="136">
        <v>9025</v>
      </c>
      <c r="E16" s="222">
        <v>0</v>
      </c>
      <c r="F16" s="222">
        <f t="shared" si="1"/>
        <v>0</v>
      </c>
      <c r="G16" s="222">
        <f t="shared" si="2"/>
        <v>0</v>
      </c>
      <c r="H16" s="214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92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82"/>
      <c r="AJ16" s="217"/>
      <c r="AK16" s="217"/>
      <c r="AL16" s="217"/>
      <c r="AM16" s="217"/>
      <c r="AN16" s="217"/>
      <c r="AO16" s="282"/>
      <c r="AP16" s="217"/>
      <c r="AQ16" s="217"/>
      <c r="AR16" s="217"/>
      <c r="AS16" s="217"/>
      <c r="AT16" s="217"/>
      <c r="AU16" s="217"/>
      <c r="AV16" s="217"/>
      <c r="AW16" s="217"/>
      <c r="AX16" s="217"/>
    </row>
    <row r="17" spans="1:50" s="119" customFormat="1" ht="18" customHeight="1" thickBot="1" x14ac:dyDescent="0.35">
      <c r="A17" s="136" t="s">
        <v>11</v>
      </c>
      <c r="B17" s="130" t="s">
        <v>189</v>
      </c>
      <c r="C17" s="277">
        <v>5724</v>
      </c>
      <c r="D17" s="136">
        <v>9025</v>
      </c>
      <c r="E17" s="222">
        <v>0</v>
      </c>
      <c r="F17" s="222">
        <f t="shared" si="1"/>
        <v>0</v>
      </c>
      <c r="G17" s="222">
        <f t="shared" si="2"/>
        <v>0</v>
      </c>
      <c r="H17" s="214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92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82"/>
      <c r="AJ17" s="217"/>
      <c r="AK17" s="217"/>
      <c r="AL17" s="217"/>
      <c r="AM17" s="217"/>
      <c r="AN17" s="217"/>
      <c r="AO17" s="282"/>
      <c r="AP17" s="217"/>
      <c r="AQ17" s="217"/>
      <c r="AR17" s="217"/>
      <c r="AS17" s="217"/>
      <c r="AT17" s="217"/>
      <c r="AU17" s="217"/>
      <c r="AV17" s="217"/>
      <c r="AW17" s="217"/>
      <c r="AX17" s="217"/>
    </row>
    <row r="18" spans="1:50" s="119" customFormat="1" ht="18" customHeight="1" thickBot="1" x14ac:dyDescent="0.35">
      <c r="A18" s="136" t="s">
        <v>12</v>
      </c>
      <c r="B18" s="130" t="s">
        <v>190</v>
      </c>
      <c r="C18" s="277">
        <v>226429</v>
      </c>
      <c r="D18" s="136"/>
      <c r="E18" s="222">
        <f>C18</f>
        <v>226429</v>
      </c>
      <c r="F18" s="222">
        <f t="shared" si="1"/>
        <v>226429</v>
      </c>
      <c r="G18" s="222">
        <f t="shared" si="2"/>
        <v>0</v>
      </c>
      <c r="H18" s="214"/>
      <c r="I18" s="215"/>
      <c r="J18" s="215"/>
      <c r="K18" s="215"/>
      <c r="L18" s="215"/>
      <c r="M18" s="215"/>
      <c r="N18" s="215"/>
      <c r="O18" s="215">
        <v>21149.37</v>
      </c>
      <c r="P18" s="215"/>
      <c r="Q18" s="215">
        <v>22145.78</v>
      </c>
      <c r="R18" s="215">
        <v>19999.73</v>
      </c>
      <c r="S18" s="215">
        <f>12367.13+37289.04</f>
        <v>49656.17</v>
      </c>
      <c r="T18" s="215"/>
      <c r="U18" s="215"/>
      <c r="V18" s="215">
        <v>20081.97</v>
      </c>
      <c r="W18" s="215">
        <v>31421.79</v>
      </c>
      <c r="X18" s="292">
        <v>9643.2900000000009</v>
      </c>
      <c r="Y18" s="215"/>
      <c r="Z18" s="215">
        <v>16538.05</v>
      </c>
      <c r="AA18" s="215">
        <v>13593.03</v>
      </c>
      <c r="AB18" s="215">
        <v>14386.65</v>
      </c>
      <c r="AC18" s="215">
        <v>7813.17</v>
      </c>
      <c r="AD18" s="215"/>
      <c r="AE18" s="215"/>
      <c r="AF18" s="215"/>
      <c r="AG18" s="215"/>
      <c r="AH18" s="215"/>
      <c r="AI18" s="282"/>
      <c r="AJ18" s="217"/>
      <c r="AK18" s="217"/>
      <c r="AL18" s="217"/>
      <c r="AM18" s="217"/>
      <c r="AN18" s="217"/>
      <c r="AO18" s="282"/>
      <c r="AP18" s="217"/>
      <c r="AQ18" s="217"/>
      <c r="AR18" s="217"/>
      <c r="AS18" s="217"/>
      <c r="AT18" s="217"/>
      <c r="AU18" s="217"/>
      <c r="AV18" s="217"/>
      <c r="AW18" s="217"/>
      <c r="AX18" s="217"/>
    </row>
    <row r="19" spans="1:50" s="119" customFormat="1" ht="18" customHeight="1" thickBot="1" x14ac:dyDescent="0.35">
      <c r="A19" s="136" t="s">
        <v>13</v>
      </c>
      <c r="B19" s="130" t="s">
        <v>191</v>
      </c>
      <c r="C19" s="277">
        <v>22756</v>
      </c>
      <c r="D19" s="136"/>
      <c r="E19" s="222">
        <f>C19</f>
        <v>22756</v>
      </c>
      <c r="F19" s="222">
        <f t="shared" si="1"/>
        <v>22756</v>
      </c>
      <c r="G19" s="222">
        <f t="shared" si="2"/>
        <v>0</v>
      </c>
      <c r="H19" s="214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>
        <v>1273.19</v>
      </c>
      <c r="U19" s="215"/>
      <c r="V19" s="215">
        <v>2216.56</v>
      </c>
      <c r="W19" s="215">
        <v>2131.0300000000002</v>
      </c>
      <c r="X19" s="292"/>
      <c r="Y19" s="215">
        <f>1298.57+704.25</f>
        <v>2002.82</v>
      </c>
      <c r="Z19" s="215">
        <v>543.16999999999996</v>
      </c>
      <c r="AA19" s="215">
        <v>543.48</v>
      </c>
      <c r="AB19" s="215">
        <v>931.37</v>
      </c>
      <c r="AC19" s="215">
        <v>543.91999999999996</v>
      </c>
      <c r="AD19" s="215">
        <v>3314.99</v>
      </c>
      <c r="AE19" s="215">
        <f>5584.97+3670.5</f>
        <v>9255.4700000000012</v>
      </c>
      <c r="AF19" s="215"/>
      <c r="AG19" s="215"/>
      <c r="AH19" s="215"/>
      <c r="AI19" s="282"/>
      <c r="AJ19" s="217"/>
      <c r="AK19" s="217"/>
      <c r="AL19" s="217"/>
      <c r="AM19" s="217"/>
      <c r="AN19" s="217"/>
      <c r="AO19" s="282"/>
      <c r="AP19" s="217"/>
      <c r="AQ19" s="217"/>
      <c r="AR19" s="217"/>
      <c r="AS19" s="217"/>
      <c r="AT19" s="217"/>
      <c r="AU19" s="217"/>
      <c r="AV19" s="217"/>
      <c r="AW19" s="217"/>
      <c r="AX19" s="217"/>
    </row>
    <row r="20" spans="1:50" s="119" customFormat="1" ht="18" customHeight="1" thickBot="1" x14ac:dyDescent="0.35">
      <c r="A20" s="136" t="s">
        <v>14</v>
      </c>
      <c r="B20" s="130" t="s">
        <v>192</v>
      </c>
      <c r="C20" s="277">
        <v>1413</v>
      </c>
      <c r="D20" s="136">
        <v>9055</v>
      </c>
      <c r="E20" s="222">
        <v>0</v>
      </c>
      <c r="F20" s="222">
        <f t="shared" si="1"/>
        <v>0</v>
      </c>
      <c r="G20" s="222">
        <f t="shared" si="2"/>
        <v>0</v>
      </c>
      <c r="H20" s="214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92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82"/>
      <c r="AJ20" s="217"/>
      <c r="AK20" s="217"/>
      <c r="AL20" s="217"/>
      <c r="AM20" s="217"/>
      <c r="AN20" s="217"/>
      <c r="AO20" s="282"/>
      <c r="AP20" s="217"/>
      <c r="AQ20" s="217"/>
      <c r="AR20" s="217"/>
      <c r="AS20" s="217"/>
      <c r="AT20" s="217"/>
      <c r="AU20" s="217"/>
      <c r="AV20" s="217"/>
      <c r="AW20" s="217"/>
      <c r="AX20" s="217"/>
    </row>
    <row r="21" spans="1:50" s="119" customFormat="1" ht="18" customHeight="1" thickBot="1" x14ac:dyDescent="0.35">
      <c r="A21" s="136" t="s">
        <v>15</v>
      </c>
      <c r="B21" s="130" t="s">
        <v>193</v>
      </c>
      <c r="C21" s="277">
        <v>20212</v>
      </c>
      <c r="D21" s="136"/>
      <c r="E21" s="222">
        <f>C21</f>
        <v>20212</v>
      </c>
      <c r="F21" s="222">
        <f t="shared" si="1"/>
        <v>20212</v>
      </c>
      <c r="G21" s="222">
        <f t="shared" si="2"/>
        <v>0</v>
      </c>
      <c r="H21" s="214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>
        <v>765</v>
      </c>
      <c r="U21" s="215">
        <v>217</v>
      </c>
      <c r="V21" s="215"/>
      <c r="W21" s="215"/>
      <c r="X21" s="292"/>
      <c r="Y21" s="215"/>
      <c r="Z21" s="215">
        <v>1333</v>
      </c>
      <c r="AA21" s="215">
        <v>2546</v>
      </c>
      <c r="AB21" s="215">
        <v>1434</v>
      </c>
      <c r="AC21" s="215">
        <v>5834</v>
      </c>
      <c r="AD21" s="215">
        <v>3861</v>
      </c>
      <c r="AE21" s="215">
        <v>4222</v>
      </c>
      <c r="AF21" s="215"/>
      <c r="AG21" s="215"/>
      <c r="AH21" s="215"/>
      <c r="AI21" s="282"/>
      <c r="AJ21" s="217"/>
      <c r="AK21" s="217"/>
      <c r="AL21" s="217"/>
      <c r="AM21" s="217"/>
      <c r="AN21" s="217"/>
      <c r="AO21" s="282"/>
      <c r="AP21" s="217"/>
      <c r="AQ21" s="217"/>
      <c r="AR21" s="217"/>
      <c r="AS21" s="217"/>
      <c r="AT21" s="217"/>
      <c r="AU21" s="217"/>
      <c r="AV21" s="217"/>
      <c r="AW21" s="217"/>
      <c r="AX21" s="217"/>
    </row>
    <row r="22" spans="1:50" s="119" customFormat="1" ht="18" customHeight="1" thickBot="1" x14ac:dyDescent="0.35">
      <c r="A22" s="136" t="s">
        <v>16</v>
      </c>
      <c r="B22" s="130" t="s">
        <v>194</v>
      </c>
      <c r="C22" s="277">
        <v>31802</v>
      </c>
      <c r="D22" s="136"/>
      <c r="E22" s="222">
        <f t="shared" ref="E22:E24" si="3">C22</f>
        <v>31802</v>
      </c>
      <c r="F22" s="222">
        <f t="shared" si="1"/>
        <v>31802</v>
      </c>
      <c r="G22" s="222">
        <f t="shared" si="2"/>
        <v>0</v>
      </c>
      <c r="H22" s="214"/>
      <c r="I22" s="215"/>
      <c r="J22" s="215"/>
      <c r="K22" s="215"/>
      <c r="L22" s="215"/>
      <c r="M22" s="215"/>
      <c r="N22" s="215">
        <v>14088</v>
      </c>
      <c r="O22" s="215"/>
      <c r="P22" s="215"/>
      <c r="Q22" s="215">
        <v>5635</v>
      </c>
      <c r="R22" s="215">
        <v>6352.18</v>
      </c>
      <c r="S22" s="215"/>
      <c r="T22" s="215">
        <v>5578.46</v>
      </c>
      <c r="U22" s="215"/>
      <c r="V22" s="215">
        <v>148.36000000000001</v>
      </c>
      <c r="W22" s="215"/>
      <c r="X22" s="292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82"/>
      <c r="AJ22" s="217"/>
      <c r="AK22" s="217"/>
      <c r="AL22" s="217"/>
      <c r="AM22" s="217"/>
      <c r="AN22" s="217"/>
      <c r="AO22" s="282"/>
      <c r="AP22" s="217"/>
      <c r="AQ22" s="217"/>
      <c r="AR22" s="217"/>
      <c r="AS22" s="217"/>
      <c r="AT22" s="217"/>
      <c r="AU22" s="217"/>
      <c r="AV22" s="217"/>
      <c r="AW22" s="217"/>
      <c r="AX22" s="217"/>
    </row>
    <row r="23" spans="1:50" s="119" customFormat="1" ht="18" customHeight="1" thickBot="1" x14ac:dyDescent="0.35">
      <c r="A23" s="136" t="s">
        <v>17</v>
      </c>
      <c r="B23" s="130" t="s">
        <v>195</v>
      </c>
      <c r="C23" s="277">
        <v>439361</v>
      </c>
      <c r="D23" s="136"/>
      <c r="E23" s="222">
        <f t="shared" si="3"/>
        <v>439361</v>
      </c>
      <c r="F23" s="222">
        <f t="shared" si="1"/>
        <v>439361.00000000006</v>
      </c>
      <c r="G23" s="222">
        <f t="shared" si="2"/>
        <v>0</v>
      </c>
      <c r="H23" s="214"/>
      <c r="I23" s="215"/>
      <c r="J23" s="215"/>
      <c r="K23" s="215"/>
      <c r="L23" s="215"/>
      <c r="M23" s="217"/>
      <c r="N23" s="215"/>
      <c r="O23" s="215"/>
      <c r="P23" s="215">
        <v>20141.84</v>
      </c>
      <c r="Q23" s="215">
        <v>51774.65</v>
      </c>
      <c r="R23" s="215">
        <v>32243.759999999998</v>
      </c>
      <c r="S23" s="215">
        <v>34234.980000000003</v>
      </c>
      <c r="T23" s="215">
        <v>39919.17</v>
      </c>
      <c r="U23" s="215">
        <v>50019.21</v>
      </c>
      <c r="V23" s="215">
        <v>23551.9</v>
      </c>
      <c r="W23" s="215"/>
      <c r="X23" s="292"/>
      <c r="Y23" s="215"/>
      <c r="Z23" s="215">
        <f>84770.04+43205.22</f>
        <v>127975.26</v>
      </c>
      <c r="AA23" s="215"/>
      <c r="AB23" s="215">
        <v>25679.27</v>
      </c>
      <c r="AC23" s="215">
        <v>33820.959999999999</v>
      </c>
      <c r="AD23" s="215"/>
      <c r="AE23" s="215"/>
      <c r="AF23" s="215"/>
      <c r="AG23" s="215"/>
      <c r="AH23" s="215"/>
      <c r="AI23" s="282"/>
      <c r="AJ23" s="217"/>
      <c r="AK23" s="217"/>
      <c r="AL23" s="217"/>
      <c r="AM23" s="217"/>
      <c r="AN23" s="217"/>
      <c r="AO23" s="282"/>
      <c r="AP23" s="217"/>
      <c r="AQ23" s="217"/>
      <c r="AR23" s="217"/>
      <c r="AS23" s="217"/>
      <c r="AT23" s="217"/>
      <c r="AU23" s="217"/>
      <c r="AV23" s="217"/>
      <c r="AW23" s="217"/>
      <c r="AX23" s="217"/>
    </row>
    <row r="24" spans="1:50" s="119" customFormat="1" ht="18" customHeight="1" thickBot="1" x14ac:dyDescent="0.35">
      <c r="A24" s="136" t="s">
        <v>18</v>
      </c>
      <c r="B24" s="130" t="s">
        <v>196</v>
      </c>
      <c r="C24" s="277">
        <v>42120</v>
      </c>
      <c r="D24" s="136"/>
      <c r="E24" s="222">
        <f t="shared" si="3"/>
        <v>42120</v>
      </c>
      <c r="F24" s="222">
        <f t="shared" si="1"/>
        <v>42119.999999999993</v>
      </c>
      <c r="G24" s="222">
        <f t="shared" si="2"/>
        <v>0</v>
      </c>
      <c r="H24" s="214"/>
      <c r="I24" s="215"/>
      <c r="J24" s="215"/>
      <c r="K24" s="215">
        <v>7274.58</v>
      </c>
      <c r="L24" s="215">
        <v>2803.65</v>
      </c>
      <c r="M24" s="215">
        <v>6814.58</v>
      </c>
      <c r="N24" s="215">
        <v>2971.96</v>
      </c>
      <c r="O24" s="215"/>
      <c r="P24" s="215">
        <v>2804.02</v>
      </c>
      <c r="Q24" s="215">
        <v>5607.74</v>
      </c>
      <c r="R24" s="215">
        <v>2967.93</v>
      </c>
      <c r="S24" s="215">
        <v>5771.96</v>
      </c>
      <c r="T24" s="215">
        <v>2761.09</v>
      </c>
      <c r="U24" s="215">
        <v>2342.4899999999998</v>
      </c>
      <c r="V24" s="215"/>
      <c r="W24" s="215"/>
      <c r="X24" s="292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82"/>
      <c r="AJ24" s="217"/>
      <c r="AK24" s="217"/>
      <c r="AL24" s="217"/>
      <c r="AM24" s="217"/>
      <c r="AN24" s="217"/>
      <c r="AO24" s="282"/>
      <c r="AP24" s="217"/>
      <c r="AQ24" s="217"/>
      <c r="AR24" s="217"/>
      <c r="AS24" s="217"/>
      <c r="AT24" s="217"/>
      <c r="AU24" s="217"/>
      <c r="AV24" s="217"/>
      <c r="AW24" s="217"/>
      <c r="AX24" s="217"/>
    </row>
    <row r="25" spans="1:50" s="119" customFormat="1" ht="18" customHeight="1" thickBot="1" x14ac:dyDescent="0.35">
      <c r="A25" s="136" t="s">
        <v>19</v>
      </c>
      <c r="B25" s="130" t="s">
        <v>197</v>
      </c>
      <c r="C25" s="277">
        <v>2120</v>
      </c>
      <c r="D25" s="136">
        <v>9025</v>
      </c>
      <c r="E25" s="222">
        <v>0</v>
      </c>
      <c r="F25" s="222">
        <f t="shared" si="1"/>
        <v>0</v>
      </c>
      <c r="G25" s="222">
        <f t="shared" si="2"/>
        <v>0</v>
      </c>
      <c r="H25" s="214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92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82"/>
      <c r="AJ25" s="217"/>
      <c r="AK25" s="217"/>
      <c r="AL25" s="217"/>
      <c r="AM25" s="217"/>
      <c r="AN25" s="217"/>
      <c r="AO25" s="282"/>
      <c r="AP25" s="217"/>
      <c r="AQ25" s="217"/>
      <c r="AR25" s="217"/>
      <c r="AS25" s="217"/>
      <c r="AT25" s="217"/>
      <c r="AU25" s="217"/>
      <c r="AV25" s="217"/>
      <c r="AW25" s="217"/>
      <c r="AX25" s="217"/>
    </row>
    <row r="26" spans="1:50" s="119" customFormat="1" ht="18" customHeight="1" thickBot="1" x14ac:dyDescent="0.35">
      <c r="A26" s="136" t="s">
        <v>20</v>
      </c>
      <c r="B26" s="130" t="s">
        <v>198</v>
      </c>
      <c r="C26" s="277">
        <v>1105362</v>
      </c>
      <c r="D26" s="136"/>
      <c r="E26" s="222">
        <f>C26</f>
        <v>1105362</v>
      </c>
      <c r="F26" s="222">
        <f t="shared" si="1"/>
        <v>1105362</v>
      </c>
      <c r="G26" s="222">
        <f t="shared" si="2"/>
        <v>0</v>
      </c>
      <c r="H26" s="214"/>
      <c r="I26" s="215"/>
      <c r="J26" s="215"/>
      <c r="K26" s="215"/>
      <c r="L26" s="215"/>
      <c r="M26" s="215"/>
      <c r="N26" s="215">
        <v>101564.58</v>
      </c>
      <c r="O26" s="215"/>
      <c r="P26" s="215">
        <v>201083.22</v>
      </c>
      <c r="Q26" s="215">
        <v>98761.59</v>
      </c>
      <c r="R26" s="215">
        <v>98440.91</v>
      </c>
      <c r="S26" s="215">
        <v>96521.45</v>
      </c>
      <c r="T26" s="215"/>
      <c r="U26" s="215"/>
      <c r="V26" s="215">
        <v>200407.15</v>
      </c>
      <c r="W26" s="215">
        <v>50000</v>
      </c>
      <c r="X26" s="292"/>
      <c r="Y26" s="215">
        <v>258583.1</v>
      </c>
      <c r="Z26" s="215"/>
      <c r="AA26" s="215"/>
      <c r="AB26" s="215"/>
      <c r="AC26" s="215"/>
      <c r="AD26" s="215"/>
      <c r="AE26" s="215"/>
      <c r="AF26" s="215"/>
      <c r="AG26" s="215"/>
      <c r="AH26" s="215"/>
      <c r="AI26" s="282"/>
      <c r="AJ26" s="217"/>
      <c r="AK26" s="217"/>
      <c r="AL26" s="217"/>
      <c r="AM26" s="217"/>
      <c r="AN26" s="217"/>
      <c r="AO26" s="282"/>
      <c r="AP26" s="217"/>
      <c r="AQ26" s="217"/>
      <c r="AR26" s="217"/>
      <c r="AS26" s="217"/>
      <c r="AT26" s="217"/>
      <c r="AU26" s="217"/>
      <c r="AV26" s="217"/>
      <c r="AW26" s="217"/>
      <c r="AX26" s="217"/>
    </row>
    <row r="27" spans="1:50" s="119" customFormat="1" ht="18" customHeight="1" thickBot="1" x14ac:dyDescent="0.35">
      <c r="A27" s="136" t="s">
        <v>21</v>
      </c>
      <c r="B27" s="130" t="s">
        <v>199</v>
      </c>
      <c r="C27" s="277">
        <v>24028</v>
      </c>
      <c r="D27" s="136"/>
      <c r="E27" s="222">
        <f>C27</f>
        <v>24028</v>
      </c>
      <c r="F27" s="222">
        <f t="shared" si="1"/>
        <v>24028</v>
      </c>
      <c r="G27" s="222">
        <f t="shared" si="2"/>
        <v>0</v>
      </c>
      <c r="H27" s="214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>
        <v>24028</v>
      </c>
      <c r="T27" s="215"/>
      <c r="U27" s="215"/>
      <c r="V27" s="215"/>
      <c r="W27" s="215"/>
      <c r="X27" s="292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82"/>
      <c r="AJ27" s="217"/>
      <c r="AK27" s="217"/>
      <c r="AL27" s="217"/>
      <c r="AM27" s="217"/>
      <c r="AN27" s="217"/>
      <c r="AO27" s="282"/>
      <c r="AP27" s="217"/>
      <c r="AQ27" s="217"/>
      <c r="AR27" s="217"/>
      <c r="AS27" s="217"/>
      <c r="AT27" s="217"/>
      <c r="AU27" s="217"/>
      <c r="AV27" s="217"/>
      <c r="AW27" s="217"/>
      <c r="AX27" s="217"/>
    </row>
    <row r="28" spans="1:50" s="119" customFormat="1" ht="18" customHeight="1" thickBot="1" x14ac:dyDescent="0.35">
      <c r="A28" s="136" t="s">
        <v>22</v>
      </c>
      <c r="B28" s="130" t="s">
        <v>200</v>
      </c>
      <c r="C28" s="277">
        <v>6078</v>
      </c>
      <c r="D28" s="136"/>
      <c r="E28" s="222">
        <f>14488+5533</f>
        <v>20021</v>
      </c>
      <c r="F28" s="222">
        <f t="shared" si="1"/>
        <v>20021</v>
      </c>
      <c r="G28" s="222">
        <f t="shared" si="2"/>
        <v>0</v>
      </c>
      <c r="H28" s="214"/>
      <c r="I28" s="215"/>
      <c r="J28" s="215"/>
      <c r="K28" s="215"/>
      <c r="L28" s="215"/>
      <c r="M28" s="215"/>
      <c r="N28" s="215"/>
      <c r="O28" s="215">
        <v>4837.5</v>
      </c>
      <c r="P28" s="215">
        <v>666.95</v>
      </c>
      <c r="Q28" s="215">
        <v>630.74</v>
      </c>
      <c r="R28" s="215">
        <v>886.53</v>
      </c>
      <c r="S28" s="215">
        <v>7250.17</v>
      </c>
      <c r="T28" s="215">
        <v>216.11</v>
      </c>
      <c r="U28" s="215">
        <v>3460.41</v>
      </c>
      <c r="V28" s="215"/>
      <c r="W28" s="215">
        <v>2046.25</v>
      </c>
      <c r="X28" s="292"/>
      <c r="Y28" s="215">
        <v>26.34</v>
      </c>
      <c r="Z28" s="215"/>
      <c r="AA28" s="215"/>
      <c r="AB28" s="215"/>
      <c r="AC28" s="215"/>
      <c r="AD28" s="215"/>
      <c r="AE28" s="215"/>
      <c r="AF28" s="215"/>
      <c r="AG28" s="215"/>
      <c r="AH28" s="215"/>
      <c r="AI28" s="282"/>
      <c r="AJ28" s="217"/>
      <c r="AK28" s="217"/>
      <c r="AL28" s="217"/>
      <c r="AM28" s="217"/>
      <c r="AN28" s="217"/>
      <c r="AO28" s="282"/>
      <c r="AP28" s="217"/>
      <c r="AQ28" s="217"/>
      <c r="AR28" s="217"/>
      <c r="AS28" s="217"/>
      <c r="AT28" s="217"/>
      <c r="AU28" s="217"/>
      <c r="AV28" s="217"/>
      <c r="AW28" s="217"/>
      <c r="AX28" s="217"/>
    </row>
    <row r="29" spans="1:50" s="119" customFormat="1" ht="18" customHeight="1" thickBot="1" x14ac:dyDescent="0.35">
      <c r="A29" s="136" t="s">
        <v>23</v>
      </c>
      <c r="B29" s="130" t="s">
        <v>201</v>
      </c>
      <c r="C29" s="277">
        <v>353</v>
      </c>
      <c r="D29" s="136">
        <v>9075</v>
      </c>
      <c r="E29" s="222">
        <v>0</v>
      </c>
      <c r="F29" s="222">
        <f t="shared" si="1"/>
        <v>0</v>
      </c>
      <c r="G29" s="222">
        <f t="shared" si="2"/>
        <v>0</v>
      </c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92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82"/>
      <c r="AJ29" s="217"/>
      <c r="AK29" s="217"/>
      <c r="AL29" s="217"/>
      <c r="AM29" s="217"/>
      <c r="AN29" s="217"/>
      <c r="AO29" s="282"/>
      <c r="AP29" s="217"/>
      <c r="AQ29" s="217"/>
      <c r="AR29" s="217"/>
      <c r="AS29" s="217"/>
      <c r="AT29" s="217"/>
      <c r="AU29" s="217"/>
      <c r="AV29" s="217"/>
      <c r="AW29" s="217"/>
      <c r="AX29" s="217"/>
    </row>
    <row r="30" spans="1:50" s="119" customFormat="1" ht="18" customHeight="1" thickBot="1" x14ac:dyDescent="0.35">
      <c r="A30" s="136" t="s">
        <v>24</v>
      </c>
      <c r="B30" s="130" t="s">
        <v>202</v>
      </c>
      <c r="C30" s="277">
        <v>0</v>
      </c>
      <c r="D30" s="276" t="s">
        <v>623</v>
      </c>
      <c r="E30" s="222">
        <v>0</v>
      </c>
      <c r="F30" s="222">
        <f t="shared" si="1"/>
        <v>0</v>
      </c>
      <c r="G30" s="222">
        <f t="shared" si="2"/>
        <v>0</v>
      </c>
      <c r="H30" s="214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92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82"/>
      <c r="AJ30" s="217"/>
      <c r="AK30" s="217"/>
      <c r="AL30" s="217"/>
      <c r="AM30" s="217"/>
      <c r="AN30" s="217"/>
      <c r="AO30" s="282"/>
      <c r="AP30" s="217"/>
      <c r="AQ30" s="217"/>
      <c r="AR30" s="217"/>
      <c r="AS30" s="217"/>
      <c r="AT30" s="217"/>
      <c r="AU30" s="217"/>
      <c r="AV30" s="217"/>
      <c r="AW30" s="217"/>
      <c r="AX30" s="217"/>
    </row>
    <row r="31" spans="1:50" s="119" customFormat="1" ht="18" customHeight="1" thickBot="1" x14ac:dyDescent="0.35">
      <c r="A31" s="136" t="s">
        <v>25</v>
      </c>
      <c r="B31" s="130" t="s">
        <v>203</v>
      </c>
      <c r="C31" s="277">
        <v>0</v>
      </c>
      <c r="D31" s="276" t="s">
        <v>623</v>
      </c>
      <c r="E31" s="222">
        <v>0</v>
      </c>
      <c r="F31" s="222">
        <f t="shared" si="1"/>
        <v>0</v>
      </c>
      <c r="G31" s="222">
        <f t="shared" si="2"/>
        <v>0</v>
      </c>
      <c r="H31" s="214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92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82"/>
      <c r="AJ31" s="217"/>
      <c r="AK31" s="217"/>
      <c r="AL31" s="217"/>
      <c r="AM31" s="217"/>
      <c r="AN31" s="217"/>
      <c r="AO31" s="282"/>
      <c r="AP31" s="217"/>
      <c r="AQ31" s="217"/>
      <c r="AR31" s="217"/>
      <c r="AS31" s="217"/>
      <c r="AT31" s="217"/>
      <c r="AU31" s="217"/>
      <c r="AV31" s="217"/>
      <c r="AW31" s="217"/>
      <c r="AX31" s="217"/>
    </row>
    <row r="32" spans="1:50" s="119" customFormat="1" ht="18" customHeight="1" thickBot="1" x14ac:dyDescent="0.35">
      <c r="A32" s="136" t="s">
        <v>26</v>
      </c>
      <c r="B32" s="130" t="s">
        <v>204</v>
      </c>
      <c r="C32" s="277">
        <v>71</v>
      </c>
      <c r="D32" s="276" t="s">
        <v>623</v>
      </c>
      <c r="E32" s="222">
        <v>0</v>
      </c>
      <c r="F32" s="222">
        <f t="shared" si="1"/>
        <v>0</v>
      </c>
      <c r="G32" s="222">
        <f t="shared" si="2"/>
        <v>0</v>
      </c>
      <c r="H32" s="214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92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82"/>
      <c r="AJ32" s="217"/>
      <c r="AK32" s="217"/>
      <c r="AL32" s="217"/>
      <c r="AM32" s="217"/>
      <c r="AN32" s="217"/>
      <c r="AO32" s="282"/>
      <c r="AP32" s="217"/>
      <c r="AQ32" s="217"/>
      <c r="AR32" s="217"/>
      <c r="AS32" s="217"/>
      <c r="AT32" s="217"/>
      <c r="AU32" s="217"/>
      <c r="AV32" s="217"/>
      <c r="AW32" s="217"/>
      <c r="AX32" s="217"/>
    </row>
    <row r="33" spans="1:50" s="119" customFormat="1" ht="18" customHeight="1" thickBot="1" x14ac:dyDescent="0.35">
      <c r="A33" s="136" t="s">
        <v>27</v>
      </c>
      <c r="B33" s="130" t="s">
        <v>205</v>
      </c>
      <c r="C33" s="277">
        <v>0</v>
      </c>
      <c r="D33" s="136"/>
      <c r="E33" s="222">
        <v>0</v>
      </c>
      <c r="F33" s="222">
        <f t="shared" si="1"/>
        <v>0</v>
      </c>
      <c r="G33" s="222">
        <f t="shared" si="2"/>
        <v>0</v>
      </c>
      <c r="H33" s="214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92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82"/>
      <c r="AJ33" s="217"/>
      <c r="AK33" s="217"/>
      <c r="AL33" s="217"/>
      <c r="AM33" s="217"/>
      <c r="AN33" s="217"/>
      <c r="AO33" s="282"/>
      <c r="AP33" s="217"/>
      <c r="AQ33" s="217"/>
      <c r="AR33" s="217"/>
      <c r="AS33" s="217"/>
      <c r="AT33" s="217"/>
      <c r="AU33" s="217"/>
      <c r="AV33" s="217"/>
      <c r="AW33" s="217"/>
      <c r="AX33" s="217"/>
    </row>
    <row r="34" spans="1:50" s="119" customFormat="1" ht="18" customHeight="1" thickBot="1" x14ac:dyDescent="0.35">
      <c r="A34" s="136" t="s">
        <v>28</v>
      </c>
      <c r="B34" s="130" t="s">
        <v>206</v>
      </c>
      <c r="C34" s="277">
        <v>1272</v>
      </c>
      <c r="D34" s="136" t="s">
        <v>401</v>
      </c>
      <c r="E34" s="222">
        <v>0</v>
      </c>
      <c r="F34" s="222">
        <f t="shared" si="1"/>
        <v>0</v>
      </c>
      <c r="G34" s="222">
        <f t="shared" si="2"/>
        <v>0</v>
      </c>
      <c r="H34" s="214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92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82"/>
      <c r="AJ34" s="217"/>
      <c r="AK34" s="217"/>
      <c r="AL34" s="217"/>
      <c r="AM34" s="217"/>
      <c r="AN34" s="217"/>
      <c r="AO34" s="282"/>
      <c r="AP34" s="217"/>
      <c r="AQ34" s="217"/>
      <c r="AR34" s="217"/>
      <c r="AS34" s="217"/>
      <c r="AT34" s="217"/>
      <c r="AU34" s="217"/>
      <c r="AV34" s="217"/>
      <c r="AW34" s="217"/>
      <c r="AX34" s="217"/>
    </row>
    <row r="35" spans="1:50" s="119" customFormat="1" ht="18" customHeight="1" thickBot="1" x14ac:dyDescent="0.35">
      <c r="A35" s="136" t="s">
        <v>29</v>
      </c>
      <c r="B35" s="130" t="s">
        <v>207</v>
      </c>
      <c r="C35" s="277">
        <v>1696</v>
      </c>
      <c r="D35" s="136" t="s">
        <v>401</v>
      </c>
      <c r="E35" s="222">
        <v>0</v>
      </c>
      <c r="F35" s="222">
        <f t="shared" si="1"/>
        <v>0</v>
      </c>
      <c r="G35" s="222">
        <f t="shared" si="2"/>
        <v>0</v>
      </c>
      <c r="H35" s="214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92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82"/>
      <c r="AJ35" s="217"/>
      <c r="AK35" s="217"/>
      <c r="AL35" s="217"/>
      <c r="AM35" s="217"/>
      <c r="AN35" s="217"/>
      <c r="AO35" s="282"/>
      <c r="AP35" s="217"/>
      <c r="AQ35" s="217"/>
      <c r="AR35" s="217"/>
      <c r="AS35" s="217"/>
      <c r="AT35" s="217"/>
      <c r="AU35" s="217"/>
      <c r="AV35" s="217"/>
      <c r="AW35" s="217"/>
      <c r="AX35" s="217"/>
    </row>
    <row r="36" spans="1:50" s="119" customFormat="1" ht="18" customHeight="1" thickBot="1" x14ac:dyDescent="0.35">
      <c r="A36" s="136" t="s">
        <v>30</v>
      </c>
      <c r="B36" s="130" t="s">
        <v>208</v>
      </c>
      <c r="C36" s="277">
        <v>300563</v>
      </c>
      <c r="D36" s="136"/>
      <c r="E36" s="222">
        <f>C36</f>
        <v>300563</v>
      </c>
      <c r="F36" s="222">
        <f t="shared" si="1"/>
        <v>300563</v>
      </c>
      <c r="G36" s="222">
        <f t="shared" si="2"/>
        <v>0</v>
      </c>
      <c r="H36" s="214"/>
      <c r="I36" s="215"/>
      <c r="J36" s="215"/>
      <c r="K36" s="215"/>
      <c r="L36" s="215"/>
      <c r="M36" s="215"/>
      <c r="N36" s="215">
        <v>78940.34</v>
      </c>
      <c r="O36" s="215"/>
      <c r="P36" s="215"/>
      <c r="Q36" s="215">
        <v>63323.24</v>
      </c>
      <c r="R36" s="215">
        <v>20788.560000000001</v>
      </c>
      <c r="S36" s="215">
        <v>21127.22</v>
      </c>
      <c r="T36" s="215"/>
      <c r="U36" s="215">
        <v>41649.82</v>
      </c>
      <c r="V36" s="215"/>
      <c r="W36" s="215">
        <v>30206.34</v>
      </c>
      <c r="X36" s="292"/>
      <c r="Y36" s="215"/>
      <c r="Z36" s="215">
        <v>44527.48</v>
      </c>
      <c r="AA36" s="215"/>
      <c r="AB36" s="215"/>
      <c r="AC36" s="215"/>
      <c r="AD36" s="215"/>
      <c r="AE36" s="215"/>
      <c r="AF36" s="215"/>
      <c r="AG36" s="215"/>
      <c r="AH36" s="215"/>
      <c r="AI36" s="282"/>
      <c r="AJ36" s="217"/>
      <c r="AK36" s="217"/>
      <c r="AL36" s="217"/>
      <c r="AM36" s="217"/>
      <c r="AN36" s="217"/>
      <c r="AO36" s="282"/>
      <c r="AP36" s="217"/>
      <c r="AQ36" s="217"/>
      <c r="AR36" s="217"/>
      <c r="AS36" s="217"/>
      <c r="AT36" s="217"/>
      <c r="AU36" s="217"/>
      <c r="AV36" s="217"/>
      <c r="AW36" s="217"/>
      <c r="AX36" s="217"/>
    </row>
    <row r="37" spans="1:50" s="119" customFormat="1" ht="18" customHeight="1" thickBot="1" x14ac:dyDescent="0.35">
      <c r="A37" s="136" t="s">
        <v>31</v>
      </c>
      <c r="B37" s="130" t="s">
        <v>209</v>
      </c>
      <c r="C37" s="277">
        <v>195617</v>
      </c>
      <c r="D37" s="136"/>
      <c r="E37" s="222">
        <f>C37</f>
        <v>195617</v>
      </c>
      <c r="F37" s="222">
        <f t="shared" si="1"/>
        <v>195617</v>
      </c>
      <c r="G37" s="222">
        <f t="shared" si="2"/>
        <v>0</v>
      </c>
      <c r="H37" s="214"/>
      <c r="I37" s="215"/>
      <c r="J37" s="215"/>
      <c r="K37" s="215"/>
      <c r="L37" s="215"/>
      <c r="M37" s="215"/>
      <c r="N37" s="215"/>
      <c r="O37" s="215"/>
      <c r="P37" s="215"/>
      <c r="Q37" s="215">
        <v>30098.58</v>
      </c>
      <c r="R37" s="215">
        <f>20072.83+25676.57</f>
        <v>45749.4</v>
      </c>
      <c r="S37" s="215">
        <v>18957.189999999999</v>
      </c>
      <c r="T37" s="215"/>
      <c r="U37" s="215"/>
      <c r="V37" s="215">
        <v>3974.06</v>
      </c>
      <c r="W37" s="215">
        <v>64025.39</v>
      </c>
      <c r="X37" s="292">
        <v>32812.379999999997</v>
      </c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82"/>
      <c r="AJ37" s="217"/>
      <c r="AK37" s="217"/>
      <c r="AL37" s="217"/>
      <c r="AM37" s="217"/>
      <c r="AN37" s="217"/>
      <c r="AO37" s="282"/>
      <c r="AP37" s="217"/>
      <c r="AQ37" s="217"/>
      <c r="AR37" s="217"/>
      <c r="AS37" s="217"/>
      <c r="AT37" s="217"/>
      <c r="AU37" s="217"/>
      <c r="AV37" s="217"/>
      <c r="AW37" s="217"/>
      <c r="AX37" s="217"/>
    </row>
    <row r="38" spans="1:50" s="119" customFormat="1" ht="18" customHeight="1" thickBot="1" x14ac:dyDescent="0.35">
      <c r="A38" s="136" t="s">
        <v>32</v>
      </c>
      <c r="B38" s="130" t="s">
        <v>210</v>
      </c>
      <c r="C38" s="277">
        <v>989</v>
      </c>
      <c r="D38" s="276" t="s">
        <v>623</v>
      </c>
      <c r="E38" s="222">
        <v>0</v>
      </c>
      <c r="F38" s="222">
        <f t="shared" si="1"/>
        <v>0</v>
      </c>
      <c r="G38" s="222">
        <f t="shared" si="2"/>
        <v>0</v>
      </c>
      <c r="H38" s="214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92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82"/>
      <c r="AJ38" s="217"/>
      <c r="AK38" s="217"/>
      <c r="AL38" s="217"/>
      <c r="AM38" s="217"/>
      <c r="AN38" s="217"/>
      <c r="AO38" s="282"/>
      <c r="AP38" s="217"/>
      <c r="AQ38" s="217"/>
      <c r="AR38" s="217"/>
      <c r="AS38" s="217"/>
      <c r="AT38" s="217"/>
      <c r="AU38" s="217"/>
      <c r="AV38" s="217"/>
      <c r="AW38" s="217"/>
      <c r="AX38" s="217"/>
    </row>
    <row r="39" spans="1:50" s="119" customFormat="1" ht="18" customHeight="1" thickBot="1" x14ac:dyDescent="0.35">
      <c r="A39" s="136" t="s">
        <v>33</v>
      </c>
      <c r="B39" s="130" t="s">
        <v>211</v>
      </c>
      <c r="C39" s="277">
        <v>1555</v>
      </c>
      <c r="D39" s="136">
        <v>9055</v>
      </c>
      <c r="E39" s="222">
        <v>0</v>
      </c>
      <c r="F39" s="222">
        <f t="shared" si="1"/>
        <v>0</v>
      </c>
      <c r="G39" s="222">
        <f t="shared" si="2"/>
        <v>0</v>
      </c>
      <c r="H39" s="214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92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82"/>
      <c r="AJ39" s="217"/>
      <c r="AK39" s="217"/>
      <c r="AL39" s="217"/>
      <c r="AM39" s="217"/>
      <c r="AN39" s="217"/>
      <c r="AO39" s="282"/>
      <c r="AP39" s="217"/>
      <c r="AQ39" s="217"/>
      <c r="AR39" s="217"/>
      <c r="AS39" s="217"/>
      <c r="AT39" s="217"/>
      <c r="AU39" s="217"/>
      <c r="AV39" s="217"/>
      <c r="AW39" s="217"/>
      <c r="AX39" s="217"/>
    </row>
    <row r="40" spans="1:50" s="119" customFormat="1" ht="18" customHeight="1" thickBot="1" x14ac:dyDescent="0.35">
      <c r="A40" s="136" t="s">
        <v>34</v>
      </c>
      <c r="B40" s="130" t="s">
        <v>212</v>
      </c>
      <c r="C40" s="277">
        <v>212</v>
      </c>
      <c r="D40" s="136" t="s">
        <v>370</v>
      </c>
      <c r="E40" s="222">
        <v>0</v>
      </c>
      <c r="F40" s="222">
        <f t="shared" si="1"/>
        <v>0</v>
      </c>
      <c r="G40" s="222">
        <f t="shared" si="2"/>
        <v>0</v>
      </c>
      <c r="H40" s="214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92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82"/>
      <c r="AJ40" s="217"/>
      <c r="AK40" s="217"/>
      <c r="AL40" s="217"/>
      <c r="AM40" s="217"/>
      <c r="AN40" s="217"/>
      <c r="AO40" s="282"/>
      <c r="AP40" s="217"/>
      <c r="AQ40" s="217"/>
      <c r="AR40" s="217"/>
      <c r="AS40" s="217"/>
      <c r="AT40" s="217"/>
      <c r="AU40" s="217"/>
      <c r="AV40" s="217"/>
      <c r="AW40" s="217"/>
      <c r="AX40" s="217"/>
    </row>
    <row r="41" spans="1:50" s="119" customFormat="1" ht="18" customHeight="1" thickBot="1" x14ac:dyDescent="0.35">
      <c r="A41" s="136" t="s">
        <v>35</v>
      </c>
      <c r="B41" s="130" t="s">
        <v>213</v>
      </c>
      <c r="C41" s="277">
        <v>283</v>
      </c>
      <c r="D41" s="136" t="s">
        <v>370</v>
      </c>
      <c r="E41" s="222">
        <v>0</v>
      </c>
      <c r="F41" s="222">
        <f t="shared" si="1"/>
        <v>0</v>
      </c>
      <c r="G41" s="222">
        <f t="shared" si="2"/>
        <v>0</v>
      </c>
      <c r="H41" s="214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92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82"/>
      <c r="AJ41" s="217"/>
      <c r="AK41" s="217"/>
      <c r="AL41" s="217"/>
      <c r="AM41" s="217"/>
      <c r="AN41" s="217"/>
      <c r="AO41" s="282"/>
      <c r="AP41" s="217"/>
      <c r="AQ41" s="217"/>
      <c r="AR41" s="217"/>
      <c r="AS41" s="217"/>
      <c r="AT41" s="217"/>
      <c r="AU41" s="217"/>
      <c r="AV41" s="217"/>
      <c r="AW41" s="217"/>
      <c r="AX41" s="217"/>
    </row>
    <row r="42" spans="1:50" s="119" customFormat="1" ht="18" customHeight="1" thickBot="1" x14ac:dyDescent="0.35">
      <c r="A42" s="136" t="s">
        <v>36</v>
      </c>
      <c r="B42" s="130" t="s">
        <v>214</v>
      </c>
      <c r="C42" s="277">
        <v>353</v>
      </c>
      <c r="D42" s="276" t="s">
        <v>623</v>
      </c>
      <c r="E42" s="222">
        <v>0</v>
      </c>
      <c r="F42" s="222">
        <f t="shared" si="1"/>
        <v>0</v>
      </c>
      <c r="G42" s="222">
        <f t="shared" si="2"/>
        <v>0</v>
      </c>
      <c r="H42" s="214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92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82"/>
      <c r="AJ42" s="217"/>
      <c r="AK42" s="217"/>
      <c r="AL42" s="217"/>
      <c r="AM42" s="217"/>
      <c r="AN42" s="217"/>
      <c r="AO42" s="282"/>
      <c r="AP42" s="217"/>
      <c r="AQ42" s="217"/>
      <c r="AR42" s="217"/>
      <c r="AS42" s="217"/>
      <c r="AT42" s="217"/>
      <c r="AU42" s="217"/>
      <c r="AV42" s="217"/>
      <c r="AW42" s="217"/>
      <c r="AX42" s="217"/>
    </row>
    <row r="43" spans="1:50" s="119" customFormat="1" ht="18" customHeight="1" thickBot="1" x14ac:dyDescent="0.35">
      <c r="A43" s="136" t="s">
        <v>37</v>
      </c>
      <c r="B43" s="130" t="s">
        <v>215</v>
      </c>
      <c r="C43" s="277">
        <v>0</v>
      </c>
      <c r="D43" s="136"/>
      <c r="E43" s="222">
        <v>0</v>
      </c>
      <c r="F43" s="222">
        <f t="shared" si="1"/>
        <v>0</v>
      </c>
      <c r="G43" s="222">
        <f t="shared" si="2"/>
        <v>0</v>
      </c>
      <c r="H43" s="214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92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82"/>
      <c r="AJ43" s="217"/>
      <c r="AK43" s="217"/>
      <c r="AL43" s="217"/>
      <c r="AM43" s="217"/>
      <c r="AN43" s="217"/>
      <c r="AO43" s="282"/>
      <c r="AP43" s="217"/>
      <c r="AQ43" s="217"/>
      <c r="AR43" s="217"/>
      <c r="AS43" s="217"/>
      <c r="AT43" s="217"/>
      <c r="AU43" s="217"/>
      <c r="AV43" s="217"/>
      <c r="AW43" s="217"/>
      <c r="AX43" s="217"/>
    </row>
    <row r="44" spans="1:50" s="119" customFormat="1" ht="18" customHeight="1" thickBot="1" x14ac:dyDescent="0.35">
      <c r="A44" s="136" t="s">
        <v>38</v>
      </c>
      <c r="B44" s="130" t="s">
        <v>216</v>
      </c>
      <c r="C44" s="277">
        <v>212</v>
      </c>
      <c r="D44" s="136" t="s">
        <v>400</v>
      </c>
      <c r="E44" s="222">
        <v>0</v>
      </c>
      <c r="F44" s="222">
        <f t="shared" si="1"/>
        <v>0</v>
      </c>
      <c r="G44" s="222">
        <f t="shared" si="2"/>
        <v>0</v>
      </c>
      <c r="H44" s="214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92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82"/>
      <c r="AJ44" s="217"/>
      <c r="AK44" s="217"/>
      <c r="AL44" s="217"/>
      <c r="AM44" s="217"/>
      <c r="AN44" s="217"/>
      <c r="AO44" s="282"/>
      <c r="AP44" s="217"/>
      <c r="AQ44" s="217"/>
      <c r="AR44" s="217"/>
      <c r="AS44" s="217"/>
      <c r="AT44" s="217"/>
      <c r="AU44" s="217"/>
      <c r="AV44" s="217"/>
      <c r="AW44" s="217"/>
      <c r="AX44" s="217"/>
    </row>
    <row r="45" spans="1:50" s="119" customFormat="1" ht="18" customHeight="1" thickBot="1" x14ac:dyDescent="0.35">
      <c r="A45" s="136" t="s">
        <v>39</v>
      </c>
      <c r="B45" s="130" t="s">
        <v>217</v>
      </c>
      <c r="C45" s="277">
        <v>1201</v>
      </c>
      <c r="D45" s="136" t="s">
        <v>400</v>
      </c>
      <c r="E45" s="222">
        <v>0</v>
      </c>
      <c r="F45" s="222">
        <f t="shared" si="1"/>
        <v>0</v>
      </c>
      <c r="G45" s="222">
        <f t="shared" si="2"/>
        <v>0</v>
      </c>
      <c r="H45" s="214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92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82"/>
      <c r="AJ45" s="217"/>
      <c r="AK45" s="217"/>
      <c r="AL45" s="217"/>
      <c r="AM45" s="217"/>
      <c r="AN45" s="217"/>
      <c r="AO45" s="282"/>
      <c r="AP45" s="217"/>
      <c r="AQ45" s="217"/>
      <c r="AR45" s="217"/>
      <c r="AS45" s="217"/>
      <c r="AT45" s="217"/>
      <c r="AU45" s="217"/>
      <c r="AV45" s="217"/>
      <c r="AW45" s="217"/>
      <c r="AX45" s="217"/>
    </row>
    <row r="46" spans="1:50" s="119" customFormat="1" ht="18" customHeight="1" thickBot="1" x14ac:dyDescent="0.35">
      <c r="A46" s="136" t="s">
        <v>40</v>
      </c>
      <c r="B46" s="130" t="s">
        <v>218</v>
      </c>
      <c r="C46" s="277">
        <v>71</v>
      </c>
      <c r="D46" s="136" t="s">
        <v>400</v>
      </c>
      <c r="E46" s="222">
        <v>0</v>
      </c>
      <c r="F46" s="222">
        <f t="shared" si="1"/>
        <v>0</v>
      </c>
      <c r="G46" s="222">
        <f t="shared" si="2"/>
        <v>0</v>
      </c>
      <c r="H46" s="214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92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82"/>
      <c r="AJ46" s="217"/>
      <c r="AK46" s="217"/>
      <c r="AL46" s="217"/>
      <c r="AM46" s="217"/>
      <c r="AN46" s="217"/>
      <c r="AO46" s="282"/>
      <c r="AP46" s="217"/>
      <c r="AQ46" s="217"/>
      <c r="AR46" s="217"/>
      <c r="AS46" s="217"/>
      <c r="AT46" s="217"/>
      <c r="AU46" s="217"/>
      <c r="AV46" s="217"/>
      <c r="AW46" s="217"/>
      <c r="AX46" s="217"/>
    </row>
    <row r="47" spans="1:50" s="119" customFormat="1" ht="18" customHeight="1" thickBot="1" x14ac:dyDescent="0.35">
      <c r="A47" s="136" t="s">
        <v>41</v>
      </c>
      <c r="B47" s="130" t="s">
        <v>219</v>
      </c>
      <c r="C47" s="277">
        <v>2049</v>
      </c>
      <c r="D47" s="136" t="s">
        <v>400</v>
      </c>
      <c r="E47" s="222">
        <v>0</v>
      </c>
      <c r="F47" s="222">
        <f t="shared" si="1"/>
        <v>0</v>
      </c>
      <c r="G47" s="222">
        <f t="shared" si="2"/>
        <v>0</v>
      </c>
      <c r="H47" s="214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92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82"/>
      <c r="AJ47" s="217"/>
      <c r="AK47" s="217"/>
      <c r="AL47" s="217"/>
      <c r="AM47" s="217"/>
      <c r="AN47" s="217"/>
      <c r="AO47" s="282"/>
      <c r="AP47" s="217"/>
      <c r="AQ47" s="217"/>
      <c r="AR47" s="217"/>
      <c r="AS47" s="217"/>
      <c r="AT47" s="217"/>
      <c r="AU47" s="217"/>
      <c r="AV47" s="217"/>
      <c r="AW47" s="217"/>
      <c r="AX47" s="217"/>
    </row>
    <row r="48" spans="1:50" s="119" customFormat="1" ht="18" customHeight="1" thickBot="1" x14ac:dyDescent="0.35">
      <c r="A48" s="136" t="s">
        <v>42</v>
      </c>
      <c r="B48" s="130" t="s">
        <v>220</v>
      </c>
      <c r="C48" s="277">
        <v>71</v>
      </c>
      <c r="D48" s="276" t="s">
        <v>623</v>
      </c>
      <c r="E48" s="222">
        <v>0</v>
      </c>
      <c r="F48" s="222">
        <f t="shared" si="1"/>
        <v>0</v>
      </c>
      <c r="G48" s="222">
        <f t="shared" si="2"/>
        <v>0</v>
      </c>
      <c r="H48" s="214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92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82"/>
      <c r="AJ48" s="217"/>
      <c r="AK48" s="217"/>
      <c r="AL48" s="217"/>
      <c r="AM48" s="217"/>
      <c r="AN48" s="217"/>
      <c r="AO48" s="282"/>
      <c r="AP48" s="217"/>
      <c r="AQ48" s="217"/>
      <c r="AR48" s="217"/>
      <c r="AS48" s="217"/>
      <c r="AT48" s="217"/>
      <c r="AU48" s="217"/>
      <c r="AV48" s="217"/>
      <c r="AW48" s="217"/>
      <c r="AX48" s="217"/>
    </row>
    <row r="49" spans="1:50" s="119" customFormat="1" ht="18" customHeight="1" thickBot="1" x14ac:dyDescent="0.35">
      <c r="A49" s="136" t="s">
        <v>43</v>
      </c>
      <c r="B49" s="130" t="s">
        <v>443</v>
      </c>
      <c r="C49" s="277">
        <v>0</v>
      </c>
      <c r="D49" s="136"/>
      <c r="E49" s="222">
        <v>0</v>
      </c>
      <c r="F49" s="222">
        <f t="shared" si="1"/>
        <v>0</v>
      </c>
      <c r="G49" s="222">
        <f t="shared" si="2"/>
        <v>0</v>
      </c>
      <c r="H49" s="214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92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82"/>
      <c r="AJ49" s="217"/>
      <c r="AK49" s="217"/>
      <c r="AL49" s="217"/>
      <c r="AM49" s="217"/>
      <c r="AN49" s="217"/>
      <c r="AO49" s="282"/>
      <c r="AP49" s="217"/>
      <c r="AQ49" s="217"/>
      <c r="AR49" s="217"/>
      <c r="AS49" s="217"/>
      <c r="AT49" s="217"/>
      <c r="AU49" s="217"/>
      <c r="AV49" s="217"/>
      <c r="AW49" s="217"/>
      <c r="AX49" s="217"/>
    </row>
    <row r="50" spans="1:50" s="119" customFormat="1" ht="18" customHeight="1" thickBot="1" x14ac:dyDescent="0.35">
      <c r="A50" s="136" t="s">
        <v>44</v>
      </c>
      <c r="B50" s="130" t="s">
        <v>222</v>
      </c>
      <c r="C50" s="277">
        <v>19222</v>
      </c>
      <c r="D50" s="136"/>
      <c r="E50" s="222">
        <f>C50</f>
        <v>19222</v>
      </c>
      <c r="F50" s="222">
        <f t="shared" si="1"/>
        <v>19222.000000000004</v>
      </c>
      <c r="G50" s="222">
        <f t="shared" si="2"/>
        <v>0</v>
      </c>
      <c r="H50" s="214"/>
      <c r="I50" s="215"/>
      <c r="J50" s="215"/>
      <c r="K50" s="215"/>
      <c r="L50" s="215"/>
      <c r="M50" s="215"/>
      <c r="N50" s="215"/>
      <c r="O50" s="215"/>
      <c r="P50" s="215">
        <v>9912.17</v>
      </c>
      <c r="Q50" s="215">
        <v>1432.71</v>
      </c>
      <c r="R50" s="215">
        <v>1434.75</v>
      </c>
      <c r="S50" s="215">
        <v>1434.75</v>
      </c>
      <c r="T50" s="215"/>
      <c r="U50" s="215">
        <v>1432.35</v>
      </c>
      <c r="V50" s="215">
        <v>1436.96</v>
      </c>
      <c r="W50" s="215"/>
      <c r="X50" s="292">
        <v>2138.31</v>
      </c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82"/>
      <c r="AJ50" s="217"/>
      <c r="AK50" s="217"/>
      <c r="AL50" s="217"/>
      <c r="AM50" s="217"/>
      <c r="AN50" s="217"/>
      <c r="AO50" s="282"/>
      <c r="AP50" s="217"/>
      <c r="AQ50" s="217"/>
      <c r="AR50" s="217"/>
      <c r="AS50" s="217"/>
      <c r="AT50" s="217"/>
      <c r="AU50" s="217"/>
      <c r="AV50" s="217"/>
      <c r="AW50" s="217"/>
      <c r="AX50" s="217"/>
    </row>
    <row r="51" spans="1:50" s="119" customFormat="1" ht="18" customHeight="1" thickBot="1" x14ac:dyDescent="0.35">
      <c r="A51" s="136" t="s">
        <v>45</v>
      </c>
      <c r="B51" s="130" t="s">
        <v>223</v>
      </c>
      <c r="C51" s="277">
        <v>2131997</v>
      </c>
      <c r="D51" s="136"/>
      <c r="E51" s="222">
        <f>C51</f>
        <v>2131997</v>
      </c>
      <c r="F51" s="222">
        <f t="shared" si="1"/>
        <v>2131997</v>
      </c>
      <c r="G51" s="222">
        <f t="shared" si="2"/>
        <v>0</v>
      </c>
      <c r="H51" s="214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>
        <v>654114.49</v>
      </c>
      <c r="T51" s="215"/>
      <c r="U51" s="215"/>
      <c r="V51" s="215"/>
      <c r="W51" s="215"/>
      <c r="X51" s="292">
        <v>659055</v>
      </c>
      <c r="Y51" s="215"/>
      <c r="Z51" s="215"/>
      <c r="AA51" s="215"/>
      <c r="AB51" s="215"/>
      <c r="AC51" s="215">
        <v>818827.51</v>
      </c>
      <c r="AD51" s="215"/>
      <c r="AE51" s="215"/>
      <c r="AF51" s="215"/>
      <c r="AG51" s="215"/>
      <c r="AH51" s="215"/>
      <c r="AI51" s="282"/>
      <c r="AJ51" s="217"/>
      <c r="AK51" s="217"/>
      <c r="AL51" s="217"/>
      <c r="AM51" s="217"/>
      <c r="AN51" s="217"/>
      <c r="AO51" s="282"/>
      <c r="AP51" s="217"/>
      <c r="AQ51" s="217"/>
      <c r="AR51" s="217"/>
      <c r="AS51" s="217"/>
      <c r="AT51" s="217"/>
      <c r="AU51" s="217"/>
      <c r="AV51" s="217"/>
      <c r="AW51" s="217"/>
      <c r="AX51" s="217"/>
    </row>
    <row r="52" spans="1:50" s="119" customFormat="1" ht="18" customHeight="1" thickBot="1" x14ac:dyDescent="0.35">
      <c r="A52" s="136" t="s">
        <v>46</v>
      </c>
      <c r="B52" s="130" t="s">
        <v>224</v>
      </c>
      <c r="C52" s="277">
        <v>0</v>
      </c>
      <c r="D52" s="136"/>
      <c r="E52" s="222">
        <v>0</v>
      </c>
      <c r="F52" s="222">
        <f t="shared" si="1"/>
        <v>0</v>
      </c>
      <c r="G52" s="222">
        <f t="shared" si="2"/>
        <v>0</v>
      </c>
      <c r="H52" s="214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92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82"/>
      <c r="AJ52" s="217"/>
      <c r="AK52" s="217"/>
      <c r="AL52" s="217"/>
      <c r="AM52" s="217"/>
      <c r="AN52" s="217"/>
      <c r="AO52" s="282"/>
      <c r="AP52" s="217"/>
      <c r="AQ52" s="217"/>
      <c r="AR52" s="217"/>
      <c r="AS52" s="217"/>
      <c r="AT52" s="217"/>
      <c r="AU52" s="217"/>
      <c r="AV52" s="217"/>
      <c r="AW52" s="217"/>
      <c r="AX52" s="217"/>
    </row>
    <row r="53" spans="1:50" s="119" customFormat="1" ht="18" customHeight="1" thickBot="1" x14ac:dyDescent="0.35">
      <c r="A53" s="136" t="s">
        <v>47</v>
      </c>
      <c r="B53" s="130" t="s">
        <v>225</v>
      </c>
      <c r="C53" s="277">
        <v>270245</v>
      </c>
      <c r="D53" s="136"/>
      <c r="E53" s="222">
        <v>272436</v>
      </c>
      <c r="F53" s="222">
        <f t="shared" si="1"/>
        <v>272436</v>
      </c>
      <c r="G53" s="222">
        <f t="shared" si="2"/>
        <v>0</v>
      </c>
      <c r="H53" s="214"/>
      <c r="I53" s="215"/>
      <c r="J53" s="215"/>
      <c r="K53" s="215"/>
      <c r="L53" s="215"/>
      <c r="M53" s="215">
        <v>20688.099999999999</v>
      </c>
      <c r="N53" s="215">
        <f>39719.01+3741.99</f>
        <v>43461</v>
      </c>
      <c r="O53" s="215">
        <f>18773.16+10482.08</f>
        <v>29255.239999999998</v>
      </c>
      <c r="P53" s="215">
        <v>13406.97</v>
      </c>
      <c r="Q53" s="215">
        <v>10146.370000000001</v>
      </c>
      <c r="R53" s="215">
        <v>32842.93</v>
      </c>
      <c r="S53" s="215">
        <v>32133.57</v>
      </c>
      <c r="T53" s="215">
        <v>28961.85</v>
      </c>
      <c r="U53" s="215"/>
      <c r="V53" s="215"/>
      <c r="W53" s="215"/>
      <c r="X53" s="292">
        <v>34834.54</v>
      </c>
      <c r="Y53" s="215">
        <v>26705.43</v>
      </c>
      <c r="Z53" s="215"/>
      <c r="AA53" s="215"/>
      <c r="AB53" s="215"/>
      <c r="AC53" s="215"/>
      <c r="AD53" s="215"/>
      <c r="AE53" s="215"/>
      <c r="AF53" s="215"/>
      <c r="AG53" s="215"/>
      <c r="AH53" s="215"/>
      <c r="AI53" s="282"/>
      <c r="AJ53" s="217"/>
      <c r="AK53" s="217"/>
      <c r="AL53" s="217"/>
      <c r="AM53" s="217"/>
      <c r="AN53" s="217"/>
      <c r="AO53" s="282"/>
      <c r="AP53" s="217"/>
      <c r="AQ53" s="217"/>
      <c r="AR53" s="217"/>
      <c r="AS53" s="217"/>
      <c r="AT53" s="217"/>
      <c r="AU53" s="217"/>
      <c r="AV53" s="217"/>
      <c r="AW53" s="217"/>
      <c r="AX53" s="217"/>
    </row>
    <row r="54" spans="1:50" s="119" customFormat="1" ht="18" customHeight="1" thickBot="1" x14ac:dyDescent="0.35">
      <c r="A54" s="136" t="s">
        <v>48</v>
      </c>
      <c r="B54" s="130" t="s">
        <v>226</v>
      </c>
      <c r="C54" s="277">
        <v>152932</v>
      </c>
      <c r="D54" s="136"/>
      <c r="E54" s="222">
        <f>C54</f>
        <v>152932</v>
      </c>
      <c r="F54" s="222">
        <f t="shared" si="1"/>
        <v>152932</v>
      </c>
      <c r="G54" s="222">
        <f t="shared" si="2"/>
        <v>0</v>
      </c>
      <c r="H54" s="214"/>
      <c r="I54" s="215"/>
      <c r="J54" s="215"/>
      <c r="K54" s="215"/>
      <c r="L54" s="215"/>
      <c r="M54" s="215"/>
      <c r="N54" s="215">
        <f>33711.37+10855.77</f>
        <v>44567.14</v>
      </c>
      <c r="O54" s="215"/>
      <c r="P54" s="215"/>
      <c r="Q54" s="215">
        <v>27180.39</v>
      </c>
      <c r="R54" s="215">
        <v>14292.79</v>
      </c>
      <c r="S54" s="215">
        <v>66891.679999999993</v>
      </c>
      <c r="T54" s="215"/>
      <c r="U54" s="215"/>
      <c r="V54" s="215"/>
      <c r="W54" s="215"/>
      <c r="X54" s="292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82"/>
      <c r="AJ54" s="217"/>
      <c r="AK54" s="217"/>
      <c r="AL54" s="217"/>
      <c r="AM54" s="217"/>
      <c r="AN54" s="217"/>
      <c r="AO54" s="282"/>
      <c r="AP54" s="217"/>
      <c r="AQ54" s="217"/>
      <c r="AR54" s="217"/>
      <c r="AS54" s="217"/>
      <c r="AT54" s="217"/>
      <c r="AU54" s="217"/>
      <c r="AV54" s="217"/>
      <c r="AW54" s="217"/>
      <c r="AX54" s="217"/>
    </row>
    <row r="55" spans="1:50" s="119" customFormat="1" ht="18" customHeight="1" thickBot="1" x14ac:dyDescent="0.35">
      <c r="A55" s="136" t="s">
        <v>49</v>
      </c>
      <c r="B55" s="130" t="s">
        <v>227</v>
      </c>
      <c r="C55" s="277">
        <v>2191</v>
      </c>
      <c r="D55" s="136" t="s">
        <v>47</v>
      </c>
      <c r="E55" s="222">
        <v>0</v>
      </c>
      <c r="F55" s="222">
        <f t="shared" si="1"/>
        <v>0</v>
      </c>
      <c r="G55" s="222">
        <f t="shared" si="2"/>
        <v>0</v>
      </c>
      <c r="H55" s="214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92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82"/>
      <c r="AJ55" s="217"/>
      <c r="AK55" s="217"/>
      <c r="AL55" s="217"/>
      <c r="AM55" s="217"/>
      <c r="AN55" s="217"/>
      <c r="AO55" s="282"/>
      <c r="AP55" s="217"/>
      <c r="AQ55" s="217"/>
      <c r="AR55" s="217"/>
      <c r="AS55" s="217"/>
      <c r="AT55" s="217"/>
      <c r="AU55" s="217"/>
      <c r="AV55" s="217"/>
      <c r="AW55" s="217"/>
      <c r="AX55" s="217"/>
    </row>
    <row r="56" spans="1:50" s="119" customFormat="1" ht="18" customHeight="1" thickBot="1" x14ac:dyDescent="0.35">
      <c r="A56" s="136" t="s">
        <v>50</v>
      </c>
      <c r="B56" s="130" t="s">
        <v>228</v>
      </c>
      <c r="C56" s="277">
        <v>283</v>
      </c>
      <c r="D56" s="136" t="s">
        <v>370</v>
      </c>
      <c r="E56" s="222">
        <v>0</v>
      </c>
      <c r="F56" s="222">
        <f t="shared" si="1"/>
        <v>0</v>
      </c>
      <c r="G56" s="222">
        <f t="shared" si="2"/>
        <v>0</v>
      </c>
      <c r="H56" s="214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92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82"/>
      <c r="AJ56" s="217"/>
      <c r="AK56" s="217"/>
      <c r="AL56" s="217"/>
      <c r="AM56" s="217"/>
      <c r="AN56" s="217"/>
      <c r="AO56" s="282"/>
      <c r="AP56" s="217"/>
      <c r="AQ56" s="217"/>
      <c r="AR56" s="217"/>
      <c r="AS56" s="217"/>
      <c r="AT56" s="217"/>
      <c r="AU56" s="217"/>
      <c r="AV56" s="217"/>
      <c r="AW56" s="217"/>
      <c r="AX56" s="217"/>
    </row>
    <row r="57" spans="1:50" s="119" customFormat="1" ht="18" customHeight="1" thickBot="1" x14ac:dyDescent="0.35">
      <c r="A57" s="136" t="s">
        <v>51</v>
      </c>
      <c r="B57" s="130" t="s">
        <v>229</v>
      </c>
      <c r="C57" s="277">
        <v>0</v>
      </c>
      <c r="D57" s="136" t="s">
        <v>370</v>
      </c>
      <c r="E57" s="222">
        <v>0</v>
      </c>
      <c r="F57" s="222">
        <f t="shared" si="1"/>
        <v>0</v>
      </c>
      <c r="G57" s="222">
        <f t="shared" si="2"/>
        <v>0</v>
      </c>
      <c r="H57" s="214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92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82"/>
      <c r="AJ57" s="217"/>
      <c r="AK57" s="217"/>
      <c r="AL57" s="217"/>
      <c r="AM57" s="217"/>
      <c r="AN57" s="217"/>
      <c r="AO57" s="282"/>
      <c r="AP57" s="217"/>
      <c r="AQ57" s="217"/>
      <c r="AR57" s="217"/>
      <c r="AS57" s="217"/>
      <c r="AT57" s="217"/>
      <c r="AU57" s="217"/>
      <c r="AV57" s="217"/>
      <c r="AW57" s="217"/>
      <c r="AX57" s="217"/>
    </row>
    <row r="58" spans="1:50" s="119" customFormat="1" ht="18" customHeight="1" thickBot="1" x14ac:dyDescent="0.35">
      <c r="A58" s="136" t="s">
        <v>52</v>
      </c>
      <c r="B58" s="130" t="s">
        <v>230</v>
      </c>
      <c r="C58" s="277">
        <v>71</v>
      </c>
      <c r="D58" s="276" t="s">
        <v>623</v>
      </c>
      <c r="E58" s="222">
        <v>0</v>
      </c>
      <c r="F58" s="222">
        <f t="shared" si="1"/>
        <v>0</v>
      </c>
      <c r="G58" s="222">
        <f t="shared" si="2"/>
        <v>0</v>
      </c>
      <c r="H58" s="214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92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82"/>
      <c r="AJ58" s="217"/>
      <c r="AK58" s="217"/>
      <c r="AL58" s="217"/>
      <c r="AM58" s="217"/>
      <c r="AN58" s="217"/>
      <c r="AO58" s="282"/>
      <c r="AP58" s="217"/>
      <c r="AQ58" s="217"/>
      <c r="AR58" s="217"/>
      <c r="AS58" s="217"/>
      <c r="AT58" s="217"/>
      <c r="AU58" s="217"/>
      <c r="AV58" s="217"/>
      <c r="AW58" s="217"/>
      <c r="AX58" s="217"/>
    </row>
    <row r="59" spans="1:50" s="119" customFormat="1" ht="18" customHeight="1" thickBot="1" x14ac:dyDescent="0.35">
      <c r="A59" s="136" t="s">
        <v>53</v>
      </c>
      <c r="B59" s="130" t="s">
        <v>231</v>
      </c>
      <c r="C59" s="277">
        <v>565</v>
      </c>
      <c r="D59" s="136" t="s">
        <v>370</v>
      </c>
      <c r="E59" s="222">
        <v>0</v>
      </c>
      <c r="F59" s="222">
        <f t="shared" si="1"/>
        <v>0</v>
      </c>
      <c r="G59" s="222">
        <f t="shared" si="2"/>
        <v>0</v>
      </c>
      <c r="H59" s="214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92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82"/>
      <c r="AJ59" s="217"/>
      <c r="AK59" s="217"/>
      <c r="AL59" s="217"/>
      <c r="AM59" s="217"/>
      <c r="AN59" s="217"/>
      <c r="AO59" s="282"/>
      <c r="AP59" s="217"/>
      <c r="AQ59" s="217"/>
      <c r="AR59" s="217"/>
      <c r="AS59" s="217"/>
      <c r="AT59" s="217"/>
      <c r="AU59" s="217"/>
      <c r="AV59" s="217"/>
      <c r="AW59" s="217"/>
      <c r="AX59" s="217"/>
    </row>
    <row r="60" spans="1:50" s="119" customFormat="1" ht="18" customHeight="1" thickBot="1" x14ac:dyDescent="0.35">
      <c r="A60" s="136" t="s">
        <v>54</v>
      </c>
      <c r="B60" s="130" t="s">
        <v>232</v>
      </c>
      <c r="C60" s="277">
        <v>777</v>
      </c>
      <c r="D60" s="276" t="s">
        <v>623</v>
      </c>
      <c r="E60" s="222">
        <v>0</v>
      </c>
      <c r="F60" s="222">
        <f t="shared" si="1"/>
        <v>0</v>
      </c>
      <c r="G60" s="222">
        <f t="shared" si="2"/>
        <v>0</v>
      </c>
      <c r="H60" s="214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92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82"/>
      <c r="AJ60" s="217"/>
      <c r="AK60" s="217"/>
      <c r="AL60" s="217"/>
      <c r="AM60" s="217"/>
      <c r="AN60" s="217"/>
      <c r="AO60" s="282"/>
      <c r="AP60" s="217"/>
      <c r="AQ60" s="217"/>
      <c r="AR60" s="217"/>
      <c r="AS60" s="217"/>
      <c r="AT60" s="217"/>
      <c r="AU60" s="217"/>
      <c r="AV60" s="217"/>
      <c r="AW60" s="217"/>
      <c r="AX60" s="217"/>
    </row>
    <row r="61" spans="1:50" s="119" customFormat="1" ht="18" customHeight="1" thickBot="1" x14ac:dyDescent="0.35">
      <c r="A61" s="136" t="s">
        <v>55</v>
      </c>
      <c r="B61" s="130" t="s">
        <v>233</v>
      </c>
      <c r="C61" s="277">
        <v>150175</v>
      </c>
      <c r="D61" s="136"/>
      <c r="E61" s="222">
        <f>C61</f>
        <v>150175</v>
      </c>
      <c r="F61" s="222">
        <f t="shared" si="1"/>
        <v>150175</v>
      </c>
      <c r="G61" s="222">
        <f t="shared" si="2"/>
        <v>0</v>
      </c>
      <c r="H61" s="214"/>
      <c r="I61" s="215"/>
      <c r="J61" s="215"/>
      <c r="K61" s="215"/>
      <c r="L61" s="215"/>
      <c r="M61" s="215"/>
      <c r="N61" s="215"/>
      <c r="O61" s="215"/>
      <c r="P61" s="215"/>
      <c r="Q61" s="215"/>
      <c r="R61" s="215">
        <f>32694.87+38068.03</f>
        <v>70762.899999999994</v>
      </c>
      <c r="S61" s="215">
        <f>8958.11+7511.63</f>
        <v>16469.740000000002</v>
      </c>
      <c r="T61" s="215"/>
      <c r="U61" s="215"/>
      <c r="V61" s="215"/>
      <c r="W61" s="215"/>
      <c r="X61" s="292"/>
      <c r="Y61" s="215"/>
      <c r="Z61" s="215"/>
      <c r="AA61" s="215"/>
      <c r="AB61" s="215">
        <v>62942.36</v>
      </c>
      <c r="AC61" s="215"/>
      <c r="AD61" s="215"/>
      <c r="AE61" s="215"/>
      <c r="AF61" s="215"/>
      <c r="AG61" s="215"/>
      <c r="AH61" s="215"/>
      <c r="AI61" s="282"/>
      <c r="AJ61" s="217"/>
      <c r="AK61" s="217"/>
      <c r="AL61" s="217"/>
      <c r="AM61" s="217"/>
      <c r="AN61" s="217"/>
      <c r="AO61" s="282"/>
      <c r="AP61" s="217"/>
      <c r="AQ61" s="217"/>
      <c r="AR61" s="217"/>
      <c r="AS61" s="217"/>
      <c r="AT61" s="217"/>
      <c r="AU61" s="217"/>
      <c r="AV61" s="217"/>
      <c r="AW61" s="217"/>
      <c r="AX61" s="217"/>
    </row>
    <row r="62" spans="1:50" s="119" customFormat="1" ht="18" customHeight="1" thickBot="1" x14ac:dyDescent="0.35">
      <c r="A62" s="136" t="s">
        <v>56</v>
      </c>
      <c r="B62" s="130" t="s">
        <v>234</v>
      </c>
      <c r="C62" s="277">
        <v>13710</v>
      </c>
      <c r="D62" s="136"/>
      <c r="E62" s="222">
        <f t="shared" ref="E62:E64" si="4">C62</f>
        <v>13710</v>
      </c>
      <c r="F62" s="222">
        <f t="shared" si="1"/>
        <v>10907.539999999999</v>
      </c>
      <c r="G62" s="222">
        <f t="shared" si="2"/>
        <v>2802.4600000000009</v>
      </c>
      <c r="H62" s="214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92"/>
      <c r="Y62" s="215"/>
      <c r="Z62" s="215"/>
      <c r="AA62" s="215"/>
      <c r="AB62" s="215">
        <v>5682.93</v>
      </c>
      <c r="AC62" s="215"/>
      <c r="AD62" s="215"/>
      <c r="AE62" s="215"/>
      <c r="AF62" s="215"/>
      <c r="AG62" s="215"/>
      <c r="AH62" s="215"/>
      <c r="AI62" s="282">
        <v>404.37</v>
      </c>
      <c r="AJ62" s="217"/>
      <c r="AK62" s="282">
        <v>3027.3</v>
      </c>
      <c r="AL62" s="217"/>
      <c r="AM62" s="217"/>
      <c r="AN62" s="217"/>
      <c r="AO62" s="282">
        <v>299.8</v>
      </c>
      <c r="AP62" s="217"/>
      <c r="AQ62" s="282">
        <v>1493.14</v>
      </c>
      <c r="AR62" s="217"/>
      <c r="AS62" s="217"/>
      <c r="AT62" s="217"/>
      <c r="AU62" s="217"/>
      <c r="AV62" s="217"/>
      <c r="AW62" s="217"/>
      <c r="AX62" s="217"/>
    </row>
    <row r="63" spans="1:50" s="119" customFormat="1" ht="18" customHeight="1" thickBot="1" x14ac:dyDescent="0.35">
      <c r="A63" s="136" t="s">
        <v>57</v>
      </c>
      <c r="B63" s="130" t="s">
        <v>235</v>
      </c>
      <c r="C63" s="277">
        <v>27986</v>
      </c>
      <c r="D63" s="136"/>
      <c r="E63" s="222">
        <f t="shared" si="4"/>
        <v>27986</v>
      </c>
      <c r="F63" s="222">
        <f t="shared" si="1"/>
        <v>27986</v>
      </c>
      <c r="G63" s="222">
        <f t="shared" si="2"/>
        <v>0</v>
      </c>
      <c r="H63" s="214"/>
      <c r="I63" s="215"/>
      <c r="J63" s="215"/>
      <c r="K63" s="215"/>
      <c r="L63" s="215"/>
      <c r="M63" s="215">
        <v>1186.33</v>
      </c>
      <c r="N63" s="215">
        <v>4604.8100000000004</v>
      </c>
      <c r="O63" s="215">
        <v>3528.44</v>
      </c>
      <c r="P63" s="215"/>
      <c r="Q63" s="215"/>
      <c r="R63" s="215"/>
      <c r="S63" s="215"/>
      <c r="T63" s="215"/>
      <c r="U63" s="215"/>
      <c r="V63" s="215"/>
      <c r="W63" s="215"/>
      <c r="X63" s="292"/>
      <c r="Y63" s="215">
        <f>1889.95+2651</f>
        <v>4540.95</v>
      </c>
      <c r="Z63" s="215">
        <v>1706.69</v>
      </c>
      <c r="AA63" s="215">
        <v>945.82</v>
      </c>
      <c r="AB63" s="215"/>
      <c r="AC63" s="215">
        <f>2448+1146+424</f>
        <v>4018</v>
      </c>
      <c r="AD63" s="215">
        <v>3300</v>
      </c>
      <c r="AE63" s="215"/>
      <c r="AF63" s="215">
        <v>4154.96</v>
      </c>
      <c r="AG63" s="215"/>
      <c r="AH63" s="215"/>
      <c r="AI63" s="282"/>
      <c r="AJ63" s="217"/>
      <c r="AK63" s="217"/>
      <c r="AL63" s="217"/>
      <c r="AM63" s="217"/>
      <c r="AN63" s="217"/>
      <c r="AO63" s="282"/>
      <c r="AP63" s="217"/>
      <c r="AQ63" s="217"/>
      <c r="AR63" s="217"/>
      <c r="AS63" s="217"/>
      <c r="AT63" s="217"/>
      <c r="AU63" s="217"/>
      <c r="AV63" s="217"/>
      <c r="AW63" s="217"/>
      <c r="AX63" s="217"/>
    </row>
    <row r="64" spans="1:50" s="119" customFormat="1" ht="18" customHeight="1" thickBot="1" x14ac:dyDescent="0.35">
      <c r="A64" s="136" t="s">
        <v>58</v>
      </c>
      <c r="B64" s="130" t="s">
        <v>236</v>
      </c>
      <c r="C64" s="277">
        <v>147349</v>
      </c>
      <c r="D64" s="136"/>
      <c r="E64" s="222">
        <f t="shared" si="4"/>
        <v>147349</v>
      </c>
      <c r="F64" s="222">
        <f t="shared" si="1"/>
        <v>147349</v>
      </c>
      <c r="G64" s="222">
        <f t="shared" si="2"/>
        <v>0</v>
      </c>
      <c r="H64" s="214"/>
      <c r="I64" s="215"/>
      <c r="J64" s="215"/>
      <c r="K64" s="215"/>
      <c r="L64" s="215"/>
      <c r="M64" s="215"/>
      <c r="N64" s="215"/>
      <c r="O64" s="215"/>
      <c r="P64" s="215"/>
      <c r="Q64" s="215"/>
      <c r="R64" s="215">
        <v>43095.53</v>
      </c>
      <c r="S64" s="215">
        <v>2112.35</v>
      </c>
      <c r="T64" s="215"/>
      <c r="U64" s="215">
        <v>3022.17</v>
      </c>
      <c r="V64" s="215">
        <v>4705.8900000000003</v>
      </c>
      <c r="W64" s="215"/>
      <c r="X64" s="292">
        <v>17120.580000000002</v>
      </c>
      <c r="Y64" s="215"/>
      <c r="Z64" s="215">
        <f>20478.17+3586.65</f>
        <v>24064.82</v>
      </c>
      <c r="AA64" s="215">
        <v>5531.83</v>
      </c>
      <c r="AB64" s="215">
        <v>2130.9</v>
      </c>
      <c r="AC64" s="215">
        <v>3514.17</v>
      </c>
      <c r="AD64" s="215">
        <v>42050.76</v>
      </c>
      <c r="AE64" s="215"/>
      <c r="AF64" s="215"/>
      <c r="AG64" s="215"/>
      <c r="AH64" s="215"/>
      <c r="AI64" s="282"/>
      <c r="AJ64" s="217"/>
      <c r="AK64" s="217"/>
      <c r="AL64" s="217"/>
      <c r="AM64" s="217"/>
      <c r="AN64" s="217"/>
      <c r="AO64" s="282"/>
      <c r="AP64" s="217"/>
      <c r="AQ64" s="217"/>
      <c r="AR64" s="217"/>
      <c r="AS64" s="217"/>
      <c r="AT64" s="217"/>
      <c r="AU64" s="217"/>
      <c r="AV64" s="217"/>
      <c r="AW64" s="217"/>
      <c r="AX64" s="217"/>
    </row>
    <row r="65" spans="1:50" s="119" customFormat="1" ht="18" customHeight="1" thickBot="1" x14ac:dyDescent="0.35">
      <c r="A65" s="136" t="s">
        <v>59</v>
      </c>
      <c r="B65" s="130" t="s">
        <v>237</v>
      </c>
      <c r="C65" s="277">
        <v>10318</v>
      </c>
      <c r="D65" s="136"/>
      <c r="E65" s="222">
        <f>C65+C168</f>
        <v>14134</v>
      </c>
      <c r="F65" s="222">
        <f t="shared" si="1"/>
        <v>14134</v>
      </c>
      <c r="G65" s="222">
        <f t="shared" si="2"/>
        <v>0</v>
      </c>
      <c r="H65" s="214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>
        <v>14134</v>
      </c>
      <c r="T65" s="215"/>
      <c r="U65" s="215"/>
      <c r="V65" s="215"/>
      <c r="W65" s="215"/>
      <c r="X65" s="292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82"/>
      <c r="AJ65" s="217"/>
      <c r="AK65" s="217"/>
      <c r="AL65" s="217"/>
      <c r="AM65" s="217"/>
      <c r="AN65" s="217"/>
      <c r="AO65" s="282"/>
      <c r="AP65" s="217"/>
      <c r="AQ65" s="217"/>
      <c r="AR65" s="217"/>
      <c r="AS65" s="217"/>
      <c r="AT65" s="217"/>
      <c r="AU65" s="217"/>
      <c r="AV65" s="217"/>
      <c r="AW65" s="217"/>
      <c r="AX65" s="217"/>
    </row>
    <row r="66" spans="1:50" s="119" customFormat="1" ht="18" customHeight="1" thickBot="1" x14ac:dyDescent="0.35">
      <c r="A66" s="136" t="s">
        <v>60</v>
      </c>
      <c r="B66" s="130" t="s">
        <v>238</v>
      </c>
      <c r="C66" s="277">
        <v>424</v>
      </c>
      <c r="D66" s="276" t="s">
        <v>623</v>
      </c>
      <c r="E66" s="222">
        <v>0</v>
      </c>
      <c r="F66" s="222">
        <f t="shared" si="1"/>
        <v>0</v>
      </c>
      <c r="G66" s="222">
        <f t="shared" si="2"/>
        <v>0</v>
      </c>
      <c r="H66" s="214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92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82"/>
      <c r="AJ66" s="217"/>
      <c r="AK66" s="217"/>
      <c r="AL66" s="217"/>
      <c r="AM66" s="217"/>
      <c r="AN66" s="217"/>
      <c r="AO66" s="282"/>
      <c r="AP66" s="217"/>
      <c r="AQ66" s="217"/>
      <c r="AR66" s="217"/>
      <c r="AS66" s="217"/>
      <c r="AT66" s="217"/>
      <c r="AU66" s="217"/>
      <c r="AV66" s="217"/>
      <c r="AW66" s="217"/>
      <c r="AX66" s="217"/>
    </row>
    <row r="67" spans="1:50" s="119" customFormat="1" ht="18" customHeight="1" thickBot="1" x14ac:dyDescent="0.35">
      <c r="A67" s="136" t="s">
        <v>61</v>
      </c>
      <c r="B67" s="130" t="s">
        <v>239</v>
      </c>
      <c r="C67" s="277">
        <v>46643</v>
      </c>
      <c r="D67" s="136"/>
      <c r="E67" s="222">
        <f>C67</f>
        <v>46643</v>
      </c>
      <c r="F67" s="222">
        <f t="shared" si="1"/>
        <v>46643</v>
      </c>
      <c r="G67" s="222">
        <f t="shared" si="2"/>
        <v>0</v>
      </c>
      <c r="H67" s="214"/>
      <c r="I67" s="215"/>
      <c r="J67" s="215"/>
      <c r="K67" s="215"/>
      <c r="L67" s="215"/>
      <c r="M67" s="215"/>
      <c r="N67" s="215"/>
      <c r="O67" s="215">
        <v>14730.62</v>
      </c>
      <c r="P67" s="215"/>
      <c r="Q67" s="215"/>
      <c r="R67" s="215">
        <v>2047.64</v>
      </c>
      <c r="S67" s="215"/>
      <c r="T67" s="215">
        <v>557.6</v>
      </c>
      <c r="U67" s="215">
        <v>2394.14</v>
      </c>
      <c r="V67" s="215"/>
      <c r="W67" s="215"/>
      <c r="X67" s="292"/>
      <c r="Y67" s="215">
        <v>17733.919999999998</v>
      </c>
      <c r="Z67" s="215"/>
      <c r="AA67" s="215">
        <v>284.3</v>
      </c>
      <c r="AB67" s="215"/>
      <c r="AC67" s="215"/>
      <c r="AD67" s="215">
        <v>2501.3200000000002</v>
      </c>
      <c r="AE67" s="215">
        <v>2383.54</v>
      </c>
      <c r="AF67" s="215">
        <v>606.91999999999996</v>
      </c>
      <c r="AG67" s="215"/>
      <c r="AH67" s="215"/>
      <c r="AI67" s="282"/>
      <c r="AJ67" s="282">
        <v>259.85000000000002</v>
      </c>
      <c r="AK67" s="217"/>
      <c r="AL67" s="217"/>
      <c r="AM67" s="282">
        <v>3143.15</v>
      </c>
      <c r="AN67" s="217"/>
      <c r="AO67" s="282"/>
      <c r="AP67" s="217"/>
      <c r="AQ67" s="217"/>
      <c r="AR67" s="217"/>
      <c r="AS67" s="217"/>
      <c r="AT67" s="217"/>
      <c r="AU67" s="217"/>
      <c r="AV67" s="217"/>
      <c r="AW67" s="217"/>
      <c r="AX67" s="217"/>
    </row>
    <row r="68" spans="1:50" s="119" customFormat="1" ht="18" customHeight="1" thickBot="1" x14ac:dyDescent="0.35">
      <c r="A68" s="136" t="s">
        <v>62</v>
      </c>
      <c r="B68" s="130" t="s">
        <v>240</v>
      </c>
      <c r="C68" s="277">
        <v>10177</v>
      </c>
      <c r="D68" s="136" t="s">
        <v>370</v>
      </c>
      <c r="E68" s="222">
        <v>0</v>
      </c>
      <c r="F68" s="222">
        <f t="shared" si="1"/>
        <v>0</v>
      </c>
      <c r="G68" s="222">
        <f t="shared" si="2"/>
        <v>0</v>
      </c>
      <c r="H68" s="214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92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82"/>
      <c r="AJ68" s="217"/>
      <c r="AK68" s="217"/>
      <c r="AL68" s="217"/>
      <c r="AM68" s="217"/>
      <c r="AN68" s="217"/>
      <c r="AO68" s="282"/>
      <c r="AP68" s="217"/>
      <c r="AQ68" s="217"/>
      <c r="AR68" s="217"/>
      <c r="AS68" s="217"/>
      <c r="AT68" s="217"/>
      <c r="AU68" s="217"/>
      <c r="AV68" s="217"/>
      <c r="AW68" s="217"/>
      <c r="AX68" s="217"/>
    </row>
    <row r="69" spans="1:50" s="119" customFormat="1" ht="18" customHeight="1" thickBot="1" x14ac:dyDescent="0.35">
      <c r="A69" s="136" t="s">
        <v>63</v>
      </c>
      <c r="B69" s="130" t="s">
        <v>241</v>
      </c>
      <c r="C69" s="277">
        <v>989</v>
      </c>
      <c r="D69" s="276" t="s">
        <v>623</v>
      </c>
      <c r="E69" s="222">
        <v>0</v>
      </c>
      <c r="F69" s="222">
        <f t="shared" si="1"/>
        <v>0</v>
      </c>
      <c r="G69" s="222">
        <f t="shared" si="2"/>
        <v>0</v>
      </c>
      <c r="H69" s="214"/>
      <c r="I69" s="215"/>
      <c r="J69" s="215"/>
      <c r="K69" s="215"/>
      <c r="L69" s="215"/>
      <c r="M69" s="198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92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82"/>
      <c r="AJ69" s="217"/>
      <c r="AK69" s="217"/>
      <c r="AL69" s="217"/>
      <c r="AM69" s="217"/>
      <c r="AN69" s="217"/>
      <c r="AO69" s="282"/>
      <c r="AP69" s="217"/>
      <c r="AQ69" s="217"/>
      <c r="AR69" s="217"/>
      <c r="AS69" s="217"/>
      <c r="AT69" s="217"/>
      <c r="AU69" s="217"/>
      <c r="AV69" s="217"/>
      <c r="AW69" s="217"/>
      <c r="AX69" s="217"/>
    </row>
    <row r="70" spans="1:50" s="119" customFormat="1" ht="18" customHeight="1" thickBot="1" x14ac:dyDescent="0.35">
      <c r="A70" s="136" t="s">
        <v>64</v>
      </c>
      <c r="B70" s="130" t="s">
        <v>242</v>
      </c>
      <c r="C70" s="277">
        <v>2261</v>
      </c>
      <c r="D70" s="276" t="s">
        <v>623</v>
      </c>
      <c r="E70" s="222">
        <v>0</v>
      </c>
      <c r="F70" s="222">
        <f t="shared" si="1"/>
        <v>0</v>
      </c>
      <c r="G70" s="222">
        <f t="shared" si="2"/>
        <v>0</v>
      </c>
      <c r="H70" s="214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92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82"/>
      <c r="AJ70" s="217"/>
      <c r="AK70" s="217"/>
      <c r="AL70" s="217"/>
      <c r="AM70" s="217"/>
      <c r="AN70" s="217"/>
      <c r="AO70" s="282"/>
      <c r="AP70" s="217"/>
      <c r="AQ70" s="217"/>
      <c r="AR70" s="217"/>
      <c r="AS70" s="217"/>
      <c r="AT70" s="217"/>
      <c r="AU70" s="217"/>
      <c r="AV70" s="217"/>
      <c r="AW70" s="217"/>
      <c r="AX70" s="217"/>
    </row>
    <row r="71" spans="1:50" s="119" customFormat="1" ht="18" customHeight="1" thickBot="1" x14ac:dyDescent="0.35">
      <c r="A71" s="136" t="s">
        <v>65</v>
      </c>
      <c r="B71" s="130" t="s">
        <v>243</v>
      </c>
      <c r="C71" s="277">
        <v>14982</v>
      </c>
      <c r="D71" s="136"/>
      <c r="E71" s="222">
        <f>C71</f>
        <v>14982</v>
      </c>
      <c r="F71" s="222">
        <f t="shared" si="1"/>
        <v>14982</v>
      </c>
      <c r="G71" s="222">
        <f t="shared" si="2"/>
        <v>0</v>
      </c>
      <c r="H71" s="214"/>
      <c r="I71" s="215"/>
      <c r="J71" s="215"/>
      <c r="K71" s="215"/>
      <c r="L71" s="215"/>
      <c r="M71" s="215"/>
      <c r="N71" s="215"/>
      <c r="O71" s="215"/>
      <c r="P71" s="215"/>
      <c r="Q71" s="215"/>
      <c r="R71" s="215">
        <v>442.54</v>
      </c>
      <c r="S71" s="215"/>
      <c r="T71" s="215">
        <v>41.4</v>
      </c>
      <c r="U71" s="215"/>
      <c r="V71" s="215"/>
      <c r="W71" s="215"/>
      <c r="X71" s="292"/>
      <c r="Y71" s="215"/>
      <c r="Z71" s="215"/>
      <c r="AA71" s="215"/>
      <c r="AB71" s="215"/>
      <c r="AC71" s="215"/>
      <c r="AD71" s="215">
        <f>1683.94+580.67</f>
        <v>2264.61</v>
      </c>
      <c r="AE71" s="215">
        <v>2467.9699999999998</v>
      </c>
      <c r="AF71" s="215"/>
      <c r="AG71" s="215"/>
      <c r="AH71" s="215"/>
      <c r="AI71" s="282">
        <v>9750</v>
      </c>
      <c r="AJ71" s="217"/>
      <c r="AK71" s="217"/>
      <c r="AL71" s="217"/>
      <c r="AM71" s="217"/>
      <c r="AN71" s="217"/>
      <c r="AO71" s="282">
        <v>15.48</v>
      </c>
      <c r="AP71" s="217"/>
      <c r="AQ71" s="217"/>
      <c r="AR71" s="217"/>
      <c r="AS71" s="217"/>
      <c r="AT71" s="217"/>
      <c r="AU71" s="217"/>
      <c r="AV71" s="217"/>
      <c r="AW71" s="217"/>
      <c r="AX71" s="217"/>
    </row>
    <row r="72" spans="1:50" s="119" customFormat="1" ht="18" customHeight="1" thickBot="1" x14ac:dyDescent="0.35">
      <c r="A72" s="136" t="s">
        <v>66</v>
      </c>
      <c r="B72" s="130" t="s">
        <v>244</v>
      </c>
      <c r="C72" s="277">
        <v>77738</v>
      </c>
      <c r="D72" s="136"/>
      <c r="E72" s="222">
        <f>C72</f>
        <v>77738</v>
      </c>
      <c r="F72" s="222">
        <f t="shared" si="1"/>
        <v>77738</v>
      </c>
      <c r="G72" s="222">
        <f t="shared" si="2"/>
        <v>0</v>
      </c>
      <c r="H72" s="214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92">
        <v>1445</v>
      </c>
      <c r="Y72" s="215"/>
      <c r="Z72" s="215"/>
      <c r="AA72" s="215"/>
      <c r="AB72" s="215">
        <v>12529</v>
      </c>
      <c r="AC72" s="215"/>
      <c r="AD72" s="215">
        <v>4670</v>
      </c>
      <c r="AE72" s="215">
        <v>50736</v>
      </c>
      <c r="AF72" s="215"/>
      <c r="AG72" s="215">
        <v>8358</v>
      </c>
      <c r="AH72" s="215"/>
      <c r="AI72" s="282"/>
      <c r="AJ72" s="217"/>
      <c r="AK72" s="217"/>
      <c r="AL72" s="217"/>
      <c r="AM72" s="217"/>
      <c r="AN72" s="217"/>
      <c r="AO72" s="282"/>
      <c r="AP72" s="217"/>
      <c r="AQ72" s="217"/>
      <c r="AR72" s="217"/>
      <c r="AS72" s="217"/>
      <c r="AT72" s="217"/>
      <c r="AU72" s="217"/>
      <c r="AV72" s="217"/>
      <c r="AW72" s="217"/>
      <c r="AX72" s="217"/>
    </row>
    <row r="73" spans="1:50" s="119" customFormat="1" ht="18" customHeight="1" thickBot="1" x14ac:dyDescent="0.35">
      <c r="A73" s="136" t="s">
        <v>67</v>
      </c>
      <c r="B73" s="130" t="s">
        <v>245</v>
      </c>
      <c r="C73" s="277">
        <v>565</v>
      </c>
      <c r="D73" s="276" t="s">
        <v>623</v>
      </c>
      <c r="E73" s="222">
        <v>0</v>
      </c>
      <c r="F73" s="222">
        <f t="shared" si="1"/>
        <v>0</v>
      </c>
      <c r="G73" s="222">
        <f t="shared" si="2"/>
        <v>0</v>
      </c>
      <c r="H73" s="214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92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82"/>
      <c r="AJ73" s="217"/>
      <c r="AK73" s="217"/>
      <c r="AL73" s="217"/>
      <c r="AM73" s="217"/>
      <c r="AN73" s="217"/>
      <c r="AO73" s="282"/>
      <c r="AP73" s="217"/>
      <c r="AQ73" s="217"/>
      <c r="AR73" s="217"/>
      <c r="AS73" s="217"/>
      <c r="AT73" s="217"/>
      <c r="AU73" s="217"/>
      <c r="AV73" s="217"/>
      <c r="AW73" s="217"/>
      <c r="AX73" s="217"/>
    </row>
    <row r="74" spans="1:50" s="119" customFormat="1" ht="18" customHeight="1" thickBot="1" x14ac:dyDescent="0.35">
      <c r="A74" s="136" t="s">
        <v>68</v>
      </c>
      <c r="B74" s="130" t="s">
        <v>246</v>
      </c>
      <c r="C74" s="277">
        <v>707</v>
      </c>
      <c r="D74" s="276" t="s">
        <v>623</v>
      </c>
      <c r="E74" s="222">
        <v>0</v>
      </c>
      <c r="F74" s="222">
        <f t="shared" si="1"/>
        <v>0</v>
      </c>
      <c r="G74" s="222">
        <f t="shared" si="2"/>
        <v>0</v>
      </c>
      <c r="H74" s="214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92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82"/>
      <c r="AJ74" s="217"/>
      <c r="AK74" s="217"/>
      <c r="AL74" s="217"/>
      <c r="AM74" s="217"/>
      <c r="AN74" s="217"/>
      <c r="AO74" s="282"/>
      <c r="AP74" s="217"/>
      <c r="AQ74" s="217"/>
      <c r="AR74" s="217"/>
      <c r="AS74" s="217"/>
      <c r="AT74" s="217"/>
      <c r="AU74" s="217"/>
      <c r="AV74" s="217"/>
      <c r="AW74" s="217"/>
      <c r="AX74" s="217"/>
    </row>
    <row r="75" spans="1:50" s="119" customFormat="1" ht="18" customHeight="1" thickBot="1" x14ac:dyDescent="0.35">
      <c r="A75" s="136" t="s">
        <v>69</v>
      </c>
      <c r="B75" s="130" t="s">
        <v>247</v>
      </c>
      <c r="C75" s="277">
        <v>3604</v>
      </c>
      <c r="D75" s="276" t="s">
        <v>623</v>
      </c>
      <c r="E75" s="222">
        <v>0</v>
      </c>
      <c r="F75" s="222">
        <f t="shared" si="1"/>
        <v>0</v>
      </c>
      <c r="G75" s="222">
        <f t="shared" si="2"/>
        <v>0</v>
      </c>
      <c r="H75" s="214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92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82"/>
      <c r="AJ75" s="217"/>
      <c r="AK75" s="217"/>
      <c r="AL75" s="217"/>
      <c r="AM75" s="217"/>
      <c r="AN75" s="217"/>
      <c r="AO75" s="282"/>
      <c r="AP75" s="217"/>
      <c r="AQ75" s="217"/>
      <c r="AR75" s="217"/>
      <c r="AS75" s="217"/>
      <c r="AT75" s="217"/>
      <c r="AU75" s="217"/>
      <c r="AV75" s="217"/>
      <c r="AW75" s="217"/>
      <c r="AX75" s="217"/>
    </row>
    <row r="76" spans="1:50" s="119" customFormat="1" ht="18" customHeight="1" thickBot="1" x14ac:dyDescent="0.35">
      <c r="A76" s="136" t="s">
        <v>70</v>
      </c>
      <c r="B76" s="130" t="s">
        <v>248</v>
      </c>
      <c r="C76" s="277">
        <v>1131</v>
      </c>
      <c r="D76" s="276" t="s">
        <v>623</v>
      </c>
      <c r="E76" s="222">
        <v>0</v>
      </c>
      <c r="F76" s="222">
        <f t="shared" si="1"/>
        <v>0</v>
      </c>
      <c r="G76" s="222">
        <f t="shared" si="2"/>
        <v>0</v>
      </c>
      <c r="H76" s="214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92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82"/>
      <c r="AJ76" s="217"/>
      <c r="AK76" s="217"/>
      <c r="AL76" s="217"/>
      <c r="AM76" s="217"/>
      <c r="AN76" s="217"/>
      <c r="AO76" s="282"/>
      <c r="AP76" s="217"/>
      <c r="AQ76" s="217"/>
      <c r="AR76" s="217"/>
      <c r="AS76" s="217"/>
      <c r="AT76" s="217"/>
      <c r="AU76" s="217"/>
      <c r="AV76" s="217"/>
      <c r="AW76" s="217"/>
      <c r="AX76" s="217"/>
    </row>
    <row r="77" spans="1:50" s="119" customFormat="1" ht="18" customHeight="1" thickBot="1" x14ac:dyDescent="0.35">
      <c r="A77" s="136" t="s">
        <v>71</v>
      </c>
      <c r="B77" s="130" t="s">
        <v>249</v>
      </c>
      <c r="C77" s="277">
        <v>141</v>
      </c>
      <c r="D77" s="276" t="s">
        <v>623</v>
      </c>
      <c r="E77" s="222">
        <v>0</v>
      </c>
      <c r="F77" s="222">
        <f t="shared" ref="F77:F140" si="5">SUM(H77:AT77)</f>
        <v>0</v>
      </c>
      <c r="G77" s="222">
        <f t="shared" ref="G77:G140" si="6">E77-(F77+AW77+AX77)</f>
        <v>0</v>
      </c>
      <c r="H77" s="214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92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82"/>
      <c r="AJ77" s="217"/>
      <c r="AK77" s="217"/>
      <c r="AL77" s="217"/>
      <c r="AM77" s="217"/>
      <c r="AN77" s="217"/>
      <c r="AO77" s="282"/>
      <c r="AP77" s="217"/>
      <c r="AQ77" s="217"/>
      <c r="AR77" s="217"/>
      <c r="AS77" s="217"/>
      <c r="AT77" s="217"/>
      <c r="AU77" s="217"/>
      <c r="AV77" s="217"/>
      <c r="AW77" s="217"/>
      <c r="AX77" s="217"/>
    </row>
    <row r="78" spans="1:50" s="119" customFormat="1" ht="18" customHeight="1" thickBot="1" x14ac:dyDescent="0.35">
      <c r="A78" s="136" t="s">
        <v>72</v>
      </c>
      <c r="B78" s="130" t="s">
        <v>250</v>
      </c>
      <c r="C78" s="277">
        <v>129186</v>
      </c>
      <c r="D78" s="136"/>
      <c r="E78" s="222">
        <f>C78</f>
        <v>129186</v>
      </c>
      <c r="F78" s="222">
        <f t="shared" si="5"/>
        <v>129186.00000000001</v>
      </c>
      <c r="G78" s="222">
        <f t="shared" si="6"/>
        <v>0</v>
      </c>
      <c r="H78" s="214"/>
      <c r="I78" s="215"/>
      <c r="J78" s="215"/>
      <c r="K78" s="215"/>
      <c r="L78" s="215"/>
      <c r="M78" s="215"/>
      <c r="N78" s="215"/>
      <c r="O78" s="215">
        <v>46936.83</v>
      </c>
      <c r="P78" s="215"/>
      <c r="Q78" s="215"/>
      <c r="R78" s="215"/>
      <c r="S78" s="215">
        <v>54755.9</v>
      </c>
      <c r="T78" s="215"/>
      <c r="U78" s="215"/>
      <c r="V78" s="215"/>
      <c r="W78" s="215"/>
      <c r="X78" s="292">
        <v>27493.27</v>
      </c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82"/>
      <c r="AJ78" s="217"/>
      <c r="AK78" s="217"/>
      <c r="AL78" s="217"/>
      <c r="AM78" s="217"/>
      <c r="AN78" s="217"/>
      <c r="AO78" s="282"/>
      <c r="AP78" s="217"/>
      <c r="AQ78" s="217"/>
      <c r="AR78" s="217"/>
      <c r="AS78" s="217"/>
      <c r="AT78" s="217"/>
      <c r="AU78" s="217"/>
      <c r="AV78" s="217"/>
      <c r="AW78" s="217"/>
      <c r="AX78" s="217"/>
    </row>
    <row r="79" spans="1:50" s="119" customFormat="1" ht="18" customHeight="1" thickBot="1" x14ac:dyDescent="0.35">
      <c r="A79" s="136" t="s">
        <v>73</v>
      </c>
      <c r="B79" s="130" t="s">
        <v>251</v>
      </c>
      <c r="C79" s="277">
        <v>83321</v>
      </c>
      <c r="D79" s="136"/>
      <c r="E79" s="222">
        <f t="shared" ref="E79:E80" si="7">C79</f>
        <v>83321</v>
      </c>
      <c r="F79" s="222">
        <f t="shared" si="5"/>
        <v>83320.999999999985</v>
      </c>
      <c r="G79" s="222">
        <f t="shared" si="6"/>
        <v>0</v>
      </c>
      <c r="H79" s="214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>
        <v>2465</v>
      </c>
      <c r="T79" s="215"/>
      <c r="U79" s="215"/>
      <c r="V79" s="215"/>
      <c r="W79" s="215">
        <v>14839.41</v>
      </c>
      <c r="X79" s="292"/>
      <c r="Y79" s="215"/>
      <c r="Z79" s="215"/>
      <c r="AA79" s="215"/>
      <c r="AB79" s="215"/>
      <c r="AC79" s="215">
        <v>43662.49</v>
      </c>
      <c r="AD79" s="215">
        <v>21874.42</v>
      </c>
      <c r="AE79" s="215">
        <v>479.68</v>
      </c>
      <c r="AF79" s="215"/>
      <c r="AG79" s="215"/>
      <c r="AH79" s="215"/>
      <c r="AI79" s="282"/>
      <c r="AJ79" s="217"/>
      <c r="AK79" s="217"/>
      <c r="AL79" s="217"/>
      <c r="AM79" s="217"/>
      <c r="AN79" s="217"/>
      <c r="AO79" s="282"/>
      <c r="AP79" s="217"/>
      <c r="AQ79" s="217"/>
      <c r="AR79" s="217"/>
      <c r="AS79" s="217"/>
      <c r="AT79" s="217"/>
      <c r="AU79" s="217"/>
      <c r="AV79" s="217"/>
      <c r="AW79" s="217"/>
      <c r="AX79" s="217"/>
    </row>
    <row r="80" spans="1:50" s="119" customFormat="1" ht="18" customHeight="1" thickBot="1" x14ac:dyDescent="0.35">
      <c r="A80" s="136" t="s">
        <v>74</v>
      </c>
      <c r="B80" s="130" t="s">
        <v>252</v>
      </c>
      <c r="C80" s="277">
        <v>14629</v>
      </c>
      <c r="D80" s="136"/>
      <c r="E80" s="222">
        <f t="shared" si="7"/>
        <v>14629</v>
      </c>
      <c r="F80" s="222">
        <f t="shared" si="5"/>
        <v>14629</v>
      </c>
      <c r="G80" s="222">
        <f t="shared" si="6"/>
        <v>0</v>
      </c>
      <c r="H80" s="214"/>
      <c r="I80" s="215"/>
      <c r="J80" s="215"/>
      <c r="K80" s="215"/>
      <c r="L80" s="215"/>
      <c r="M80" s="215"/>
      <c r="N80" s="215"/>
      <c r="O80" s="215"/>
      <c r="P80" s="215"/>
      <c r="Q80" s="215">
        <v>8282.75</v>
      </c>
      <c r="R80" s="215"/>
      <c r="S80" s="215">
        <v>6346.25</v>
      </c>
      <c r="T80" s="215"/>
      <c r="U80" s="215"/>
      <c r="V80" s="215"/>
      <c r="W80" s="215"/>
      <c r="X80" s="292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82"/>
      <c r="AJ80" s="217"/>
      <c r="AK80" s="217"/>
      <c r="AL80" s="217"/>
      <c r="AM80" s="217"/>
      <c r="AN80" s="217"/>
      <c r="AO80" s="282"/>
      <c r="AP80" s="217"/>
      <c r="AQ80" s="217"/>
      <c r="AR80" s="217"/>
      <c r="AS80" s="217"/>
      <c r="AT80" s="217"/>
      <c r="AU80" s="217"/>
      <c r="AV80" s="217"/>
      <c r="AW80" s="217"/>
      <c r="AX80" s="217"/>
    </row>
    <row r="81" spans="1:50" s="119" customFormat="1" ht="18" customHeight="1" thickBot="1" x14ac:dyDescent="0.35">
      <c r="A81" s="136" t="s">
        <v>75</v>
      </c>
      <c r="B81" s="130" t="s">
        <v>253</v>
      </c>
      <c r="C81" s="277">
        <v>141</v>
      </c>
      <c r="D81" s="276" t="s">
        <v>623</v>
      </c>
      <c r="E81" s="222">
        <v>0</v>
      </c>
      <c r="F81" s="222">
        <f t="shared" si="5"/>
        <v>0</v>
      </c>
      <c r="G81" s="222">
        <f t="shared" si="6"/>
        <v>0</v>
      </c>
      <c r="H81" s="214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92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82"/>
      <c r="AJ81" s="217"/>
      <c r="AK81" s="217"/>
      <c r="AL81" s="217"/>
      <c r="AM81" s="217"/>
      <c r="AN81" s="217"/>
      <c r="AO81" s="282"/>
      <c r="AP81" s="217"/>
      <c r="AQ81" s="217"/>
      <c r="AR81" s="217"/>
      <c r="AS81" s="217"/>
      <c r="AT81" s="217"/>
      <c r="AU81" s="217"/>
      <c r="AV81" s="217"/>
      <c r="AW81" s="217"/>
      <c r="AX81" s="217"/>
    </row>
    <row r="82" spans="1:50" s="119" customFormat="1" ht="18" customHeight="1" thickBot="1" x14ac:dyDescent="0.35">
      <c r="A82" s="136" t="s">
        <v>76</v>
      </c>
      <c r="B82" s="130" t="s">
        <v>254</v>
      </c>
      <c r="C82" s="277">
        <v>4735</v>
      </c>
      <c r="D82" s="136" t="s">
        <v>373</v>
      </c>
      <c r="E82" s="222">
        <v>0</v>
      </c>
      <c r="F82" s="222">
        <f t="shared" si="5"/>
        <v>0</v>
      </c>
      <c r="G82" s="222">
        <f t="shared" si="6"/>
        <v>0</v>
      </c>
      <c r="H82" s="214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92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82"/>
      <c r="AJ82" s="217"/>
      <c r="AK82" s="217"/>
      <c r="AL82" s="217"/>
      <c r="AM82" s="217"/>
      <c r="AN82" s="217"/>
      <c r="AO82" s="282"/>
      <c r="AP82" s="217"/>
      <c r="AQ82" s="217"/>
      <c r="AR82" s="217"/>
      <c r="AS82" s="217"/>
      <c r="AT82" s="217"/>
      <c r="AU82" s="217"/>
      <c r="AV82" s="217"/>
      <c r="AW82" s="217"/>
      <c r="AX82" s="217"/>
    </row>
    <row r="83" spans="1:50" s="119" customFormat="1" ht="18" customHeight="1" thickBot="1" x14ac:dyDescent="0.35">
      <c r="A83" s="136" t="s">
        <v>77</v>
      </c>
      <c r="B83" s="130" t="s">
        <v>255</v>
      </c>
      <c r="C83" s="277">
        <v>7279</v>
      </c>
      <c r="D83" s="136" t="s">
        <v>373</v>
      </c>
      <c r="E83" s="222">
        <v>0</v>
      </c>
      <c r="F83" s="222">
        <f t="shared" si="5"/>
        <v>0</v>
      </c>
      <c r="G83" s="222">
        <f t="shared" si="6"/>
        <v>0</v>
      </c>
      <c r="H83" s="214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92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82"/>
      <c r="AJ83" s="217"/>
      <c r="AK83" s="217"/>
      <c r="AL83" s="217"/>
      <c r="AM83" s="217"/>
      <c r="AN83" s="217"/>
      <c r="AO83" s="282"/>
      <c r="AP83" s="217"/>
      <c r="AQ83" s="217"/>
      <c r="AR83" s="217"/>
      <c r="AS83" s="217"/>
      <c r="AT83" s="217"/>
      <c r="AU83" s="217"/>
      <c r="AV83" s="217"/>
      <c r="AW83" s="217"/>
      <c r="AX83" s="217"/>
    </row>
    <row r="84" spans="1:50" s="119" customFormat="1" ht="18" customHeight="1" thickBot="1" x14ac:dyDescent="0.35">
      <c r="A84" s="136" t="s">
        <v>78</v>
      </c>
      <c r="B84" s="130" t="s">
        <v>256</v>
      </c>
      <c r="C84" s="277">
        <v>10247</v>
      </c>
      <c r="D84" s="136"/>
      <c r="E84" s="222">
        <f>C84</f>
        <v>10247</v>
      </c>
      <c r="F84" s="222">
        <f t="shared" si="5"/>
        <v>10247</v>
      </c>
      <c r="G84" s="222">
        <f t="shared" si="6"/>
        <v>0</v>
      </c>
      <c r="H84" s="274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>
        <v>10247</v>
      </c>
      <c r="T84" s="215"/>
      <c r="U84" s="215"/>
      <c r="V84" s="215"/>
      <c r="W84" s="215"/>
      <c r="X84" s="292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82"/>
      <c r="AJ84" s="217"/>
      <c r="AK84" s="217"/>
      <c r="AL84" s="217"/>
      <c r="AM84" s="217"/>
      <c r="AN84" s="217"/>
      <c r="AO84" s="282"/>
      <c r="AP84" s="217"/>
      <c r="AQ84" s="217"/>
      <c r="AR84" s="217"/>
      <c r="AS84" s="217"/>
      <c r="AT84" s="217"/>
      <c r="AU84" s="217"/>
      <c r="AV84" s="217"/>
      <c r="AW84" s="217"/>
      <c r="AX84" s="217"/>
    </row>
    <row r="85" spans="1:50" s="119" customFormat="1" ht="18" customHeight="1" thickBot="1" x14ac:dyDescent="0.35">
      <c r="A85" s="136" t="s">
        <v>79</v>
      </c>
      <c r="B85" s="130" t="s">
        <v>257</v>
      </c>
      <c r="C85" s="277">
        <v>71</v>
      </c>
      <c r="D85" s="276" t="s">
        <v>623</v>
      </c>
      <c r="E85" s="222">
        <v>0</v>
      </c>
      <c r="F85" s="222">
        <f t="shared" si="5"/>
        <v>0</v>
      </c>
      <c r="G85" s="222">
        <f t="shared" si="6"/>
        <v>0</v>
      </c>
      <c r="H85" s="214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92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82"/>
      <c r="AJ85" s="217"/>
      <c r="AK85" s="217"/>
      <c r="AL85" s="217"/>
      <c r="AM85" s="217"/>
      <c r="AN85" s="217"/>
      <c r="AO85" s="282"/>
      <c r="AP85" s="217"/>
      <c r="AQ85" s="217"/>
      <c r="AR85" s="217"/>
      <c r="AS85" s="217"/>
      <c r="AT85" s="217"/>
      <c r="AU85" s="217"/>
      <c r="AV85" s="217"/>
      <c r="AW85" s="217"/>
      <c r="AX85" s="217"/>
    </row>
    <row r="86" spans="1:50" s="119" customFormat="1" ht="18" customHeight="1" thickBot="1" x14ac:dyDescent="0.35">
      <c r="A86" s="136" t="s">
        <v>80</v>
      </c>
      <c r="B86" s="130" t="s">
        <v>258</v>
      </c>
      <c r="C86" s="277">
        <v>353</v>
      </c>
      <c r="D86" s="276" t="s">
        <v>623</v>
      </c>
      <c r="E86" s="222">
        <v>0</v>
      </c>
      <c r="F86" s="222">
        <f t="shared" si="5"/>
        <v>0</v>
      </c>
      <c r="G86" s="222">
        <f t="shared" si="6"/>
        <v>0</v>
      </c>
      <c r="H86" s="214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92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82"/>
      <c r="AJ86" s="217"/>
      <c r="AK86" s="217"/>
      <c r="AL86" s="217"/>
      <c r="AM86" s="217"/>
      <c r="AN86" s="217"/>
      <c r="AO86" s="282"/>
      <c r="AP86" s="217"/>
      <c r="AQ86" s="217"/>
      <c r="AR86" s="217"/>
      <c r="AS86" s="217"/>
      <c r="AT86" s="217"/>
      <c r="AU86" s="217"/>
      <c r="AV86" s="217"/>
      <c r="AW86" s="217"/>
      <c r="AX86" s="217"/>
    </row>
    <row r="87" spans="1:50" s="119" customFormat="1" ht="18" customHeight="1" thickBot="1" x14ac:dyDescent="0.35">
      <c r="A87" s="136" t="s">
        <v>81</v>
      </c>
      <c r="B87" s="130" t="s">
        <v>259</v>
      </c>
      <c r="C87" s="277">
        <v>0</v>
      </c>
      <c r="D87" s="136"/>
      <c r="E87" s="222">
        <v>0</v>
      </c>
      <c r="F87" s="222">
        <f t="shared" si="5"/>
        <v>0</v>
      </c>
      <c r="G87" s="222">
        <f t="shared" si="6"/>
        <v>0</v>
      </c>
      <c r="H87" s="214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92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82"/>
      <c r="AJ87" s="217"/>
      <c r="AK87" s="217"/>
      <c r="AL87" s="217"/>
      <c r="AM87" s="217"/>
      <c r="AN87" s="217"/>
      <c r="AO87" s="282"/>
      <c r="AP87" s="217"/>
      <c r="AQ87" s="217"/>
      <c r="AR87" s="217"/>
      <c r="AS87" s="217"/>
      <c r="AT87" s="217"/>
      <c r="AU87" s="217"/>
      <c r="AV87" s="217"/>
      <c r="AW87" s="217"/>
      <c r="AX87" s="217"/>
    </row>
    <row r="88" spans="1:50" s="119" customFormat="1" ht="18" customHeight="1" thickBot="1" x14ac:dyDescent="0.35">
      <c r="A88" s="136" t="s">
        <v>82</v>
      </c>
      <c r="B88" s="130" t="s">
        <v>260</v>
      </c>
      <c r="C88" s="277">
        <v>777</v>
      </c>
      <c r="D88" s="136" t="s">
        <v>373</v>
      </c>
      <c r="E88" s="222">
        <v>0</v>
      </c>
      <c r="F88" s="222">
        <f t="shared" si="5"/>
        <v>0</v>
      </c>
      <c r="G88" s="222">
        <f t="shared" si="6"/>
        <v>0</v>
      </c>
      <c r="H88" s="214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92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82"/>
      <c r="AJ88" s="217"/>
      <c r="AK88" s="217"/>
      <c r="AL88" s="217"/>
      <c r="AM88" s="217"/>
      <c r="AN88" s="217"/>
      <c r="AO88" s="282"/>
      <c r="AP88" s="217"/>
      <c r="AQ88" s="217"/>
      <c r="AR88" s="217"/>
      <c r="AS88" s="217"/>
      <c r="AT88" s="217"/>
      <c r="AU88" s="217"/>
      <c r="AV88" s="217"/>
      <c r="AW88" s="217"/>
      <c r="AX88" s="217"/>
    </row>
    <row r="89" spans="1:50" s="119" customFormat="1" ht="18" customHeight="1" thickBot="1" x14ac:dyDescent="0.35">
      <c r="A89" s="136" t="s">
        <v>83</v>
      </c>
      <c r="B89" s="130" t="s">
        <v>261</v>
      </c>
      <c r="C89" s="277">
        <v>451375</v>
      </c>
      <c r="D89" s="136"/>
      <c r="E89" s="222">
        <f>C89</f>
        <v>451375</v>
      </c>
      <c r="F89" s="222">
        <f t="shared" si="5"/>
        <v>451375</v>
      </c>
      <c r="G89" s="222">
        <f t="shared" si="6"/>
        <v>0</v>
      </c>
      <c r="H89" s="214"/>
      <c r="I89" s="215"/>
      <c r="J89" s="215"/>
      <c r="K89" s="215"/>
      <c r="L89" s="215"/>
      <c r="M89" s="215"/>
      <c r="N89" s="215"/>
      <c r="O89" s="215"/>
      <c r="P89" s="215">
        <v>44400.61</v>
      </c>
      <c r="Q89" s="215">
        <v>40083.49</v>
      </c>
      <c r="R89" s="215">
        <v>33503.29</v>
      </c>
      <c r="S89" s="215">
        <v>41810.550000000003</v>
      </c>
      <c r="T89" s="215">
        <v>20149.09</v>
      </c>
      <c r="U89" s="215"/>
      <c r="V89" s="215">
        <v>29043.439999999999</v>
      </c>
      <c r="W89" s="215"/>
      <c r="X89" s="292"/>
      <c r="Y89" s="215"/>
      <c r="Z89" s="215">
        <v>93360.31</v>
      </c>
      <c r="AA89" s="215">
        <v>61213.31</v>
      </c>
      <c r="AB89" s="215">
        <v>16337.39</v>
      </c>
      <c r="AC89" s="215">
        <v>30289.8</v>
      </c>
      <c r="AD89" s="215">
        <v>41183.72</v>
      </c>
      <c r="AE89" s="215"/>
      <c r="AF89" s="215"/>
      <c r="AG89" s="215"/>
      <c r="AH89" s="215"/>
      <c r="AI89" s="282"/>
      <c r="AJ89" s="217"/>
      <c r="AK89" s="217"/>
      <c r="AL89" s="217"/>
      <c r="AM89" s="217"/>
      <c r="AN89" s="217"/>
      <c r="AO89" s="282"/>
      <c r="AP89" s="217"/>
      <c r="AQ89" s="217"/>
      <c r="AR89" s="217"/>
      <c r="AS89" s="217"/>
      <c r="AT89" s="217"/>
      <c r="AU89" s="217"/>
      <c r="AV89" s="217"/>
      <c r="AW89" s="217"/>
      <c r="AX89" s="217"/>
    </row>
    <row r="90" spans="1:50" s="119" customFormat="1" ht="18" customHeight="1" thickBot="1" x14ac:dyDescent="0.35">
      <c r="A90" s="136" t="s">
        <v>84</v>
      </c>
      <c r="B90" s="130" t="s">
        <v>262</v>
      </c>
      <c r="C90" s="277">
        <v>0</v>
      </c>
      <c r="D90" s="136"/>
      <c r="E90" s="222">
        <v>0</v>
      </c>
      <c r="F90" s="222">
        <f t="shared" si="5"/>
        <v>0</v>
      </c>
      <c r="G90" s="222">
        <f t="shared" si="6"/>
        <v>0</v>
      </c>
      <c r="H90" s="214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92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82"/>
      <c r="AJ90" s="217"/>
      <c r="AK90" s="217"/>
      <c r="AL90" s="217"/>
      <c r="AM90" s="217"/>
      <c r="AN90" s="217"/>
      <c r="AO90" s="282"/>
      <c r="AP90" s="217"/>
      <c r="AQ90" s="217"/>
      <c r="AR90" s="217"/>
      <c r="AS90" s="217"/>
      <c r="AT90" s="217"/>
      <c r="AU90" s="217"/>
      <c r="AV90" s="217"/>
      <c r="AW90" s="217"/>
      <c r="AX90" s="217"/>
    </row>
    <row r="91" spans="1:50" s="119" customFormat="1" ht="18" customHeight="1" thickBot="1" x14ac:dyDescent="0.35">
      <c r="A91" s="136" t="s">
        <v>85</v>
      </c>
      <c r="B91" s="130" t="s">
        <v>263</v>
      </c>
      <c r="C91" s="277">
        <v>0</v>
      </c>
      <c r="D91" s="136"/>
      <c r="E91" s="222">
        <v>0</v>
      </c>
      <c r="F91" s="222">
        <f t="shared" si="5"/>
        <v>0</v>
      </c>
      <c r="G91" s="222">
        <f t="shared" si="6"/>
        <v>0</v>
      </c>
      <c r="H91" s="214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92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82"/>
      <c r="AJ91" s="217"/>
      <c r="AK91" s="217"/>
      <c r="AL91" s="217"/>
      <c r="AM91" s="217"/>
      <c r="AN91" s="217"/>
      <c r="AO91" s="282"/>
      <c r="AP91" s="217"/>
      <c r="AQ91" s="217"/>
      <c r="AR91" s="217"/>
      <c r="AS91" s="217"/>
      <c r="AT91" s="217"/>
      <c r="AU91" s="217"/>
      <c r="AV91" s="217"/>
      <c r="AW91" s="217"/>
      <c r="AX91" s="217"/>
    </row>
    <row r="92" spans="1:50" s="119" customFormat="1" ht="18" customHeight="1" thickBot="1" x14ac:dyDescent="0.35">
      <c r="A92" s="136" t="s">
        <v>86</v>
      </c>
      <c r="B92" s="130" t="s">
        <v>264</v>
      </c>
      <c r="C92" s="277">
        <v>0</v>
      </c>
      <c r="D92" s="136"/>
      <c r="E92" s="222">
        <v>0</v>
      </c>
      <c r="F92" s="222">
        <f t="shared" si="5"/>
        <v>0</v>
      </c>
      <c r="G92" s="222">
        <f t="shared" si="6"/>
        <v>0</v>
      </c>
      <c r="H92" s="214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92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82"/>
      <c r="AJ92" s="217"/>
      <c r="AK92" s="217"/>
      <c r="AL92" s="217"/>
      <c r="AM92" s="217"/>
      <c r="AN92" s="217"/>
      <c r="AO92" s="282"/>
      <c r="AP92" s="217"/>
      <c r="AQ92" s="217"/>
      <c r="AR92" s="217"/>
      <c r="AS92" s="217"/>
      <c r="AT92" s="217"/>
      <c r="AU92" s="217"/>
      <c r="AV92" s="217"/>
      <c r="AW92" s="217"/>
      <c r="AX92" s="217"/>
    </row>
    <row r="93" spans="1:50" s="119" customFormat="1" ht="18" customHeight="1" thickBot="1" x14ac:dyDescent="0.35">
      <c r="A93" s="136" t="s">
        <v>87</v>
      </c>
      <c r="B93" s="130" t="s">
        <v>265</v>
      </c>
      <c r="C93" s="277">
        <v>212</v>
      </c>
      <c r="D93" s="136" t="s">
        <v>370</v>
      </c>
      <c r="E93" s="222">
        <v>0</v>
      </c>
      <c r="F93" s="222">
        <f t="shared" si="5"/>
        <v>0</v>
      </c>
      <c r="G93" s="222">
        <f t="shared" si="6"/>
        <v>0</v>
      </c>
      <c r="H93" s="214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92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82"/>
      <c r="AJ93" s="217"/>
      <c r="AK93" s="217"/>
      <c r="AL93" s="217"/>
      <c r="AM93" s="217"/>
      <c r="AN93" s="217"/>
      <c r="AO93" s="282"/>
      <c r="AP93" s="217"/>
      <c r="AQ93" s="217"/>
      <c r="AR93" s="217"/>
      <c r="AS93" s="217"/>
      <c r="AT93" s="217"/>
      <c r="AU93" s="217"/>
      <c r="AV93" s="217"/>
      <c r="AW93" s="217"/>
      <c r="AX93" s="217"/>
    </row>
    <row r="94" spans="1:50" s="119" customFormat="1" ht="18" customHeight="1" thickBot="1" x14ac:dyDescent="0.35">
      <c r="A94" s="136" t="s">
        <v>88</v>
      </c>
      <c r="B94" s="130" t="s">
        <v>266</v>
      </c>
      <c r="C94" s="277">
        <v>2191</v>
      </c>
      <c r="D94" s="136" t="s">
        <v>370</v>
      </c>
      <c r="E94" s="222">
        <v>0</v>
      </c>
      <c r="F94" s="222">
        <f t="shared" si="5"/>
        <v>0</v>
      </c>
      <c r="G94" s="222">
        <f t="shared" si="6"/>
        <v>0</v>
      </c>
      <c r="H94" s="214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92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82"/>
      <c r="AJ94" s="217"/>
      <c r="AK94" s="217"/>
      <c r="AL94" s="217"/>
      <c r="AM94" s="217"/>
      <c r="AN94" s="217"/>
      <c r="AO94" s="282"/>
      <c r="AP94" s="217"/>
      <c r="AQ94" s="217"/>
      <c r="AR94" s="217"/>
      <c r="AS94" s="217"/>
      <c r="AT94" s="217"/>
      <c r="AU94" s="217"/>
      <c r="AV94" s="217"/>
      <c r="AW94" s="217"/>
      <c r="AX94" s="217"/>
    </row>
    <row r="95" spans="1:50" s="119" customFormat="1" ht="18" customHeight="1" thickBot="1" x14ac:dyDescent="0.35">
      <c r="A95" s="136" t="s">
        <v>89</v>
      </c>
      <c r="B95" s="130" t="s">
        <v>267</v>
      </c>
      <c r="C95" s="277">
        <v>1696</v>
      </c>
      <c r="D95" s="136" t="s">
        <v>370</v>
      </c>
      <c r="E95" s="222">
        <v>0</v>
      </c>
      <c r="F95" s="222">
        <f t="shared" si="5"/>
        <v>0</v>
      </c>
      <c r="G95" s="222">
        <f t="shared" si="6"/>
        <v>0</v>
      </c>
      <c r="H95" s="214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92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82"/>
      <c r="AJ95" s="217"/>
      <c r="AK95" s="217"/>
      <c r="AL95" s="217"/>
      <c r="AM95" s="217"/>
      <c r="AN95" s="217"/>
      <c r="AO95" s="282"/>
      <c r="AP95" s="217"/>
      <c r="AQ95" s="217"/>
      <c r="AR95" s="217"/>
      <c r="AS95" s="217"/>
      <c r="AT95" s="217"/>
      <c r="AU95" s="217"/>
      <c r="AV95" s="217"/>
      <c r="AW95" s="217"/>
      <c r="AX95" s="217"/>
    </row>
    <row r="96" spans="1:50" s="119" customFormat="1" ht="18" customHeight="1" thickBot="1" x14ac:dyDescent="0.35">
      <c r="A96" s="136" t="s">
        <v>90</v>
      </c>
      <c r="B96" s="130" t="s">
        <v>268</v>
      </c>
      <c r="C96" s="277">
        <v>10247</v>
      </c>
      <c r="D96" s="136" t="s">
        <v>370</v>
      </c>
      <c r="E96" s="222">
        <v>0</v>
      </c>
      <c r="F96" s="222">
        <f t="shared" si="5"/>
        <v>0</v>
      </c>
      <c r="G96" s="222">
        <f t="shared" si="6"/>
        <v>0</v>
      </c>
      <c r="H96" s="214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92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82"/>
      <c r="AJ96" s="217"/>
      <c r="AK96" s="217"/>
      <c r="AL96" s="217"/>
      <c r="AM96" s="217"/>
      <c r="AN96" s="217"/>
      <c r="AO96" s="282"/>
      <c r="AP96" s="217"/>
      <c r="AQ96" s="217"/>
      <c r="AR96" s="217"/>
      <c r="AS96" s="217"/>
      <c r="AT96" s="217"/>
      <c r="AU96" s="217"/>
      <c r="AV96" s="217"/>
      <c r="AW96" s="217"/>
      <c r="AX96" s="217"/>
    </row>
    <row r="97" spans="1:50" s="119" customFormat="1" ht="18" customHeight="1" thickBot="1" x14ac:dyDescent="0.35">
      <c r="A97" s="136" t="s">
        <v>91</v>
      </c>
      <c r="B97" s="130" t="s">
        <v>269</v>
      </c>
      <c r="C97" s="277">
        <v>24735</v>
      </c>
      <c r="D97" s="136"/>
      <c r="E97" s="222">
        <f>C97</f>
        <v>24735</v>
      </c>
      <c r="F97" s="222">
        <f t="shared" si="5"/>
        <v>24735</v>
      </c>
      <c r="G97" s="222">
        <f t="shared" si="6"/>
        <v>0</v>
      </c>
      <c r="H97" s="214"/>
      <c r="I97" s="215"/>
      <c r="J97" s="215"/>
      <c r="K97" s="215"/>
      <c r="L97" s="215"/>
      <c r="M97" s="215">
        <v>8048</v>
      </c>
      <c r="N97" s="215"/>
      <c r="O97" s="215"/>
      <c r="P97" s="215">
        <v>2548</v>
      </c>
      <c r="Q97" s="215"/>
      <c r="R97" s="215">
        <v>4195</v>
      </c>
      <c r="S97" s="215">
        <f>2097+7847</f>
        <v>9944</v>
      </c>
      <c r="T97" s="215"/>
      <c r="U97" s="215"/>
      <c r="V97" s="215"/>
      <c r="W97" s="215"/>
      <c r="X97" s="292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82"/>
      <c r="AJ97" s="217"/>
      <c r="AK97" s="217"/>
      <c r="AL97" s="217"/>
      <c r="AM97" s="217"/>
      <c r="AN97" s="217"/>
      <c r="AO97" s="282"/>
      <c r="AP97" s="217"/>
      <c r="AQ97" s="217"/>
      <c r="AR97" s="217"/>
      <c r="AS97" s="217"/>
      <c r="AT97" s="217"/>
      <c r="AU97" s="217"/>
      <c r="AV97" s="217"/>
      <c r="AW97" s="217"/>
      <c r="AX97" s="217"/>
    </row>
    <row r="98" spans="1:50" s="119" customFormat="1" ht="18" customHeight="1" thickBot="1" x14ac:dyDescent="0.35">
      <c r="A98" s="136" t="s">
        <v>92</v>
      </c>
      <c r="B98" s="130" t="s">
        <v>270</v>
      </c>
      <c r="C98" s="277">
        <v>16325</v>
      </c>
      <c r="D98" s="136"/>
      <c r="E98" s="222">
        <f>C98</f>
        <v>16325</v>
      </c>
      <c r="F98" s="222">
        <f t="shared" si="5"/>
        <v>16325</v>
      </c>
      <c r="G98" s="222">
        <f t="shared" si="6"/>
        <v>0</v>
      </c>
      <c r="H98" s="214"/>
      <c r="I98" s="215"/>
      <c r="J98" s="215"/>
      <c r="K98" s="215"/>
      <c r="L98" s="215"/>
      <c r="M98" s="215"/>
      <c r="N98" s="215"/>
      <c r="O98" s="215"/>
      <c r="P98" s="215"/>
      <c r="Q98" s="215">
        <v>4401.2299999999996</v>
      </c>
      <c r="R98" s="215"/>
      <c r="S98" s="215"/>
      <c r="T98" s="215"/>
      <c r="U98" s="215">
        <v>7165.32</v>
      </c>
      <c r="V98" s="215"/>
      <c r="W98" s="215"/>
      <c r="X98" s="292"/>
      <c r="Y98" s="215"/>
      <c r="Z98" s="215"/>
      <c r="AA98" s="215"/>
      <c r="AB98" s="215">
        <v>4758.45</v>
      </c>
      <c r="AC98" s="215"/>
      <c r="AD98" s="215"/>
      <c r="AE98" s="215"/>
      <c r="AF98" s="215"/>
      <c r="AG98" s="215"/>
      <c r="AH98" s="215"/>
      <c r="AI98" s="282"/>
      <c r="AJ98" s="217"/>
      <c r="AK98" s="217"/>
      <c r="AL98" s="217"/>
      <c r="AM98" s="217"/>
      <c r="AN98" s="217"/>
      <c r="AO98" s="282"/>
      <c r="AP98" s="217"/>
      <c r="AQ98" s="217"/>
      <c r="AR98" s="217"/>
      <c r="AS98" s="217"/>
      <c r="AT98" s="217"/>
      <c r="AU98" s="217"/>
      <c r="AV98" s="217"/>
      <c r="AW98" s="217"/>
      <c r="AX98" s="217"/>
    </row>
    <row r="99" spans="1:50" s="119" customFormat="1" ht="18" customHeight="1" thickBot="1" x14ac:dyDescent="0.35">
      <c r="A99" s="136" t="s">
        <v>93</v>
      </c>
      <c r="B99" s="130" t="s">
        <v>271</v>
      </c>
      <c r="C99" s="277">
        <v>2261</v>
      </c>
      <c r="D99" s="136" t="s">
        <v>371</v>
      </c>
      <c r="E99" s="222">
        <v>0</v>
      </c>
      <c r="F99" s="222">
        <f t="shared" si="5"/>
        <v>0</v>
      </c>
      <c r="G99" s="222">
        <f t="shared" si="6"/>
        <v>0</v>
      </c>
      <c r="H99" s="214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92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82"/>
      <c r="AJ99" s="217"/>
      <c r="AK99" s="217"/>
      <c r="AL99" s="217"/>
      <c r="AM99" s="217"/>
      <c r="AN99" s="217"/>
      <c r="AO99" s="282"/>
      <c r="AP99" s="217"/>
      <c r="AQ99" s="217"/>
      <c r="AR99" s="217"/>
      <c r="AS99" s="217"/>
      <c r="AT99" s="217"/>
      <c r="AU99" s="217"/>
      <c r="AV99" s="217"/>
      <c r="AW99" s="217"/>
      <c r="AX99" s="217"/>
    </row>
    <row r="100" spans="1:50" s="119" customFormat="1" ht="18" customHeight="1" thickBot="1" x14ac:dyDescent="0.35">
      <c r="A100" s="136" t="s">
        <v>94</v>
      </c>
      <c r="B100" s="130" t="s">
        <v>272</v>
      </c>
      <c r="C100" s="277">
        <v>3463</v>
      </c>
      <c r="D100" s="276" t="s">
        <v>623</v>
      </c>
      <c r="E100" s="222">
        <v>0</v>
      </c>
      <c r="F100" s="222">
        <f t="shared" si="5"/>
        <v>0</v>
      </c>
      <c r="G100" s="222">
        <f t="shared" si="6"/>
        <v>0</v>
      </c>
      <c r="H100" s="214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92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82"/>
      <c r="AJ100" s="217"/>
      <c r="AK100" s="217"/>
      <c r="AL100" s="217"/>
      <c r="AM100" s="217"/>
      <c r="AN100" s="217"/>
      <c r="AO100" s="282"/>
      <c r="AP100" s="217"/>
      <c r="AQ100" s="217"/>
      <c r="AR100" s="217"/>
      <c r="AS100" s="217"/>
      <c r="AT100" s="217"/>
      <c r="AU100" s="217"/>
      <c r="AV100" s="217"/>
      <c r="AW100" s="217"/>
      <c r="AX100" s="217"/>
    </row>
    <row r="101" spans="1:50" s="119" customFormat="1" ht="18" customHeight="1" thickBot="1" x14ac:dyDescent="0.35">
      <c r="A101" s="136" t="s">
        <v>95</v>
      </c>
      <c r="B101" s="130" t="s">
        <v>273</v>
      </c>
      <c r="C101" s="277">
        <v>135547</v>
      </c>
      <c r="D101" s="136"/>
      <c r="E101" s="222">
        <f>C101</f>
        <v>135547</v>
      </c>
      <c r="F101" s="222">
        <f t="shared" si="5"/>
        <v>135547</v>
      </c>
      <c r="G101" s="222">
        <f t="shared" si="6"/>
        <v>0</v>
      </c>
      <c r="H101" s="214"/>
      <c r="I101" s="215"/>
      <c r="J101" s="215"/>
      <c r="K101" s="215"/>
      <c r="L101" s="215"/>
      <c r="M101" s="215">
        <v>21477.91</v>
      </c>
      <c r="N101" s="215"/>
      <c r="O101" s="215">
        <v>36576.28</v>
      </c>
      <c r="P101" s="215"/>
      <c r="Q101" s="215"/>
      <c r="R101" s="215">
        <v>34362.94</v>
      </c>
      <c r="S101" s="215">
        <v>22288.9</v>
      </c>
      <c r="T101" s="215"/>
      <c r="U101" s="215">
        <v>12086.89</v>
      </c>
      <c r="V101" s="215"/>
      <c r="W101" s="215"/>
      <c r="X101" s="292">
        <v>8754.08</v>
      </c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82"/>
      <c r="AJ101" s="217"/>
      <c r="AK101" s="217"/>
      <c r="AL101" s="217"/>
      <c r="AM101" s="217"/>
      <c r="AN101" s="217"/>
      <c r="AO101" s="282"/>
      <c r="AP101" s="217"/>
      <c r="AQ101" s="217"/>
      <c r="AR101" s="217"/>
      <c r="AS101" s="217"/>
      <c r="AT101" s="217"/>
      <c r="AU101" s="217"/>
      <c r="AV101" s="217"/>
      <c r="AW101" s="217"/>
      <c r="AX101" s="217"/>
    </row>
    <row r="102" spans="1:50" s="119" customFormat="1" ht="18" customHeight="1" thickBot="1" x14ac:dyDescent="0.35">
      <c r="A102" s="136" t="s">
        <v>96</v>
      </c>
      <c r="B102" s="130" t="s">
        <v>274</v>
      </c>
      <c r="C102" s="277">
        <v>37950</v>
      </c>
      <c r="D102" s="136"/>
      <c r="E102" s="222">
        <f t="shared" ref="E102:E103" si="8">C102</f>
        <v>37950</v>
      </c>
      <c r="F102" s="222">
        <f t="shared" si="5"/>
        <v>37950</v>
      </c>
      <c r="G102" s="222">
        <f t="shared" si="6"/>
        <v>0</v>
      </c>
      <c r="H102" s="214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>
        <v>12076.17</v>
      </c>
      <c r="V102" s="215">
        <v>522.53</v>
      </c>
      <c r="W102" s="215"/>
      <c r="X102" s="292"/>
      <c r="Y102" s="215"/>
      <c r="Z102" s="215"/>
      <c r="AA102" s="215"/>
      <c r="AB102" s="215"/>
      <c r="AC102" s="215">
        <f>425+536.36</f>
        <v>961.36</v>
      </c>
      <c r="AD102" s="215">
        <v>2640.8</v>
      </c>
      <c r="AE102" s="215"/>
      <c r="AF102" s="215">
        <v>15094.57</v>
      </c>
      <c r="AG102" s="215"/>
      <c r="AH102" s="215"/>
      <c r="AI102" s="282">
        <v>6654.57</v>
      </c>
      <c r="AJ102" s="217"/>
      <c r="AK102" s="217"/>
      <c r="AL102" s="217"/>
      <c r="AM102" s="217"/>
      <c r="AN102" s="217"/>
      <c r="AO102" s="282"/>
      <c r="AP102" s="217"/>
      <c r="AQ102" s="217"/>
      <c r="AR102" s="217"/>
      <c r="AS102" s="217"/>
      <c r="AT102" s="217"/>
      <c r="AU102" s="217"/>
      <c r="AV102" s="217"/>
      <c r="AW102" s="217"/>
      <c r="AX102" s="217"/>
    </row>
    <row r="103" spans="1:50" s="119" customFormat="1" ht="18" customHeight="1" thickBot="1" x14ac:dyDescent="0.35">
      <c r="A103" s="136" t="s">
        <v>97</v>
      </c>
      <c r="B103" s="130" t="s">
        <v>275</v>
      </c>
      <c r="C103" s="277">
        <v>12226</v>
      </c>
      <c r="D103" s="136"/>
      <c r="E103" s="222">
        <f t="shared" si="8"/>
        <v>12226</v>
      </c>
      <c r="F103" s="222">
        <f t="shared" si="5"/>
        <v>12226</v>
      </c>
      <c r="G103" s="222">
        <f t="shared" si="6"/>
        <v>0</v>
      </c>
      <c r="H103" s="214"/>
      <c r="I103" s="215"/>
      <c r="J103" s="215"/>
      <c r="K103" s="215"/>
      <c r="L103" s="215"/>
      <c r="M103" s="215"/>
      <c r="N103" s="215"/>
      <c r="O103" s="215">
        <v>12226</v>
      </c>
      <c r="P103" s="215"/>
      <c r="Q103" s="215"/>
      <c r="R103" s="215"/>
      <c r="S103" s="215"/>
      <c r="T103" s="215"/>
      <c r="U103" s="215"/>
      <c r="V103" s="215"/>
      <c r="W103" s="215"/>
      <c r="X103" s="292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  <c r="AI103" s="282"/>
      <c r="AJ103" s="217"/>
      <c r="AK103" s="217"/>
      <c r="AL103" s="217"/>
      <c r="AM103" s="217"/>
      <c r="AN103" s="217"/>
      <c r="AO103" s="282"/>
      <c r="AP103" s="217"/>
      <c r="AQ103" s="217"/>
      <c r="AR103" s="217"/>
      <c r="AS103" s="217"/>
      <c r="AT103" s="217"/>
      <c r="AU103" s="217"/>
      <c r="AV103" s="217"/>
      <c r="AW103" s="217"/>
      <c r="AX103" s="217"/>
    </row>
    <row r="104" spans="1:50" s="119" customFormat="1" ht="18" customHeight="1" thickBot="1" x14ac:dyDescent="0.35">
      <c r="A104" s="136" t="s">
        <v>98</v>
      </c>
      <c r="B104" s="130" t="s">
        <v>276</v>
      </c>
      <c r="C104" s="277">
        <v>1979</v>
      </c>
      <c r="D104" s="276" t="s">
        <v>623</v>
      </c>
      <c r="E104" s="222">
        <v>0</v>
      </c>
      <c r="F104" s="222">
        <f t="shared" si="5"/>
        <v>0</v>
      </c>
      <c r="G104" s="222">
        <f t="shared" si="6"/>
        <v>0</v>
      </c>
      <c r="H104" s="214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92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5"/>
      <c r="AI104" s="282"/>
      <c r="AJ104" s="217"/>
      <c r="AK104" s="217"/>
      <c r="AL104" s="217"/>
      <c r="AM104" s="217"/>
      <c r="AN104" s="217"/>
      <c r="AO104" s="282"/>
      <c r="AP104" s="217"/>
      <c r="AQ104" s="217"/>
      <c r="AR104" s="217"/>
      <c r="AS104" s="217"/>
      <c r="AT104" s="217"/>
      <c r="AU104" s="217"/>
      <c r="AV104" s="217"/>
      <c r="AW104" s="217"/>
      <c r="AX104" s="217"/>
    </row>
    <row r="105" spans="1:50" s="119" customFormat="1" ht="18" customHeight="1" thickBot="1" x14ac:dyDescent="0.35">
      <c r="A105" s="136" t="s">
        <v>99</v>
      </c>
      <c r="B105" s="130" t="s">
        <v>277</v>
      </c>
      <c r="C105" s="277">
        <v>495</v>
      </c>
      <c r="D105" s="276" t="s">
        <v>623</v>
      </c>
      <c r="E105" s="222">
        <v>0</v>
      </c>
      <c r="F105" s="222">
        <f t="shared" si="5"/>
        <v>0</v>
      </c>
      <c r="G105" s="222">
        <f t="shared" si="6"/>
        <v>0</v>
      </c>
      <c r="H105" s="214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92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82"/>
      <c r="AJ105" s="217"/>
      <c r="AK105" s="217"/>
      <c r="AL105" s="217"/>
      <c r="AM105" s="217"/>
      <c r="AN105" s="217"/>
      <c r="AO105" s="282"/>
      <c r="AP105" s="217"/>
      <c r="AQ105" s="217"/>
      <c r="AR105" s="217"/>
      <c r="AS105" s="217"/>
      <c r="AT105" s="217"/>
      <c r="AU105" s="217"/>
      <c r="AV105" s="217"/>
      <c r="AW105" s="217"/>
      <c r="AX105" s="217"/>
    </row>
    <row r="106" spans="1:50" s="119" customFormat="1" ht="18" customHeight="1" thickBot="1" x14ac:dyDescent="0.35">
      <c r="A106" s="136" t="s">
        <v>100</v>
      </c>
      <c r="B106" s="130" t="s">
        <v>278</v>
      </c>
      <c r="C106" s="277">
        <v>495</v>
      </c>
      <c r="D106" s="276" t="s">
        <v>623</v>
      </c>
      <c r="E106" s="222">
        <v>0</v>
      </c>
      <c r="F106" s="222">
        <f t="shared" si="5"/>
        <v>0</v>
      </c>
      <c r="G106" s="222">
        <f t="shared" si="6"/>
        <v>0</v>
      </c>
      <c r="H106" s="214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92"/>
      <c r="Y106" s="215"/>
      <c r="Z106" s="215"/>
      <c r="AA106" s="215"/>
      <c r="AB106" s="215"/>
      <c r="AC106" s="215"/>
      <c r="AD106" s="215"/>
      <c r="AE106" s="215"/>
      <c r="AF106" s="215"/>
      <c r="AG106" s="215"/>
      <c r="AH106" s="215"/>
      <c r="AI106" s="282"/>
      <c r="AJ106" s="217"/>
      <c r="AK106" s="217"/>
      <c r="AL106" s="217"/>
      <c r="AM106" s="217"/>
      <c r="AN106" s="217"/>
      <c r="AO106" s="282"/>
      <c r="AP106" s="217"/>
      <c r="AQ106" s="217"/>
      <c r="AR106" s="217"/>
      <c r="AS106" s="217"/>
      <c r="AT106" s="217"/>
      <c r="AU106" s="217"/>
      <c r="AV106" s="217"/>
      <c r="AW106" s="217"/>
      <c r="AX106" s="217"/>
    </row>
    <row r="107" spans="1:50" s="119" customFormat="1" ht="18" customHeight="1" thickBot="1" x14ac:dyDescent="0.35">
      <c r="A107" s="136" t="s">
        <v>101</v>
      </c>
      <c r="B107" s="130" t="s">
        <v>279</v>
      </c>
      <c r="C107" s="277">
        <v>353</v>
      </c>
      <c r="D107" s="276" t="s">
        <v>623</v>
      </c>
      <c r="E107" s="222">
        <v>0</v>
      </c>
      <c r="F107" s="222">
        <f t="shared" si="5"/>
        <v>0</v>
      </c>
      <c r="G107" s="222">
        <f t="shared" si="6"/>
        <v>0</v>
      </c>
      <c r="H107" s="214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92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82"/>
      <c r="AJ107" s="217"/>
      <c r="AK107" s="217"/>
      <c r="AL107" s="217"/>
      <c r="AM107" s="217"/>
      <c r="AN107" s="217"/>
      <c r="AO107" s="282"/>
      <c r="AP107" s="217"/>
      <c r="AQ107" s="217"/>
      <c r="AR107" s="217"/>
      <c r="AS107" s="217"/>
      <c r="AT107" s="217"/>
      <c r="AU107" s="217"/>
      <c r="AV107" s="217"/>
      <c r="AW107" s="217"/>
      <c r="AX107" s="217"/>
    </row>
    <row r="108" spans="1:50" s="119" customFormat="1" ht="18" customHeight="1" thickBot="1" x14ac:dyDescent="0.35">
      <c r="A108" s="136" t="s">
        <v>102</v>
      </c>
      <c r="B108" s="130" t="s">
        <v>280</v>
      </c>
      <c r="C108" s="277">
        <v>71</v>
      </c>
      <c r="D108" s="276" t="s">
        <v>623</v>
      </c>
      <c r="E108" s="222">
        <v>0</v>
      </c>
      <c r="F108" s="222">
        <f t="shared" si="5"/>
        <v>0</v>
      </c>
      <c r="G108" s="222">
        <f t="shared" si="6"/>
        <v>0</v>
      </c>
      <c r="H108" s="214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92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82"/>
      <c r="AJ108" s="217"/>
      <c r="AK108" s="217"/>
      <c r="AL108" s="217"/>
      <c r="AM108" s="217"/>
      <c r="AN108" s="217"/>
      <c r="AO108" s="282"/>
      <c r="AP108" s="217"/>
      <c r="AQ108" s="217"/>
      <c r="AR108" s="217"/>
      <c r="AS108" s="217"/>
      <c r="AT108" s="217"/>
      <c r="AU108" s="217"/>
      <c r="AV108" s="217"/>
      <c r="AW108" s="217"/>
      <c r="AX108" s="217"/>
    </row>
    <row r="109" spans="1:50" s="119" customFormat="1" ht="18" customHeight="1" thickBot="1" x14ac:dyDescent="0.35">
      <c r="A109" s="136" t="s">
        <v>103</v>
      </c>
      <c r="B109" s="130" t="s">
        <v>281</v>
      </c>
      <c r="C109" s="277">
        <v>0</v>
      </c>
      <c r="D109" s="136"/>
      <c r="E109" s="222">
        <v>0</v>
      </c>
      <c r="F109" s="222">
        <f t="shared" si="5"/>
        <v>0</v>
      </c>
      <c r="G109" s="222">
        <f t="shared" si="6"/>
        <v>0</v>
      </c>
      <c r="H109" s="214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92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  <c r="AI109" s="282"/>
      <c r="AJ109" s="217"/>
      <c r="AK109" s="217"/>
      <c r="AL109" s="217"/>
      <c r="AM109" s="217"/>
      <c r="AN109" s="217"/>
      <c r="AO109" s="282"/>
      <c r="AP109" s="217"/>
      <c r="AQ109" s="217"/>
      <c r="AR109" s="217"/>
      <c r="AS109" s="217"/>
      <c r="AT109" s="217"/>
      <c r="AU109" s="217"/>
      <c r="AV109" s="217"/>
      <c r="AW109" s="217"/>
      <c r="AX109" s="217"/>
    </row>
    <row r="110" spans="1:50" s="119" customFormat="1" ht="18" customHeight="1" thickBot="1" x14ac:dyDescent="0.35">
      <c r="A110" s="136" t="s">
        <v>104</v>
      </c>
      <c r="B110" s="130" t="s">
        <v>282</v>
      </c>
      <c r="C110" s="277">
        <v>0</v>
      </c>
      <c r="D110" s="136"/>
      <c r="E110" s="222">
        <v>0</v>
      </c>
      <c r="F110" s="222">
        <f t="shared" si="5"/>
        <v>0</v>
      </c>
      <c r="G110" s="222">
        <f t="shared" si="6"/>
        <v>0</v>
      </c>
      <c r="H110" s="214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92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82"/>
      <c r="AJ110" s="217"/>
      <c r="AK110" s="217"/>
      <c r="AL110" s="217"/>
      <c r="AM110" s="217"/>
      <c r="AN110" s="217"/>
      <c r="AO110" s="282"/>
      <c r="AP110" s="217"/>
      <c r="AQ110" s="217"/>
      <c r="AR110" s="217"/>
      <c r="AS110" s="217"/>
      <c r="AT110" s="217"/>
      <c r="AU110" s="217"/>
      <c r="AV110" s="217"/>
      <c r="AW110" s="217"/>
      <c r="AX110" s="217"/>
    </row>
    <row r="111" spans="1:50" s="119" customFormat="1" ht="18" customHeight="1" thickBot="1" x14ac:dyDescent="0.35">
      <c r="A111" s="136" t="s">
        <v>105</v>
      </c>
      <c r="B111" s="130" t="s">
        <v>283</v>
      </c>
      <c r="C111" s="277">
        <v>2685</v>
      </c>
      <c r="D111" s="136">
        <v>9025</v>
      </c>
      <c r="E111" s="222">
        <v>0</v>
      </c>
      <c r="F111" s="222">
        <f t="shared" si="5"/>
        <v>0</v>
      </c>
      <c r="G111" s="222">
        <f t="shared" si="6"/>
        <v>0</v>
      </c>
      <c r="H111" s="214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92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  <c r="AI111" s="282"/>
      <c r="AJ111" s="217"/>
      <c r="AK111" s="217"/>
      <c r="AL111" s="217"/>
      <c r="AM111" s="217"/>
      <c r="AN111" s="217"/>
      <c r="AO111" s="282"/>
      <c r="AP111" s="217"/>
      <c r="AQ111" s="217"/>
      <c r="AR111" s="217"/>
      <c r="AS111" s="217"/>
      <c r="AT111" s="217"/>
      <c r="AU111" s="217"/>
      <c r="AV111" s="217"/>
      <c r="AW111" s="217"/>
      <c r="AX111" s="217"/>
    </row>
    <row r="112" spans="1:50" s="119" customFormat="1" ht="18" customHeight="1" thickBot="1" x14ac:dyDescent="0.35">
      <c r="A112" s="136" t="s">
        <v>106</v>
      </c>
      <c r="B112" s="130" t="s">
        <v>284</v>
      </c>
      <c r="C112" s="277">
        <v>0</v>
      </c>
      <c r="D112" s="136"/>
      <c r="E112" s="222">
        <v>0</v>
      </c>
      <c r="F112" s="222">
        <f t="shared" si="5"/>
        <v>0</v>
      </c>
      <c r="G112" s="222">
        <f t="shared" si="6"/>
        <v>0</v>
      </c>
      <c r="H112" s="214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92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82"/>
      <c r="AJ112" s="217"/>
      <c r="AK112" s="217"/>
      <c r="AL112" s="217"/>
      <c r="AM112" s="217"/>
      <c r="AN112" s="217"/>
      <c r="AO112" s="282"/>
      <c r="AP112" s="217"/>
      <c r="AQ112" s="217"/>
      <c r="AR112" s="217"/>
      <c r="AS112" s="217"/>
      <c r="AT112" s="217"/>
      <c r="AU112" s="217"/>
      <c r="AV112" s="217"/>
      <c r="AW112" s="217"/>
      <c r="AX112" s="217"/>
    </row>
    <row r="113" spans="1:50" s="119" customFormat="1" ht="18" customHeight="1" thickBot="1" x14ac:dyDescent="0.35">
      <c r="A113" s="136" t="s">
        <v>107</v>
      </c>
      <c r="B113" s="130" t="s">
        <v>285</v>
      </c>
      <c r="C113" s="277">
        <v>8622</v>
      </c>
      <c r="D113" s="136" t="s">
        <v>371</v>
      </c>
      <c r="E113" s="222">
        <v>0</v>
      </c>
      <c r="F113" s="222">
        <f t="shared" si="5"/>
        <v>0</v>
      </c>
      <c r="G113" s="222">
        <f t="shared" si="6"/>
        <v>0</v>
      </c>
      <c r="H113" s="214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92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  <c r="AI113" s="282"/>
      <c r="AJ113" s="217"/>
      <c r="AK113" s="217"/>
      <c r="AL113" s="217"/>
      <c r="AM113" s="217"/>
      <c r="AN113" s="217"/>
      <c r="AO113" s="282"/>
      <c r="AP113" s="217"/>
      <c r="AQ113" s="217"/>
      <c r="AR113" s="217"/>
      <c r="AS113" s="217"/>
      <c r="AT113" s="217"/>
      <c r="AU113" s="217"/>
      <c r="AV113" s="217"/>
      <c r="AW113" s="217"/>
      <c r="AX113" s="217"/>
    </row>
    <row r="114" spans="1:50" s="119" customFormat="1" ht="18" customHeight="1" thickBot="1" x14ac:dyDescent="0.35">
      <c r="A114" s="136" t="s">
        <v>108</v>
      </c>
      <c r="B114" s="130" t="s">
        <v>286</v>
      </c>
      <c r="C114" s="277">
        <v>0</v>
      </c>
      <c r="D114" s="136"/>
      <c r="E114" s="222">
        <v>0</v>
      </c>
      <c r="F114" s="222">
        <f t="shared" si="5"/>
        <v>0</v>
      </c>
      <c r="G114" s="222">
        <f t="shared" si="6"/>
        <v>0</v>
      </c>
      <c r="H114" s="214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92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  <c r="AI114" s="282"/>
      <c r="AJ114" s="217"/>
      <c r="AK114" s="217"/>
      <c r="AL114" s="217"/>
      <c r="AM114" s="217"/>
      <c r="AN114" s="217"/>
      <c r="AO114" s="282"/>
      <c r="AP114" s="217"/>
      <c r="AQ114" s="217"/>
      <c r="AR114" s="217"/>
      <c r="AS114" s="217"/>
      <c r="AT114" s="217"/>
      <c r="AU114" s="217"/>
      <c r="AV114" s="217"/>
      <c r="AW114" s="217"/>
      <c r="AX114" s="217"/>
    </row>
    <row r="115" spans="1:50" s="119" customFormat="1" ht="18" customHeight="1" thickBot="1" x14ac:dyDescent="0.35">
      <c r="A115" s="136" t="s">
        <v>109</v>
      </c>
      <c r="B115" s="130" t="s">
        <v>287</v>
      </c>
      <c r="C115" s="277">
        <v>283</v>
      </c>
      <c r="D115" s="276" t="s">
        <v>623</v>
      </c>
      <c r="E115" s="222">
        <v>0</v>
      </c>
      <c r="F115" s="222">
        <f t="shared" si="5"/>
        <v>0</v>
      </c>
      <c r="G115" s="222">
        <f t="shared" si="6"/>
        <v>0</v>
      </c>
      <c r="H115" s="214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92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  <c r="AI115" s="282"/>
      <c r="AJ115" s="217"/>
      <c r="AK115" s="217"/>
      <c r="AL115" s="217"/>
      <c r="AM115" s="217"/>
      <c r="AN115" s="217"/>
      <c r="AO115" s="282"/>
      <c r="AP115" s="217"/>
      <c r="AQ115" s="217"/>
      <c r="AR115" s="217"/>
      <c r="AS115" s="217"/>
      <c r="AT115" s="217"/>
      <c r="AU115" s="217"/>
      <c r="AV115" s="217"/>
      <c r="AW115" s="217"/>
      <c r="AX115" s="217"/>
    </row>
    <row r="116" spans="1:50" s="119" customFormat="1" ht="18" customHeight="1" thickBot="1" x14ac:dyDescent="0.35">
      <c r="A116" s="136" t="s">
        <v>110</v>
      </c>
      <c r="B116" s="130" t="s">
        <v>288</v>
      </c>
      <c r="C116" s="277">
        <v>0</v>
      </c>
      <c r="D116" s="136"/>
      <c r="E116" s="222">
        <v>0</v>
      </c>
      <c r="F116" s="222">
        <f t="shared" si="5"/>
        <v>0</v>
      </c>
      <c r="G116" s="222">
        <f t="shared" si="6"/>
        <v>0</v>
      </c>
      <c r="H116" s="214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92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82"/>
      <c r="AJ116" s="217"/>
      <c r="AK116" s="217"/>
      <c r="AL116" s="217"/>
      <c r="AM116" s="217"/>
      <c r="AN116" s="217"/>
      <c r="AO116" s="282"/>
      <c r="AP116" s="217"/>
      <c r="AQ116" s="217"/>
      <c r="AR116" s="217"/>
      <c r="AS116" s="217"/>
      <c r="AT116" s="217"/>
      <c r="AU116" s="217"/>
      <c r="AV116" s="217"/>
      <c r="AW116" s="217"/>
      <c r="AX116" s="217"/>
    </row>
    <row r="117" spans="1:50" s="119" customFormat="1" ht="18" customHeight="1" thickBot="1" x14ac:dyDescent="0.35">
      <c r="A117" s="136" t="s">
        <v>111</v>
      </c>
      <c r="B117" s="130" t="s">
        <v>289</v>
      </c>
      <c r="C117" s="277">
        <v>495</v>
      </c>
      <c r="D117" s="276" t="s">
        <v>623</v>
      </c>
      <c r="E117" s="222">
        <v>0</v>
      </c>
      <c r="F117" s="222">
        <f t="shared" si="5"/>
        <v>0</v>
      </c>
      <c r="G117" s="222">
        <f t="shared" si="6"/>
        <v>0</v>
      </c>
      <c r="H117" s="214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92"/>
      <c r="Y117" s="215"/>
      <c r="Z117" s="215"/>
      <c r="AA117" s="215"/>
      <c r="AB117" s="215"/>
      <c r="AC117" s="215"/>
      <c r="AD117" s="215"/>
      <c r="AE117" s="215"/>
      <c r="AF117" s="215"/>
      <c r="AG117" s="215"/>
      <c r="AH117" s="215"/>
      <c r="AI117" s="282"/>
      <c r="AJ117" s="217"/>
      <c r="AK117" s="217"/>
      <c r="AL117" s="217"/>
      <c r="AM117" s="217"/>
      <c r="AN117" s="217"/>
      <c r="AO117" s="282"/>
      <c r="AP117" s="217"/>
      <c r="AQ117" s="217"/>
      <c r="AR117" s="217"/>
      <c r="AS117" s="217"/>
      <c r="AT117" s="217"/>
      <c r="AU117" s="217"/>
      <c r="AV117" s="217"/>
      <c r="AW117" s="217"/>
      <c r="AX117" s="217"/>
    </row>
    <row r="118" spans="1:50" s="119" customFormat="1" ht="18" customHeight="1" thickBot="1" x14ac:dyDescent="0.35">
      <c r="A118" s="136" t="s">
        <v>112</v>
      </c>
      <c r="B118" s="130" t="s">
        <v>290</v>
      </c>
      <c r="C118" s="277">
        <v>424</v>
      </c>
      <c r="D118" s="276" t="s">
        <v>623</v>
      </c>
      <c r="E118" s="222">
        <v>0</v>
      </c>
      <c r="F118" s="222">
        <f t="shared" si="5"/>
        <v>0</v>
      </c>
      <c r="G118" s="222">
        <f t="shared" si="6"/>
        <v>0</v>
      </c>
      <c r="H118" s="214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92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5"/>
      <c r="AI118" s="282"/>
      <c r="AJ118" s="217"/>
      <c r="AK118" s="217"/>
      <c r="AL118" s="217"/>
      <c r="AM118" s="217"/>
      <c r="AN118" s="217"/>
      <c r="AO118" s="282"/>
      <c r="AP118" s="217"/>
      <c r="AQ118" s="217"/>
      <c r="AR118" s="217"/>
      <c r="AS118" s="217"/>
      <c r="AT118" s="217"/>
      <c r="AU118" s="217"/>
      <c r="AV118" s="217"/>
      <c r="AW118" s="217"/>
      <c r="AX118" s="217"/>
    </row>
    <row r="119" spans="1:50" s="119" customFormat="1" ht="18" customHeight="1" thickBot="1" x14ac:dyDescent="0.35">
      <c r="A119" s="136" t="s">
        <v>113</v>
      </c>
      <c r="B119" s="130" t="s">
        <v>291</v>
      </c>
      <c r="C119" s="277">
        <v>51024</v>
      </c>
      <c r="D119" s="136"/>
      <c r="E119" s="222">
        <f>C119</f>
        <v>51024</v>
      </c>
      <c r="F119" s="222">
        <f t="shared" si="5"/>
        <v>51024</v>
      </c>
      <c r="G119" s="222">
        <f t="shared" si="6"/>
        <v>0</v>
      </c>
      <c r="H119" s="214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>
        <v>2085.75</v>
      </c>
      <c r="S119" s="215">
        <v>1293.53</v>
      </c>
      <c r="T119" s="215"/>
      <c r="U119" s="215"/>
      <c r="V119" s="215"/>
      <c r="W119" s="215">
        <v>28789.53</v>
      </c>
      <c r="X119" s="292"/>
      <c r="Y119" s="215"/>
      <c r="Z119" s="215">
        <v>12104.61</v>
      </c>
      <c r="AA119" s="215">
        <v>5886.14</v>
      </c>
      <c r="AB119" s="215">
        <v>864.44</v>
      </c>
      <c r="AC119" s="215"/>
      <c r="AD119" s="215"/>
      <c r="AE119" s="215"/>
      <c r="AF119" s="215"/>
      <c r="AG119" s="215"/>
      <c r="AH119" s="215"/>
      <c r="AI119" s="282"/>
      <c r="AJ119" s="217"/>
      <c r="AK119" s="217"/>
      <c r="AL119" s="217"/>
      <c r="AM119" s="217"/>
      <c r="AN119" s="217"/>
      <c r="AO119" s="282"/>
      <c r="AP119" s="217"/>
      <c r="AQ119" s="217"/>
      <c r="AR119" s="217"/>
      <c r="AS119" s="217"/>
      <c r="AT119" s="217"/>
      <c r="AU119" s="217"/>
      <c r="AV119" s="217"/>
      <c r="AW119" s="217"/>
      <c r="AX119" s="217"/>
    </row>
    <row r="120" spans="1:50" s="119" customFormat="1" ht="18" customHeight="1" thickBot="1" x14ac:dyDescent="0.35">
      <c r="A120" s="136" t="s">
        <v>114</v>
      </c>
      <c r="B120" s="130" t="s">
        <v>292</v>
      </c>
      <c r="C120" s="277">
        <v>0</v>
      </c>
      <c r="D120" s="136"/>
      <c r="E120" s="222">
        <v>0</v>
      </c>
      <c r="F120" s="222">
        <f t="shared" si="5"/>
        <v>0</v>
      </c>
      <c r="G120" s="222">
        <f t="shared" si="6"/>
        <v>0</v>
      </c>
      <c r="H120" s="214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92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82"/>
      <c r="AJ120" s="217"/>
      <c r="AK120" s="217"/>
      <c r="AL120" s="217"/>
      <c r="AM120" s="217"/>
      <c r="AN120" s="217"/>
      <c r="AO120" s="282"/>
      <c r="AP120" s="217"/>
      <c r="AQ120" s="217"/>
      <c r="AR120" s="217"/>
      <c r="AS120" s="217"/>
      <c r="AT120" s="217"/>
      <c r="AU120" s="217"/>
      <c r="AV120" s="217"/>
      <c r="AW120" s="217"/>
      <c r="AX120" s="217"/>
    </row>
    <row r="121" spans="1:50" s="119" customFormat="1" ht="18" customHeight="1" thickBot="1" x14ac:dyDescent="0.35">
      <c r="A121" s="136" t="s">
        <v>115</v>
      </c>
      <c r="B121" s="130" t="s">
        <v>293</v>
      </c>
      <c r="C121" s="277">
        <v>15124</v>
      </c>
      <c r="D121" s="136"/>
      <c r="E121" s="222">
        <f>C121</f>
        <v>15124</v>
      </c>
      <c r="F121" s="222">
        <f t="shared" si="5"/>
        <v>15124</v>
      </c>
      <c r="G121" s="222">
        <f t="shared" si="6"/>
        <v>0</v>
      </c>
      <c r="H121" s="214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>
        <v>15124</v>
      </c>
      <c r="T121" s="215"/>
      <c r="U121" s="215"/>
      <c r="V121" s="215"/>
      <c r="W121" s="215"/>
      <c r="X121" s="292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82"/>
      <c r="AJ121" s="217"/>
      <c r="AK121" s="217"/>
      <c r="AL121" s="217"/>
      <c r="AM121" s="217"/>
      <c r="AN121" s="217"/>
      <c r="AO121" s="282"/>
      <c r="AP121" s="217"/>
      <c r="AQ121" s="217"/>
      <c r="AR121" s="217"/>
      <c r="AS121" s="217"/>
      <c r="AT121" s="217"/>
      <c r="AU121" s="217"/>
      <c r="AV121" s="217"/>
      <c r="AW121" s="217"/>
      <c r="AX121" s="217"/>
    </row>
    <row r="122" spans="1:50" s="119" customFormat="1" ht="18" customHeight="1" thickBot="1" x14ac:dyDescent="0.35">
      <c r="A122" s="136" t="s">
        <v>116</v>
      </c>
      <c r="B122" s="130" t="s">
        <v>294</v>
      </c>
      <c r="C122" s="277">
        <v>9611</v>
      </c>
      <c r="D122" s="136" t="s">
        <v>371</v>
      </c>
      <c r="E122" s="222">
        <v>0</v>
      </c>
      <c r="F122" s="222">
        <f t="shared" si="5"/>
        <v>0</v>
      </c>
      <c r="G122" s="222">
        <f t="shared" si="6"/>
        <v>0</v>
      </c>
      <c r="H122" s="214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92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82"/>
      <c r="AJ122" s="217"/>
      <c r="AK122" s="217"/>
      <c r="AL122" s="217"/>
      <c r="AM122" s="217"/>
      <c r="AN122" s="217"/>
      <c r="AO122" s="282"/>
      <c r="AP122" s="217"/>
      <c r="AQ122" s="217"/>
      <c r="AR122" s="217"/>
      <c r="AS122" s="217"/>
      <c r="AT122" s="217"/>
      <c r="AU122" s="217"/>
      <c r="AV122" s="217"/>
      <c r="AW122" s="217"/>
      <c r="AX122" s="217"/>
    </row>
    <row r="123" spans="1:50" s="119" customFormat="1" ht="18" customHeight="1" thickBot="1" x14ac:dyDescent="0.35">
      <c r="A123" s="136" t="s">
        <v>117</v>
      </c>
      <c r="B123" s="130" t="s">
        <v>295</v>
      </c>
      <c r="C123" s="277">
        <v>1272</v>
      </c>
      <c r="D123" s="276" t="s">
        <v>623</v>
      </c>
      <c r="E123" s="222">
        <v>0</v>
      </c>
      <c r="F123" s="222">
        <f t="shared" si="5"/>
        <v>0</v>
      </c>
      <c r="G123" s="222">
        <f t="shared" si="6"/>
        <v>0</v>
      </c>
      <c r="H123" s="214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92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82"/>
      <c r="AJ123" s="217"/>
      <c r="AK123" s="217"/>
      <c r="AL123" s="217"/>
      <c r="AM123" s="217"/>
      <c r="AN123" s="217"/>
      <c r="AO123" s="282"/>
      <c r="AP123" s="217"/>
      <c r="AQ123" s="217"/>
      <c r="AR123" s="217"/>
      <c r="AS123" s="217"/>
      <c r="AT123" s="217"/>
      <c r="AU123" s="217"/>
      <c r="AV123" s="217"/>
      <c r="AW123" s="217"/>
      <c r="AX123" s="217"/>
    </row>
    <row r="124" spans="1:50" s="119" customFormat="1" ht="18" customHeight="1" thickBot="1" x14ac:dyDescent="0.35">
      <c r="A124" s="136" t="s">
        <v>118</v>
      </c>
      <c r="B124" s="130" t="s">
        <v>296</v>
      </c>
      <c r="C124" s="277">
        <v>1837</v>
      </c>
      <c r="D124" s="276" t="s">
        <v>623</v>
      </c>
      <c r="E124" s="222">
        <v>0</v>
      </c>
      <c r="F124" s="222">
        <f t="shared" si="5"/>
        <v>0</v>
      </c>
      <c r="G124" s="222">
        <f t="shared" si="6"/>
        <v>0</v>
      </c>
      <c r="H124" s="214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92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82"/>
      <c r="AJ124" s="217"/>
      <c r="AK124" s="217"/>
      <c r="AL124" s="217"/>
      <c r="AM124" s="217"/>
      <c r="AN124" s="217"/>
      <c r="AO124" s="282"/>
      <c r="AP124" s="217"/>
      <c r="AQ124" s="217"/>
      <c r="AR124" s="217"/>
      <c r="AS124" s="217"/>
      <c r="AT124" s="217"/>
      <c r="AU124" s="217"/>
      <c r="AV124" s="217"/>
      <c r="AW124" s="217"/>
      <c r="AX124" s="217"/>
    </row>
    <row r="125" spans="1:50" s="119" customFormat="1" ht="18" customHeight="1" thickBot="1" x14ac:dyDescent="0.35">
      <c r="A125" s="136" t="s">
        <v>119</v>
      </c>
      <c r="B125" s="130" t="s">
        <v>297</v>
      </c>
      <c r="C125" s="277">
        <v>62261</v>
      </c>
      <c r="D125" s="136"/>
      <c r="E125" s="222">
        <f>C125</f>
        <v>62261</v>
      </c>
      <c r="F125" s="222">
        <f t="shared" si="5"/>
        <v>62261</v>
      </c>
      <c r="G125" s="222">
        <f t="shared" si="6"/>
        <v>0</v>
      </c>
      <c r="H125" s="214"/>
      <c r="I125" s="215"/>
      <c r="J125" s="215"/>
      <c r="K125" s="215"/>
      <c r="L125" s="215"/>
      <c r="M125" s="215"/>
      <c r="N125" s="215"/>
      <c r="O125" s="215"/>
      <c r="P125" s="215"/>
      <c r="Q125" s="215">
        <f>13030.55+5533</f>
        <v>18563.55</v>
      </c>
      <c r="R125" s="215"/>
      <c r="S125" s="215">
        <v>13137.25</v>
      </c>
      <c r="T125" s="215"/>
      <c r="U125" s="215">
        <v>11292.85</v>
      </c>
      <c r="V125" s="215"/>
      <c r="W125" s="215"/>
      <c r="X125" s="292">
        <v>9209.56</v>
      </c>
      <c r="Y125" s="215"/>
      <c r="Z125" s="215">
        <v>10057.790000000001</v>
      </c>
      <c r="AA125" s="215"/>
      <c r="AB125" s="215"/>
      <c r="AC125" s="215"/>
      <c r="AD125" s="215"/>
      <c r="AE125" s="215"/>
      <c r="AF125" s="215"/>
      <c r="AG125" s="215"/>
      <c r="AH125" s="215"/>
      <c r="AI125" s="282"/>
      <c r="AJ125" s="217"/>
      <c r="AK125" s="217"/>
      <c r="AL125" s="217"/>
      <c r="AM125" s="217"/>
      <c r="AN125" s="217"/>
      <c r="AO125" s="282"/>
      <c r="AP125" s="217"/>
      <c r="AQ125" s="217"/>
      <c r="AR125" s="217"/>
      <c r="AS125" s="217"/>
      <c r="AT125" s="217"/>
      <c r="AU125" s="217"/>
      <c r="AV125" s="217"/>
      <c r="AW125" s="217"/>
      <c r="AX125" s="217"/>
    </row>
    <row r="126" spans="1:50" s="119" customFormat="1" ht="18" customHeight="1" thickBot="1" x14ac:dyDescent="0.35">
      <c r="A126" s="136" t="s">
        <v>120</v>
      </c>
      <c r="B126" s="130" t="s">
        <v>298</v>
      </c>
      <c r="C126" s="277">
        <v>71</v>
      </c>
      <c r="D126" s="276" t="s">
        <v>623</v>
      </c>
      <c r="E126" s="222">
        <v>0</v>
      </c>
      <c r="F126" s="222">
        <f t="shared" si="5"/>
        <v>0</v>
      </c>
      <c r="G126" s="222">
        <f t="shared" si="6"/>
        <v>0</v>
      </c>
      <c r="H126" s="214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92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82"/>
      <c r="AJ126" s="217"/>
      <c r="AK126" s="217"/>
      <c r="AL126" s="217"/>
      <c r="AM126" s="217"/>
      <c r="AN126" s="217"/>
      <c r="AO126" s="282"/>
      <c r="AP126" s="217"/>
      <c r="AQ126" s="217"/>
      <c r="AR126" s="217"/>
      <c r="AS126" s="217"/>
      <c r="AT126" s="217"/>
      <c r="AU126" s="217"/>
      <c r="AV126" s="217"/>
      <c r="AW126" s="217"/>
      <c r="AX126" s="217"/>
    </row>
    <row r="127" spans="1:50" s="119" customFormat="1" ht="19.5" thickBot="1" x14ac:dyDescent="0.35">
      <c r="A127" s="136" t="s">
        <v>121</v>
      </c>
      <c r="B127" s="130" t="s">
        <v>299</v>
      </c>
      <c r="C127" s="277">
        <v>17950</v>
      </c>
      <c r="D127" s="136" t="s">
        <v>371</v>
      </c>
      <c r="E127" s="222">
        <v>0</v>
      </c>
      <c r="F127" s="222">
        <f t="shared" si="5"/>
        <v>0</v>
      </c>
      <c r="G127" s="222">
        <f t="shared" si="6"/>
        <v>0</v>
      </c>
      <c r="H127" s="214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92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  <c r="AI127" s="282"/>
      <c r="AJ127" s="217"/>
      <c r="AK127" s="217"/>
      <c r="AL127" s="217"/>
      <c r="AM127" s="217"/>
      <c r="AN127" s="217"/>
      <c r="AO127" s="282"/>
      <c r="AP127" s="217"/>
      <c r="AQ127" s="217"/>
      <c r="AR127" s="217"/>
      <c r="AS127" s="217"/>
      <c r="AT127" s="217"/>
      <c r="AU127" s="217"/>
      <c r="AV127" s="217"/>
      <c r="AW127" s="217"/>
      <c r="AX127" s="217"/>
    </row>
    <row r="128" spans="1:50" s="119" customFormat="1" ht="19.5" thickBot="1" x14ac:dyDescent="0.35">
      <c r="A128" s="136" t="s">
        <v>122</v>
      </c>
      <c r="B128" s="130" t="s">
        <v>300</v>
      </c>
      <c r="C128" s="277">
        <v>69540</v>
      </c>
      <c r="D128" s="136"/>
      <c r="E128" s="222">
        <f>C128</f>
        <v>69540</v>
      </c>
      <c r="F128" s="222">
        <f t="shared" si="5"/>
        <v>69540.000000000015</v>
      </c>
      <c r="G128" s="222">
        <f t="shared" si="6"/>
        <v>0</v>
      </c>
      <c r="H128" s="214"/>
      <c r="I128" s="215"/>
      <c r="J128" s="215"/>
      <c r="K128" s="215"/>
      <c r="L128" s="215"/>
      <c r="M128" s="215"/>
      <c r="N128" s="215"/>
      <c r="O128" s="215">
        <f>20112.23+3681.44</f>
        <v>23793.67</v>
      </c>
      <c r="P128" s="215">
        <v>3005.95</v>
      </c>
      <c r="Q128" s="215">
        <v>2785.88</v>
      </c>
      <c r="R128" s="215">
        <v>2455.79</v>
      </c>
      <c r="S128" s="215">
        <v>3835.35</v>
      </c>
      <c r="T128" s="215">
        <v>1100.3</v>
      </c>
      <c r="U128" s="215">
        <v>580.04</v>
      </c>
      <c r="V128" s="215"/>
      <c r="W128" s="215">
        <v>6351.46</v>
      </c>
      <c r="X128" s="292">
        <v>3974.58</v>
      </c>
      <c r="Y128" s="215">
        <v>5969.58</v>
      </c>
      <c r="Z128" s="215">
        <v>6477.77</v>
      </c>
      <c r="AA128" s="215">
        <v>3199.24</v>
      </c>
      <c r="AB128" s="215">
        <v>6010.39</v>
      </c>
      <c r="AC128" s="215"/>
      <c r="AD128" s="215"/>
      <c r="AE128" s="215"/>
      <c r="AF128" s="215"/>
      <c r="AG128" s="215"/>
      <c r="AH128" s="215"/>
      <c r="AI128" s="282"/>
      <c r="AJ128" s="217"/>
      <c r="AK128" s="217"/>
      <c r="AL128" s="217"/>
      <c r="AM128" s="217"/>
      <c r="AN128" s="217"/>
      <c r="AO128" s="282"/>
      <c r="AP128" s="217"/>
      <c r="AQ128" s="217"/>
      <c r="AR128" s="217"/>
      <c r="AS128" s="217"/>
      <c r="AT128" s="217"/>
      <c r="AU128" s="217"/>
      <c r="AV128" s="217"/>
      <c r="AW128" s="217"/>
      <c r="AX128" s="217"/>
    </row>
    <row r="129" spans="1:66" s="119" customFormat="1" ht="19.5" thickBot="1" x14ac:dyDescent="0.35">
      <c r="A129" s="136" t="s">
        <v>123</v>
      </c>
      <c r="B129" s="130" t="s">
        <v>301</v>
      </c>
      <c r="C129" s="277">
        <v>0</v>
      </c>
      <c r="D129" s="136"/>
      <c r="E129" s="222">
        <v>0</v>
      </c>
      <c r="F129" s="222">
        <f t="shared" si="5"/>
        <v>0</v>
      </c>
      <c r="G129" s="222">
        <f t="shared" si="6"/>
        <v>0</v>
      </c>
      <c r="H129" s="214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92"/>
      <c r="Y129" s="215"/>
      <c r="Z129" s="215"/>
      <c r="AA129" s="215"/>
      <c r="AB129" s="215"/>
      <c r="AC129" s="215"/>
      <c r="AD129" s="215"/>
      <c r="AE129" s="215"/>
      <c r="AF129" s="215"/>
      <c r="AG129" s="215"/>
      <c r="AH129" s="215"/>
      <c r="AI129" s="282"/>
      <c r="AJ129" s="217"/>
      <c r="AK129" s="217"/>
      <c r="AL129" s="217"/>
      <c r="AM129" s="217"/>
      <c r="AN129" s="217"/>
      <c r="AO129" s="282"/>
      <c r="AP129" s="217"/>
      <c r="AQ129" s="217"/>
      <c r="AR129" s="217"/>
      <c r="AS129" s="217"/>
      <c r="AT129" s="217"/>
      <c r="AU129" s="217"/>
      <c r="AV129" s="217"/>
      <c r="AW129" s="217"/>
      <c r="AX129" s="217"/>
    </row>
    <row r="130" spans="1:66" s="119" customFormat="1" ht="19.5" thickBot="1" x14ac:dyDescent="0.35">
      <c r="A130" s="136" t="s">
        <v>124</v>
      </c>
      <c r="B130" s="130" t="s">
        <v>302</v>
      </c>
      <c r="C130" s="277">
        <v>4452</v>
      </c>
      <c r="D130" s="136" t="s">
        <v>371</v>
      </c>
      <c r="E130" s="222">
        <v>0</v>
      </c>
      <c r="F130" s="222">
        <f t="shared" si="5"/>
        <v>0</v>
      </c>
      <c r="G130" s="222">
        <f t="shared" si="6"/>
        <v>0</v>
      </c>
      <c r="H130" s="214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92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82"/>
      <c r="AJ130" s="217"/>
      <c r="AK130" s="217"/>
      <c r="AL130" s="217"/>
      <c r="AM130" s="217"/>
      <c r="AN130" s="217"/>
      <c r="AO130" s="282"/>
      <c r="AP130" s="217"/>
      <c r="AQ130" s="217"/>
      <c r="AR130" s="217"/>
      <c r="AS130" s="217"/>
      <c r="AT130" s="217"/>
      <c r="AU130" s="217"/>
      <c r="AV130" s="217"/>
      <c r="AW130" s="217"/>
      <c r="AX130" s="217"/>
    </row>
    <row r="131" spans="1:66" s="119" customFormat="1" ht="19.5" thickBot="1" x14ac:dyDescent="0.35">
      <c r="A131" s="136" t="s">
        <v>125</v>
      </c>
      <c r="B131" s="130" t="s">
        <v>303</v>
      </c>
      <c r="C131" s="277">
        <v>2615</v>
      </c>
      <c r="D131" s="136" t="s">
        <v>401</v>
      </c>
      <c r="E131" s="222">
        <v>0</v>
      </c>
      <c r="F131" s="222">
        <f t="shared" si="5"/>
        <v>0</v>
      </c>
      <c r="G131" s="222">
        <f t="shared" si="6"/>
        <v>0</v>
      </c>
      <c r="H131" s="214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  <c r="X131" s="292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5"/>
      <c r="AI131" s="282"/>
      <c r="AJ131" s="217"/>
      <c r="AK131" s="217"/>
      <c r="AL131" s="217"/>
      <c r="AM131" s="217"/>
      <c r="AN131" s="217"/>
      <c r="AO131" s="282"/>
      <c r="AP131" s="217"/>
      <c r="AQ131" s="217"/>
      <c r="AR131" s="217"/>
      <c r="AS131" s="217"/>
      <c r="AT131" s="217"/>
      <c r="AU131" s="217"/>
      <c r="AV131" s="217"/>
      <c r="AW131" s="217"/>
      <c r="AX131" s="217"/>
    </row>
    <row r="132" spans="1:66" s="119" customFormat="1" ht="19.5" thickBot="1" x14ac:dyDescent="0.35">
      <c r="A132" s="136" t="s">
        <v>126</v>
      </c>
      <c r="B132" s="130" t="s">
        <v>304</v>
      </c>
      <c r="C132" s="277">
        <v>3675</v>
      </c>
      <c r="D132" s="136" t="s">
        <v>401</v>
      </c>
      <c r="E132" s="222">
        <v>0</v>
      </c>
      <c r="F132" s="222">
        <f t="shared" si="5"/>
        <v>0</v>
      </c>
      <c r="G132" s="222">
        <f t="shared" si="6"/>
        <v>0</v>
      </c>
      <c r="H132" s="214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92"/>
      <c r="Y132" s="215"/>
      <c r="Z132" s="215"/>
      <c r="AA132" s="215"/>
      <c r="AB132" s="215"/>
      <c r="AC132" s="215"/>
      <c r="AD132" s="215"/>
      <c r="AE132" s="215"/>
      <c r="AF132" s="215"/>
      <c r="AG132" s="215"/>
      <c r="AH132" s="215"/>
      <c r="AI132" s="282"/>
      <c r="AJ132" s="217"/>
      <c r="AK132" s="217"/>
      <c r="AL132" s="217"/>
      <c r="AM132" s="217"/>
      <c r="AN132" s="217"/>
      <c r="AO132" s="282"/>
      <c r="AP132" s="217"/>
      <c r="AQ132" s="217"/>
      <c r="AR132" s="217"/>
      <c r="AS132" s="217"/>
      <c r="AT132" s="217"/>
      <c r="AU132" s="217"/>
      <c r="AV132" s="217"/>
      <c r="AW132" s="217"/>
      <c r="AX132" s="217"/>
    </row>
    <row r="133" spans="1:66" s="119" customFormat="1" ht="19.5" thickBot="1" x14ac:dyDescent="0.35">
      <c r="A133" s="136" t="s">
        <v>127</v>
      </c>
      <c r="B133" s="130" t="s">
        <v>305</v>
      </c>
      <c r="C133" s="277">
        <v>1343</v>
      </c>
      <c r="D133" s="276" t="s">
        <v>623</v>
      </c>
      <c r="E133" s="222">
        <v>0</v>
      </c>
      <c r="F133" s="222">
        <f t="shared" si="5"/>
        <v>0</v>
      </c>
      <c r="G133" s="222">
        <f t="shared" si="6"/>
        <v>0</v>
      </c>
      <c r="H133" s="214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92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  <c r="AI133" s="282"/>
      <c r="AJ133" s="217"/>
      <c r="AK133" s="217"/>
      <c r="AL133" s="217"/>
      <c r="AM133" s="217"/>
      <c r="AN133" s="217"/>
      <c r="AO133" s="282"/>
      <c r="AP133" s="217"/>
      <c r="AQ133" s="217"/>
      <c r="AR133" s="217"/>
      <c r="AS133" s="217"/>
      <c r="AT133" s="217"/>
      <c r="AU133" s="217"/>
      <c r="AV133" s="217"/>
      <c r="AW133" s="217"/>
      <c r="AX133" s="217"/>
    </row>
    <row r="134" spans="1:66" s="119" customFormat="1" ht="19.5" thickBot="1" x14ac:dyDescent="0.35">
      <c r="A134" s="136" t="s">
        <v>128</v>
      </c>
      <c r="B134" s="130" t="s">
        <v>306</v>
      </c>
      <c r="C134" s="277">
        <v>636</v>
      </c>
      <c r="D134" s="276" t="s">
        <v>623</v>
      </c>
      <c r="E134" s="222">
        <v>0</v>
      </c>
      <c r="F134" s="222">
        <f t="shared" si="5"/>
        <v>0</v>
      </c>
      <c r="G134" s="222">
        <f t="shared" si="6"/>
        <v>0</v>
      </c>
      <c r="H134" s="214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92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5"/>
      <c r="AI134" s="282"/>
      <c r="AJ134" s="217"/>
      <c r="AK134" s="217"/>
      <c r="AL134" s="217"/>
      <c r="AM134" s="217"/>
      <c r="AN134" s="217"/>
      <c r="AO134" s="282"/>
      <c r="AP134" s="217"/>
      <c r="AQ134" s="217"/>
      <c r="AR134" s="217"/>
      <c r="AS134" s="217"/>
      <c r="AT134" s="217"/>
      <c r="AU134" s="217"/>
      <c r="AV134" s="217"/>
      <c r="AW134" s="217"/>
      <c r="AX134" s="217"/>
    </row>
    <row r="135" spans="1:66" s="3" customFormat="1" ht="19.5" thickBot="1" x14ac:dyDescent="0.35">
      <c r="A135" s="136" t="s">
        <v>129</v>
      </c>
      <c r="B135" s="130" t="s">
        <v>307</v>
      </c>
      <c r="C135" s="277">
        <v>0</v>
      </c>
      <c r="D135" s="136"/>
      <c r="E135" s="222">
        <v>0</v>
      </c>
      <c r="F135" s="222">
        <f t="shared" si="5"/>
        <v>0</v>
      </c>
      <c r="G135" s="222">
        <f t="shared" si="6"/>
        <v>0</v>
      </c>
      <c r="H135" s="218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203"/>
      <c r="Y135" s="190"/>
      <c r="Z135" s="190"/>
      <c r="AA135" s="190"/>
      <c r="AB135" s="190"/>
      <c r="AC135" s="190"/>
      <c r="AD135" s="190"/>
      <c r="AE135" s="190"/>
      <c r="AF135" s="190"/>
      <c r="AG135" s="190"/>
      <c r="AH135" s="190"/>
      <c r="AI135" s="273"/>
      <c r="AJ135" s="192"/>
      <c r="AK135" s="192"/>
      <c r="AL135" s="192"/>
      <c r="AM135" s="192"/>
      <c r="AN135" s="192"/>
      <c r="AO135" s="273"/>
      <c r="AP135" s="192"/>
      <c r="AQ135" s="192"/>
      <c r="AR135" s="192"/>
      <c r="AS135" s="192"/>
      <c r="AT135" s="192"/>
      <c r="AU135" s="192"/>
      <c r="AV135" s="192"/>
      <c r="AW135" s="192"/>
      <c r="AX135" s="192"/>
    </row>
    <row r="136" spans="1:66" ht="19.5" thickBot="1" x14ac:dyDescent="0.35">
      <c r="A136" s="136" t="s">
        <v>130</v>
      </c>
      <c r="B136" s="130" t="s">
        <v>308</v>
      </c>
      <c r="C136" s="277">
        <v>0</v>
      </c>
      <c r="D136" s="136"/>
      <c r="E136" s="222">
        <v>0</v>
      </c>
      <c r="F136" s="222">
        <f t="shared" si="5"/>
        <v>0</v>
      </c>
      <c r="G136" s="222">
        <f t="shared" si="6"/>
        <v>0</v>
      </c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03"/>
      <c r="Y136" s="218"/>
      <c r="Z136" s="218"/>
      <c r="AA136" s="218"/>
      <c r="AB136" s="218"/>
      <c r="AC136" s="218"/>
      <c r="AD136" s="218"/>
      <c r="AE136" s="218"/>
      <c r="AF136" s="218"/>
      <c r="AG136" s="218"/>
      <c r="AH136" s="218"/>
      <c r="AI136" s="203"/>
      <c r="AJ136" s="218"/>
      <c r="AK136" s="218"/>
      <c r="AL136" s="218"/>
      <c r="AM136" s="218"/>
      <c r="AN136" s="218"/>
      <c r="AO136" s="203"/>
      <c r="AP136" s="218"/>
      <c r="AQ136" s="218"/>
      <c r="AR136" s="218"/>
      <c r="AS136" s="218"/>
      <c r="AT136" s="218"/>
      <c r="AU136" s="218"/>
      <c r="AV136" s="218"/>
      <c r="AW136" s="218"/>
      <c r="AX136" s="218"/>
      <c r="AY136" s="159"/>
      <c r="AZ136" s="159"/>
      <c r="BA136" s="159"/>
      <c r="BB136" s="159"/>
      <c r="BC136" s="159"/>
      <c r="BD136" s="159"/>
      <c r="BE136" s="159"/>
      <c r="BF136" s="159"/>
      <c r="BG136" s="159"/>
      <c r="BH136" s="159"/>
      <c r="BI136" s="159"/>
      <c r="BJ136" s="159"/>
      <c r="BK136" s="159"/>
      <c r="BL136" s="159"/>
      <c r="BM136" s="159"/>
      <c r="BN136" s="159"/>
    </row>
    <row r="137" spans="1:66" ht="16.5" thickBot="1" x14ac:dyDescent="0.3">
      <c r="A137" s="136" t="s">
        <v>131</v>
      </c>
      <c r="B137" s="130" t="s">
        <v>309</v>
      </c>
      <c r="C137" s="277">
        <v>777</v>
      </c>
      <c r="D137" s="276" t="s">
        <v>623</v>
      </c>
      <c r="E137" s="222">
        <v>0</v>
      </c>
      <c r="F137" s="222">
        <f t="shared" si="5"/>
        <v>0</v>
      </c>
      <c r="G137" s="222">
        <f t="shared" si="6"/>
        <v>0</v>
      </c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  <c r="AH137" s="225"/>
      <c r="AI137" s="225"/>
      <c r="AJ137" s="226"/>
      <c r="AK137" s="226"/>
      <c r="AL137" s="226"/>
      <c r="AM137" s="226"/>
      <c r="AN137" s="226"/>
      <c r="AO137" s="225"/>
      <c r="AP137" s="226"/>
      <c r="AQ137" s="226"/>
      <c r="AR137" s="226"/>
      <c r="AS137" s="226"/>
      <c r="AT137" s="226"/>
      <c r="AU137" s="226"/>
      <c r="AV137" s="226"/>
      <c r="AW137" s="226"/>
      <c r="AX137" s="226"/>
    </row>
    <row r="138" spans="1:66" ht="16.5" thickBot="1" x14ac:dyDescent="0.3">
      <c r="A138" s="136" t="s">
        <v>132</v>
      </c>
      <c r="B138" s="130" t="s">
        <v>310</v>
      </c>
      <c r="C138" s="277">
        <v>707</v>
      </c>
      <c r="D138" s="276" t="s">
        <v>623</v>
      </c>
      <c r="E138" s="222">
        <v>0</v>
      </c>
      <c r="F138" s="222">
        <f t="shared" si="5"/>
        <v>0</v>
      </c>
      <c r="G138" s="222">
        <f t="shared" si="6"/>
        <v>0</v>
      </c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  <c r="AE138" s="225"/>
      <c r="AF138" s="225"/>
      <c r="AG138" s="225"/>
      <c r="AH138" s="225"/>
      <c r="AI138" s="225"/>
      <c r="AJ138" s="226"/>
      <c r="AK138" s="226"/>
      <c r="AL138" s="226"/>
      <c r="AM138" s="226"/>
      <c r="AN138" s="226"/>
      <c r="AO138" s="225"/>
      <c r="AP138" s="226"/>
      <c r="AQ138" s="226"/>
      <c r="AR138" s="226"/>
      <c r="AS138" s="226"/>
      <c r="AT138" s="226"/>
      <c r="AU138" s="226"/>
      <c r="AV138" s="226"/>
      <c r="AW138" s="226"/>
      <c r="AX138" s="226"/>
    </row>
    <row r="139" spans="1:66" ht="16.5" thickBot="1" x14ac:dyDescent="0.3">
      <c r="A139" s="136" t="s">
        <v>133</v>
      </c>
      <c r="B139" s="130" t="s">
        <v>311</v>
      </c>
      <c r="C139" s="277">
        <v>283</v>
      </c>
      <c r="D139" s="276" t="s">
        <v>623</v>
      </c>
      <c r="E139" s="222">
        <v>0</v>
      </c>
      <c r="F139" s="222">
        <f t="shared" si="5"/>
        <v>0</v>
      </c>
      <c r="G139" s="222">
        <f t="shared" si="6"/>
        <v>0</v>
      </c>
      <c r="H139" s="225"/>
      <c r="I139" s="225"/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5"/>
      <c r="W139" s="225"/>
      <c r="X139" s="225"/>
      <c r="Y139" s="225"/>
      <c r="Z139" s="225"/>
      <c r="AA139" s="225"/>
      <c r="AB139" s="225"/>
      <c r="AC139" s="225"/>
      <c r="AD139" s="225"/>
      <c r="AE139" s="225"/>
      <c r="AF139" s="225"/>
      <c r="AG139" s="225"/>
      <c r="AH139" s="225"/>
      <c r="AI139" s="225"/>
      <c r="AJ139" s="226"/>
      <c r="AK139" s="226"/>
      <c r="AL139" s="226"/>
      <c r="AM139" s="226"/>
      <c r="AN139" s="226"/>
      <c r="AO139" s="225"/>
      <c r="AP139" s="226"/>
      <c r="AQ139" s="226"/>
      <c r="AR139" s="226"/>
      <c r="AS139" s="226"/>
      <c r="AT139" s="226"/>
      <c r="AU139" s="226"/>
      <c r="AV139" s="226"/>
      <c r="AW139" s="226"/>
      <c r="AX139" s="226"/>
    </row>
    <row r="140" spans="1:66" ht="16.5" thickBot="1" x14ac:dyDescent="0.3">
      <c r="A140" s="136" t="s">
        <v>134</v>
      </c>
      <c r="B140" s="130" t="s">
        <v>312</v>
      </c>
      <c r="C140" s="277">
        <v>495</v>
      </c>
      <c r="D140" s="276" t="s">
        <v>623</v>
      </c>
      <c r="E140" s="222">
        <v>0</v>
      </c>
      <c r="F140" s="222">
        <f t="shared" si="5"/>
        <v>0</v>
      </c>
      <c r="G140" s="222">
        <f t="shared" si="6"/>
        <v>0</v>
      </c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  <c r="Y140" s="225"/>
      <c r="Z140" s="225"/>
      <c r="AA140" s="225"/>
      <c r="AB140" s="225"/>
      <c r="AC140" s="225"/>
      <c r="AD140" s="225"/>
      <c r="AE140" s="225"/>
      <c r="AF140" s="225"/>
      <c r="AG140" s="225"/>
      <c r="AH140" s="225"/>
      <c r="AI140" s="225"/>
      <c r="AJ140" s="226"/>
      <c r="AK140" s="226"/>
      <c r="AL140" s="226"/>
      <c r="AM140" s="226"/>
      <c r="AN140" s="226"/>
      <c r="AO140" s="225"/>
      <c r="AP140" s="226"/>
      <c r="AQ140" s="226"/>
      <c r="AR140" s="226"/>
      <c r="AS140" s="226"/>
      <c r="AT140" s="226"/>
      <c r="AU140" s="226"/>
      <c r="AV140" s="226"/>
      <c r="AW140" s="226"/>
      <c r="AX140" s="226"/>
    </row>
    <row r="141" spans="1:66" ht="16.5" thickBot="1" x14ac:dyDescent="0.3">
      <c r="A141" s="136" t="s">
        <v>135</v>
      </c>
      <c r="B141" s="130" t="s">
        <v>313</v>
      </c>
      <c r="C141" s="277">
        <v>8834</v>
      </c>
      <c r="D141" s="136" t="s">
        <v>372</v>
      </c>
      <c r="E141" s="222">
        <v>0</v>
      </c>
      <c r="F141" s="222">
        <f t="shared" ref="F141:F196" si="9">SUM(H141:AT141)</f>
        <v>0</v>
      </c>
      <c r="G141" s="222">
        <f t="shared" ref="G141:G196" si="10">E141-(F141+AW141+AX141)</f>
        <v>0</v>
      </c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25"/>
      <c r="AF141" s="225"/>
      <c r="AG141" s="225"/>
      <c r="AH141" s="225"/>
      <c r="AI141" s="225"/>
      <c r="AJ141" s="226"/>
      <c r="AK141" s="226"/>
      <c r="AL141" s="226"/>
      <c r="AM141" s="226"/>
      <c r="AN141" s="226"/>
      <c r="AO141" s="225"/>
      <c r="AP141" s="226"/>
      <c r="AQ141" s="226"/>
      <c r="AR141" s="226"/>
      <c r="AS141" s="226"/>
      <c r="AT141" s="226"/>
      <c r="AU141" s="226"/>
      <c r="AV141" s="226"/>
      <c r="AW141" s="226"/>
      <c r="AX141" s="226"/>
    </row>
    <row r="142" spans="1:66" ht="16.5" thickBot="1" x14ac:dyDescent="0.3">
      <c r="A142" s="136" t="s">
        <v>136</v>
      </c>
      <c r="B142" s="130" t="s">
        <v>314</v>
      </c>
      <c r="C142" s="277">
        <v>919</v>
      </c>
      <c r="D142" s="276" t="s">
        <v>623</v>
      </c>
      <c r="E142" s="222">
        <v>0</v>
      </c>
      <c r="F142" s="222">
        <f t="shared" si="9"/>
        <v>0</v>
      </c>
      <c r="G142" s="222">
        <f t="shared" si="10"/>
        <v>0</v>
      </c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  <c r="AH142" s="225"/>
      <c r="AI142" s="225"/>
      <c r="AJ142" s="226"/>
      <c r="AK142" s="226"/>
      <c r="AL142" s="226"/>
      <c r="AM142" s="226"/>
      <c r="AN142" s="226"/>
      <c r="AO142" s="225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66" ht="16.5" thickBot="1" x14ac:dyDescent="0.3">
      <c r="A143" s="136" t="s">
        <v>137</v>
      </c>
      <c r="B143" s="130" t="s">
        <v>315</v>
      </c>
      <c r="C143" s="277">
        <v>6784</v>
      </c>
      <c r="D143" s="276" t="s">
        <v>623</v>
      </c>
      <c r="E143" s="222">
        <v>0</v>
      </c>
      <c r="F143" s="222">
        <f t="shared" si="9"/>
        <v>0</v>
      </c>
      <c r="G143" s="222">
        <f t="shared" si="10"/>
        <v>0</v>
      </c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225"/>
      <c r="AG143" s="225"/>
      <c r="AH143" s="225"/>
      <c r="AI143" s="225"/>
      <c r="AJ143" s="226"/>
      <c r="AK143" s="226"/>
      <c r="AL143" s="226"/>
      <c r="AM143" s="226"/>
      <c r="AN143" s="226"/>
      <c r="AO143" s="225"/>
      <c r="AP143" s="226"/>
      <c r="AQ143" s="226"/>
      <c r="AR143" s="226"/>
      <c r="AS143" s="226"/>
      <c r="AT143" s="226"/>
      <c r="AU143" s="226"/>
      <c r="AV143" s="226"/>
      <c r="AW143" s="226"/>
      <c r="AX143" s="226"/>
    </row>
    <row r="144" spans="1:66" ht="16.5" thickBot="1" x14ac:dyDescent="0.3">
      <c r="A144" s="136" t="s">
        <v>138</v>
      </c>
      <c r="B144" s="130" t="s">
        <v>316</v>
      </c>
      <c r="C144" s="277">
        <v>2403</v>
      </c>
      <c r="D144" s="136" t="s">
        <v>401</v>
      </c>
      <c r="E144" s="222">
        <v>0</v>
      </c>
      <c r="F144" s="222">
        <f t="shared" si="9"/>
        <v>0</v>
      </c>
      <c r="G144" s="222">
        <f t="shared" si="10"/>
        <v>0</v>
      </c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  <c r="AF144" s="225"/>
      <c r="AG144" s="225"/>
      <c r="AH144" s="225"/>
      <c r="AI144" s="225"/>
      <c r="AJ144" s="226"/>
      <c r="AK144" s="226"/>
      <c r="AL144" s="226"/>
      <c r="AM144" s="226"/>
      <c r="AN144" s="226"/>
      <c r="AO144" s="225"/>
      <c r="AP144" s="226"/>
      <c r="AQ144" s="226"/>
      <c r="AR144" s="226"/>
      <c r="AS144" s="226"/>
      <c r="AT144" s="226"/>
      <c r="AU144" s="226"/>
      <c r="AV144" s="226"/>
      <c r="AW144" s="226"/>
      <c r="AX144" s="226"/>
    </row>
    <row r="145" spans="1:50" ht="16.5" thickBot="1" x14ac:dyDescent="0.3">
      <c r="A145" s="136" t="s">
        <v>139</v>
      </c>
      <c r="B145" s="130" t="s">
        <v>317</v>
      </c>
      <c r="C145" s="277">
        <v>7915</v>
      </c>
      <c r="D145" s="136" t="s">
        <v>401</v>
      </c>
      <c r="E145" s="222">
        <v>0</v>
      </c>
      <c r="F145" s="222">
        <f t="shared" si="9"/>
        <v>0</v>
      </c>
      <c r="G145" s="222">
        <f t="shared" si="10"/>
        <v>0</v>
      </c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  <c r="AF145" s="225"/>
      <c r="AG145" s="225"/>
      <c r="AH145" s="225"/>
      <c r="AI145" s="225"/>
      <c r="AJ145" s="226"/>
      <c r="AK145" s="226"/>
      <c r="AL145" s="226"/>
      <c r="AM145" s="226"/>
      <c r="AN145" s="226"/>
      <c r="AO145" s="225"/>
      <c r="AP145" s="226"/>
      <c r="AQ145" s="226"/>
      <c r="AR145" s="226"/>
      <c r="AS145" s="226"/>
      <c r="AT145" s="226"/>
      <c r="AU145" s="226"/>
      <c r="AV145" s="226"/>
      <c r="AW145" s="226"/>
      <c r="AX145" s="226"/>
    </row>
    <row r="146" spans="1:50" ht="16.5" thickBot="1" x14ac:dyDescent="0.3">
      <c r="A146" s="136" t="s">
        <v>140</v>
      </c>
      <c r="B146" s="130" t="s">
        <v>318</v>
      </c>
      <c r="C146" s="277">
        <v>3958</v>
      </c>
      <c r="D146" s="136" t="s">
        <v>401</v>
      </c>
      <c r="E146" s="222">
        <v>0</v>
      </c>
      <c r="F146" s="222">
        <f t="shared" si="9"/>
        <v>0</v>
      </c>
      <c r="G146" s="222">
        <f t="shared" si="10"/>
        <v>0</v>
      </c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25"/>
      <c r="AF146" s="225"/>
      <c r="AG146" s="225"/>
      <c r="AH146" s="225"/>
      <c r="AI146" s="225"/>
      <c r="AJ146" s="226"/>
      <c r="AK146" s="226"/>
      <c r="AL146" s="226"/>
      <c r="AM146" s="226"/>
      <c r="AN146" s="226"/>
      <c r="AO146" s="225"/>
      <c r="AP146" s="226"/>
      <c r="AQ146" s="226"/>
      <c r="AR146" s="226"/>
      <c r="AS146" s="226"/>
      <c r="AT146" s="226"/>
      <c r="AU146" s="226"/>
      <c r="AV146" s="226"/>
      <c r="AW146" s="226"/>
      <c r="AX146" s="226"/>
    </row>
    <row r="147" spans="1:50" ht="16.5" thickBot="1" x14ac:dyDescent="0.3">
      <c r="A147" s="136" t="s">
        <v>141</v>
      </c>
      <c r="B147" s="130" t="s">
        <v>319</v>
      </c>
      <c r="C147" s="277">
        <v>353</v>
      </c>
      <c r="D147" s="136" t="s">
        <v>401</v>
      </c>
      <c r="E147" s="222">
        <v>0</v>
      </c>
      <c r="F147" s="222">
        <f t="shared" si="9"/>
        <v>0</v>
      </c>
      <c r="G147" s="222">
        <f t="shared" si="10"/>
        <v>0</v>
      </c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  <c r="AH147" s="225"/>
      <c r="AI147" s="225"/>
      <c r="AJ147" s="226"/>
      <c r="AK147" s="226"/>
      <c r="AL147" s="226"/>
      <c r="AM147" s="226"/>
      <c r="AN147" s="226"/>
      <c r="AO147" s="225"/>
      <c r="AP147" s="226"/>
      <c r="AQ147" s="226"/>
      <c r="AR147" s="226"/>
      <c r="AS147" s="226"/>
      <c r="AT147" s="226"/>
      <c r="AU147" s="226"/>
      <c r="AV147" s="226"/>
      <c r="AW147" s="226"/>
      <c r="AX147" s="226"/>
    </row>
    <row r="148" spans="1:50" ht="16.5" thickBot="1" x14ac:dyDescent="0.3">
      <c r="A148" s="136" t="s">
        <v>142</v>
      </c>
      <c r="B148" s="130" t="s">
        <v>320</v>
      </c>
      <c r="C148" s="277">
        <v>64593</v>
      </c>
      <c r="D148" s="136"/>
      <c r="E148" s="222">
        <f>C148</f>
        <v>64593</v>
      </c>
      <c r="F148" s="222">
        <f t="shared" si="9"/>
        <v>64593</v>
      </c>
      <c r="G148" s="222">
        <f t="shared" si="10"/>
        <v>0</v>
      </c>
      <c r="H148" s="225"/>
      <c r="I148" s="225"/>
      <c r="J148" s="225"/>
      <c r="K148" s="225"/>
      <c r="L148" s="225"/>
      <c r="M148" s="225"/>
      <c r="N148" s="225">
        <v>1624.66</v>
      </c>
      <c r="O148" s="225">
        <v>3917.38</v>
      </c>
      <c r="P148" s="225">
        <v>8646.67</v>
      </c>
      <c r="Q148" s="225">
        <v>1067.0899999999999</v>
      </c>
      <c r="R148" s="225">
        <v>8285.5</v>
      </c>
      <c r="S148" s="225">
        <v>2463.25</v>
      </c>
      <c r="T148" s="225"/>
      <c r="U148" s="225"/>
      <c r="V148" s="225">
        <v>6992.31</v>
      </c>
      <c r="W148" s="225">
        <v>130.16</v>
      </c>
      <c r="X148" s="225">
        <v>11709.64</v>
      </c>
      <c r="Y148" s="225">
        <v>8278.07</v>
      </c>
      <c r="Z148" s="225">
        <v>5266.56</v>
      </c>
      <c r="AA148" s="225">
        <v>6211.71</v>
      </c>
      <c r="AB148" s="225"/>
      <c r="AC148" s="225"/>
      <c r="AD148" s="225"/>
      <c r="AE148" s="225"/>
      <c r="AF148" s="225"/>
      <c r="AG148" s="225"/>
      <c r="AH148" s="225"/>
      <c r="AI148" s="225"/>
      <c r="AJ148" s="226"/>
      <c r="AK148" s="226"/>
      <c r="AL148" s="226"/>
      <c r="AM148" s="226"/>
      <c r="AN148" s="226"/>
      <c r="AO148" s="225"/>
      <c r="AP148" s="226"/>
      <c r="AQ148" s="226"/>
      <c r="AR148" s="226"/>
      <c r="AS148" s="226"/>
      <c r="AT148" s="226"/>
      <c r="AU148" s="226"/>
      <c r="AV148" s="226"/>
      <c r="AW148" s="226"/>
      <c r="AX148" s="226"/>
    </row>
    <row r="149" spans="1:50" ht="16.5" thickBot="1" x14ac:dyDescent="0.3">
      <c r="A149" s="136" t="s">
        <v>143</v>
      </c>
      <c r="B149" s="130" t="s">
        <v>321</v>
      </c>
      <c r="C149" s="277">
        <v>26148</v>
      </c>
      <c r="D149" s="136"/>
      <c r="E149" s="222">
        <f>C149</f>
        <v>26148</v>
      </c>
      <c r="F149" s="222">
        <f t="shared" si="9"/>
        <v>26148</v>
      </c>
      <c r="G149" s="222">
        <f t="shared" si="10"/>
        <v>0</v>
      </c>
      <c r="H149" s="225"/>
      <c r="I149" s="225"/>
      <c r="J149" s="225"/>
      <c r="K149" s="225"/>
      <c r="L149" s="225"/>
      <c r="M149" s="225"/>
      <c r="N149" s="225"/>
      <c r="O149" s="225"/>
      <c r="P149" s="225">
        <v>4041.73</v>
      </c>
      <c r="Q149" s="225"/>
      <c r="R149" s="225">
        <v>783.82</v>
      </c>
      <c r="S149" s="225">
        <v>3919.1</v>
      </c>
      <c r="T149" s="225"/>
      <c r="U149" s="225"/>
      <c r="V149" s="225"/>
      <c r="W149" s="225"/>
      <c r="X149" s="225"/>
      <c r="Y149" s="225"/>
      <c r="Z149" s="225">
        <v>191.84</v>
      </c>
      <c r="AA149" s="225"/>
      <c r="AB149" s="225"/>
      <c r="AC149" s="225"/>
      <c r="AD149" s="225">
        <v>2021.47</v>
      </c>
      <c r="AE149" s="225"/>
      <c r="AF149" s="225">
        <v>8848.32</v>
      </c>
      <c r="AG149" s="225">
        <v>6341.72</v>
      </c>
      <c r="AH149" s="225"/>
      <c r="AI149" s="225"/>
      <c r="AJ149" s="226"/>
      <c r="AK149" s="226"/>
      <c r="AL149" s="226"/>
      <c r="AM149" s="226"/>
      <c r="AN149" s="226"/>
      <c r="AO149" s="225"/>
      <c r="AP149" s="226"/>
      <c r="AQ149" s="226"/>
      <c r="AR149" s="226"/>
      <c r="AS149" s="226"/>
      <c r="AT149" s="226"/>
      <c r="AU149" s="226"/>
      <c r="AV149" s="226"/>
      <c r="AW149" s="226"/>
      <c r="AX149" s="226"/>
    </row>
    <row r="150" spans="1:50" ht="16.5" thickBot="1" x14ac:dyDescent="0.3">
      <c r="A150" s="136" t="s">
        <v>144</v>
      </c>
      <c r="B150" s="130" t="s">
        <v>322</v>
      </c>
      <c r="C150" s="277">
        <v>2968</v>
      </c>
      <c r="D150" s="136" t="s">
        <v>373</v>
      </c>
      <c r="E150" s="222">
        <v>0</v>
      </c>
      <c r="F150" s="222">
        <f t="shared" si="9"/>
        <v>0</v>
      </c>
      <c r="G150" s="222">
        <f t="shared" si="10"/>
        <v>0</v>
      </c>
      <c r="H150" s="225"/>
      <c r="I150" s="225"/>
      <c r="J150" s="225"/>
      <c r="K150" s="225"/>
      <c r="L150" s="225"/>
      <c r="M150" s="225"/>
      <c r="N150" s="225"/>
      <c r="O150" s="225"/>
      <c r="P150" s="225"/>
      <c r="Q150" s="225"/>
      <c r="R150" s="225"/>
      <c r="S150" s="225"/>
      <c r="T150" s="225"/>
      <c r="U150" s="225"/>
      <c r="V150" s="225"/>
      <c r="W150" s="225"/>
      <c r="X150" s="225"/>
      <c r="Y150" s="225"/>
      <c r="Z150" s="225"/>
      <c r="AA150" s="225"/>
      <c r="AB150" s="225"/>
      <c r="AC150" s="225"/>
      <c r="AD150" s="225"/>
      <c r="AE150" s="225"/>
      <c r="AF150" s="225"/>
      <c r="AG150" s="225"/>
      <c r="AH150" s="225"/>
      <c r="AI150" s="225"/>
      <c r="AJ150" s="226"/>
      <c r="AK150" s="226"/>
      <c r="AL150" s="226"/>
      <c r="AM150" s="226"/>
      <c r="AN150" s="226"/>
      <c r="AO150" s="225"/>
      <c r="AP150" s="226"/>
      <c r="AQ150" s="226"/>
      <c r="AR150" s="226"/>
      <c r="AS150" s="226"/>
      <c r="AT150" s="226"/>
      <c r="AU150" s="226"/>
      <c r="AV150" s="226"/>
      <c r="AW150" s="226"/>
      <c r="AX150" s="226"/>
    </row>
    <row r="151" spans="1:50" ht="16.5" thickBot="1" x14ac:dyDescent="0.3">
      <c r="A151" s="136" t="s">
        <v>145</v>
      </c>
      <c r="B151" s="130" t="s">
        <v>323</v>
      </c>
      <c r="C151" s="277">
        <v>353</v>
      </c>
      <c r="D151" s="276" t="s">
        <v>623</v>
      </c>
      <c r="E151" s="222">
        <v>0</v>
      </c>
      <c r="F151" s="222">
        <f t="shared" si="9"/>
        <v>0</v>
      </c>
      <c r="G151" s="222">
        <f t="shared" si="10"/>
        <v>0</v>
      </c>
      <c r="H151" s="225"/>
      <c r="I151" s="225"/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25"/>
      <c r="U151" s="225"/>
      <c r="V151" s="225"/>
      <c r="W151" s="225"/>
      <c r="X151" s="225"/>
      <c r="Y151" s="225"/>
      <c r="Z151" s="225"/>
      <c r="AA151" s="225"/>
      <c r="AB151" s="225"/>
      <c r="AC151" s="225"/>
      <c r="AD151" s="225"/>
      <c r="AE151" s="225"/>
      <c r="AF151" s="225"/>
      <c r="AG151" s="225"/>
      <c r="AH151" s="225"/>
      <c r="AI151" s="225"/>
      <c r="AJ151" s="226"/>
      <c r="AK151" s="226"/>
      <c r="AL151" s="226"/>
      <c r="AM151" s="226"/>
      <c r="AN151" s="226"/>
      <c r="AO151" s="225"/>
      <c r="AP151" s="226"/>
      <c r="AQ151" s="226"/>
      <c r="AR151" s="226"/>
      <c r="AS151" s="226"/>
      <c r="AT151" s="226"/>
      <c r="AU151" s="226"/>
      <c r="AV151" s="226"/>
      <c r="AW151" s="226"/>
      <c r="AX151" s="226"/>
    </row>
    <row r="152" spans="1:50" ht="16.5" thickBot="1" x14ac:dyDescent="0.3">
      <c r="A152" s="136" t="s">
        <v>146</v>
      </c>
      <c r="B152" s="130" t="s">
        <v>324</v>
      </c>
      <c r="C152" s="277">
        <v>565</v>
      </c>
      <c r="D152" s="136" t="s">
        <v>400</v>
      </c>
      <c r="E152" s="222">
        <v>0</v>
      </c>
      <c r="F152" s="222">
        <f t="shared" si="9"/>
        <v>0</v>
      </c>
      <c r="G152" s="222">
        <f t="shared" si="10"/>
        <v>0</v>
      </c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25"/>
      <c r="U152" s="225"/>
      <c r="V152" s="225"/>
      <c r="W152" s="225"/>
      <c r="X152" s="225"/>
      <c r="Y152" s="225"/>
      <c r="Z152" s="225"/>
      <c r="AA152" s="225"/>
      <c r="AB152" s="225"/>
      <c r="AC152" s="225"/>
      <c r="AD152" s="225"/>
      <c r="AE152" s="225"/>
      <c r="AF152" s="225"/>
      <c r="AG152" s="225"/>
      <c r="AH152" s="225"/>
      <c r="AI152" s="225"/>
      <c r="AJ152" s="226"/>
      <c r="AK152" s="226"/>
      <c r="AL152" s="226"/>
      <c r="AM152" s="226"/>
      <c r="AN152" s="226"/>
      <c r="AO152" s="225"/>
      <c r="AP152" s="226"/>
      <c r="AQ152" s="226"/>
      <c r="AR152" s="226"/>
      <c r="AS152" s="226"/>
      <c r="AT152" s="226"/>
      <c r="AU152" s="226"/>
      <c r="AV152" s="226"/>
      <c r="AW152" s="226"/>
      <c r="AX152" s="226"/>
    </row>
    <row r="153" spans="1:50" ht="16.5" thickBot="1" x14ac:dyDescent="0.3">
      <c r="A153" s="136" t="s">
        <v>147</v>
      </c>
      <c r="B153" s="130" t="s">
        <v>325</v>
      </c>
      <c r="C153" s="277">
        <v>6572</v>
      </c>
      <c r="D153" s="136" t="s">
        <v>400</v>
      </c>
      <c r="E153" s="222">
        <v>0</v>
      </c>
      <c r="F153" s="222">
        <f t="shared" si="9"/>
        <v>0</v>
      </c>
      <c r="G153" s="222">
        <f t="shared" si="10"/>
        <v>0</v>
      </c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  <c r="W153" s="225"/>
      <c r="X153" s="225"/>
      <c r="Y153" s="225"/>
      <c r="Z153" s="225"/>
      <c r="AA153" s="225"/>
      <c r="AB153" s="225"/>
      <c r="AC153" s="225"/>
      <c r="AD153" s="225"/>
      <c r="AE153" s="225"/>
      <c r="AF153" s="225"/>
      <c r="AG153" s="225"/>
      <c r="AH153" s="225"/>
      <c r="AI153" s="225"/>
      <c r="AJ153" s="226"/>
      <c r="AK153" s="226"/>
      <c r="AL153" s="226"/>
      <c r="AM153" s="226"/>
      <c r="AN153" s="226"/>
      <c r="AO153" s="225"/>
      <c r="AP153" s="226"/>
      <c r="AQ153" s="226"/>
      <c r="AR153" s="226"/>
      <c r="AS153" s="226"/>
      <c r="AT153" s="226"/>
      <c r="AU153" s="226"/>
      <c r="AV153" s="226"/>
      <c r="AW153" s="226"/>
      <c r="AX153" s="226"/>
    </row>
    <row r="154" spans="1:50" ht="16.5" thickBot="1" x14ac:dyDescent="0.3">
      <c r="A154" s="136" t="s">
        <v>148</v>
      </c>
      <c r="B154" s="130" t="s">
        <v>326</v>
      </c>
      <c r="C154" s="277">
        <v>636</v>
      </c>
      <c r="D154" s="136" t="s">
        <v>400</v>
      </c>
      <c r="E154" s="222">
        <v>0</v>
      </c>
      <c r="F154" s="222">
        <f t="shared" si="9"/>
        <v>0</v>
      </c>
      <c r="G154" s="222">
        <f t="shared" si="10"/>
        <v>0</v>
      </c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  <c r="U154" s="225"/>
      <c r="V154" s="225"/>
      <c r="W154" s="225"/>
      <c r="X154" s="225"/>
      <c r="Y154" s="225"/>
      <c r="Z154" s="225"/>
      <c r="AA154" s="225"/>
      <c r="AB154" s="225"/>
      <c r="AC154" s="225"/>
      <c r="AD154" s="225"/>
      <c r="AE154" s="225"/>
      <c r="AF154" s="225"/>
      <c r="AG154" s="225"/>
      <c r="AH154" s="225"/>
      <c r="AI154" s="225"/>
      <c r="AJ154" s="226"/>
      <c r="AK154" s="226"/>
      <c r="AL154" s="226"/>
      <c r="AM154" s="226"/>
      <c r="AN154" s="226"/>
      <c r="AO154" s="225"/>
      <c r="AP154" s="226"/>
      <c r="AQ154" s="226"/>
      <c r="AR154" s="226"/>
      <c r="AS154" s="226"/>
      <c r="AT154" s="226"/>
      <c r="AU154" s="226"/>
      <c r="AV154" s="226"/>
      <c r="AW154" s="226"/>
      <c r="AX154" s="226"/>
    </row>
    <row r="155" spans="1:50" ht="16.5" thickBot="1" x14ac:dyDescent="0.3">
      <c r="A155" s="136" t="s">
        <v>149</v>
      </c>
      <c r="B155" s="130" t="s">
        <v>327</v>
      </c>
      <c r="C155" s="277">
        <v>1060</v>
      </c>
      <c r="D155" s="136" t="s">
        <v>373</v>
      </c>
      <c r="E155" s="222">
        <v>0</v>
      </c>
      <c r="F155" s="222">
        <f t="shared" si="9"/>
        <v>0</v>
      </c>
      <c r="G155" s="222">
        <f t="shared" si="10"/>
        <v>0</v>
      </c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225"/>
      <c r="T155" s="225"/>
      <c r="U155" s="225"/>
      <c r="V155" s="225"/>
      <c r="W155" s="225"/>
      <c r="X155" s="225"/>
      <c r="Y155" s="225"/>
      <c r="Z155" s="225"/>
      <c r="AA155" s="225"/>
      <c r="AB155" s="225"/>
      <c r="AC155" s="225"/>
      <c r="AD155" s="225"/>
      <c r="AE155" s="225"/>
      <c r="AF155" s="225"/>
      <c r="AG155" s="225"/>
      <c r="AH155" s="225"/>
      <c r="AI155" s="225"/>
      <c r="AJ155" s="226"/>
      <c r="AK155" s="226"/>
      <c r="AL155" s="226"/>
      <c r="AM155" s="226"/>
      <c r="AN155" s="226"/>
      <c r="AO155" s="225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50" ht="16.5" thickBot="1" x14ac:dyDescent="0.3">
      <c r="A156" s="136" t="s">
        <v>150</v>
      </c>
      <c r="B156" s="130" t="s">
        <v>328</v>
      </c>
      <c r="C156" s="277">
        <v>16042</v>
      </c>
      <c r="D156" s="136"/>
      <c r="E156" s="222">
        <v>16890</v>
      </c>
      <c r="F156" s="222">
        <f t="shared" si="9"/>
        <v>16890</v>
      </c>
      <c r="G156" s="222">
        <f t="shared" si="10"/>
        <v>0</v>
      </c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>
        <v>16749</v>
      </c>
      <c r="T156" s="225"/>
      <c r="U156" s="225"/>
      <c r="V156" s="225">
        <v>141</v>
      </c>
      <c r="W156" s="225"/>
      <c r="X156" s="225"/>
      <c r="Y156" s="225"/>
      <c r="Z156" s="225"/>
      <c r="AA156" s="225"/>
      <c r="AB156" s="225"/>
      <c r="AC156" s="225"/>
      <c r="AD156" s="225"/>
      <c r="AE156" s="225"/>
      <c r="AF156" s="225"/>
      <c r="AG156" s="225"/>
      <c r="AH156" s="225"/>
      <c r="AI156" s="225"/>
      <c r="AJ156" s="226"/>
      <c r="AK156" s="226"/>
      <c r="AL156" s="226"/>
      <c r="AM156" s="226"/>
      <c r="AN156" s="226"/>
      <c r="AO156" s="225"/>
      <c r="AP156" s="226"/>
      <c r="AQ156" s="226"/>
      <c r="AR156" s="226"/>
      <c r="AS156" s="226"/>
      <c r="AT156" s="226"/>
      <c r="AU156" s="226"/>
      <c r="AV156" s="226"/>
      <c r="AW156" s="226"/>
      <c r="AX156" s="226"/>
    </row>
    <row r="157" spans="1:50" ht="16.5" thickBot="1" x14ac:dyDescent="0.3">
      <c r="A157" s="136" t="s">
        <v>151</v>
      </c>
      <c r="B157" s="130" t="s">
        <v>329</v>
      </c>
      <c r="C157" s="277">
        <v>848</v>
      </c>
      <c r="D157" s="136" t="s">
        <v>150</v>
      </c>
      <c r="E157" s="222">
        <v>0</v>
      </c>
      <c r="F157" s="222">
        <f t="shared" si="9"/>
        <v>0</v>
      </c>
      <c r="G157" s="222">
        <f t="shared" si="10"/>
        <v>0</v>
      </c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25"/>
      <c r="X157" s="225"/>
      <c r="Y157" s="225"/>
      <c r="Z157" s="225"/>
      <c r="AA157" s="225"/>
      <c r="AB157" s="225"/>
      <c r="AC157" s="225"/>
      <c r="AD157" s="225"/>
      <c r="AE157" s="225"/>
      <c r="AF157" s="225"/>
      <c r="AG157" s="225"/>
      <c r="AH157" s="225"/>
      <c r="AI157" s="225"/>
      <c r="AJ157" s="226"/>
      <c r="AK157" s="226"/>
      <c r="AL157" s="226"/>
      <c r="AM157" s="226"/>
      <c r="AN157" s="226"/>
      <c r="AO157" s="225"/>
      <c r="AP157" s="226"/>
      <c r="AQ157" s="226"/>
      <c r="AR157" s="226"/>
      <c r="AS157" s="226"/>
      <c r="AT157" s="226"/>
      <c r="AU157" s="226"/>
      <c r="AV157" s="226"/>
      <c r="AW157" s="226"/>
      <c r="AX157" s="226"/>
    </row>
    <row r="158" spans="1:50" ht="16.5" thickBot="1" x14ac:dyDescent="0.3">
      <c r="A158" s="136" t="s">
        <v>152</v>
      </c>
      <c r="B158" s="130" t="s">
        <v>330</v>
      </c>
      <c r="C158" s="277">
        <v>141</v>
      </c>
      <c r="D158" s="136" t="s">
        <v>400</v>
      </c>
      <c r="E158" s="222">
        <v>0</v>
      </c>
      <c r="F158" s="222">
        <f t="shared" si="9"/>
        <v>0</v>
      </c>
      <c r="G158" s="222">
        <f t="shared" si="10"/>
        <v>0</v>
      </c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5"/>
      <c r="W158" s="225"/>
      <c r="X158" s="225"/>
      <c r="Y158" s="225"/>
      <c r="Z158" s="225"/>
      <c r="AA158" s="225"/>
      <c r="AB158" s="225"/>
      <c r="AC158" s="225"/>
      <c r="AD158" s="225"/>
      <c r="AE158" s="225"/>
      <c r="AF158" s="225"/>
      <c r="AG158" s="225"/>
      <c r="AH158" s="225"/>
      <c r="AI158" s="225"/>
      <c r="AJ158" s="226"/>
      <c r="AK158" s="226"/>
      <c r="AL158" s="226"/>
      <c r="AM158" s="226"/>
      <c r="AN158" s="226"/>
      <c r="AO158" s="225"/>
      <c r="AP158" s="226"/>
      <c r="AQ158" s="226"/>
      <c r="AR158" s="226"/>
      <c r="AS158" s="226"/>
      <c r="AT158" s="226"/>
      <c r="AU158" s="226"/>
      <c r="AV158" s="226"/>
      <c r="AW158" s="226"/>
      <c r="AX158" s="226"/>
    </row>
    <row r="159" spans="1:50" ht="16.5" thickBot="1" x14ac:dyDescent="0.3">
      <c r="A159" s="136" t="s">
        <v>153</v>
      </c>
      <c r="B159" s="130" t="s">
        <v>331</v>
      </c>
      <c r="C159" s="277">
        <v>424</v>
      </c>
      <c r="D159" s="276" t="s">
        <v>623</v>
      </c>
      <c r="E159" s="222">
        <v>0</v>
      </c>
      <c r="F159" s="222">
        <f t="shared" si="9"/>
        <v>0</v>
      </c>
      <c r="G159" s="222">
        <f t="shared" si="10"/>
        <v>0</v>
      </c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  <c r="Z159" s="225"/>
      <c r="AA159" s="225"/>
      <c r="AB159" s="225"/>
      <c r="AC159" s="225"/>
      <c r="AD159" s="225"/>
      <c r="AE159" s="225"/>
      <c r="AF159" s="225"/>
      <c r="AG159" s="225"/>
      <c r="AH159" s="225"/>
      <c r="AI159" s="225"/>
      <c r="AJ159" s="226"/>
      <c r="AK159" s="226"/>
      <c r="AL159" s="226"/>
      <c r="AM159" s="226"/>
      <c r="AN159" s="226"/>
      <c r="AO159" s="225"/>
      <c r="AP159" s="226"/>
      <c r="AQ159" s="226"/>
      <c r="AR159" s="226"/>
      <c r="AS159" s="226"/>
      <c r="AT159" s="226"/>
      <c r="AU159" s="226"/>
      <c r="AV159" s="226"/>
      <c r="AW159" s="226"/>
      <c r="AX159" s="226"/>
    </row>
    <row r="160" spans="1:50" ht="16.5" thickBot="1" x14ac:dyDescent="0.3">
      <c r="A160" s="136" t="s">
        <v>154</v>
      </c>
      <c r="B160" s="130" t="s">
        <v>332</v>
      </c>
      <c r="C160" s="277">
        <v>16749</v>
      </c>
      <c r="D160" s="136"/>
      <c r="E160" s="222">
        <f>C160</f>
        <v>16749</v>
      </c>
      <c r="F160" s="222">
        <f t="shared" si="9"/>
        <v>16749</v>
      </c>
      <c r="G160" s="222">
        <f t="shared" si="10"/>
        <v>0</v>
      </c>
      <c r="H160" s="225"/>
      <c r="I160" s="225"/>
      <c r="J160" s="225"/>
      <c r="K160" s="225"/>
      <c r="L160" s="225"/>
      <c r="M160" s="225"/>
      <c r="N160" s="225">
        <v>3722.12</v>
      </c>
      <c r="O160" s="225"/>
      <c r="P160" s="225"/>
      <c r="Q160" s="225">
        <v>4963.41</v>
      </c>
      <c r="R160" s="225"/>
      <c r="S160" s="225">
        <v>2482.21</v>
      </c>
      <c r="T160" s="225"/>
      <c r="U160" s="225"/>
      <c r="V160" s="225">
        <v>2540.84</v>
      </c>
      <c r="W160" s="225"/>
      <c r="X160" s="225"/>
      <c r="Y160" s="225"/>
      <c r="Z160" s="225"/>
      <c r="AA160" s="225"/>
      <c r="AB160" s="225"/>
      <c r="AC160" s="225"/>
      <c r="AD160" s="225"/>
      <c r="AE160" s="225"/>
      <c r="AF160" s="225">
        <v>3040.42</v>
      </c>
      <c r="AG160" s="225"/>
      <c r="AH160" s="225"/>
      <c r="AI160" s="225"/>
      <c r="AJ160" s="226"/>
      <c r="AK160" s="226"/>
      <c r="AL160" s="226"/>
      <c r="AM160" s="226"/>
      <c r="AN160" s="226"/>
      <c r="AO160" s="225"/>
      <c r="AP160" s="226"/>
      <c r="AQ160" s="226"/>
      <c r="AR160" s="226"/>
      <c r="AS160" s="226"/>
      <c r="AT160" s="226"/>
      <c r="AU160" s="226"/>
      <c r="AV160" s="226"/>
      <c r="AW160" s="226"/>
      <c r="AX160" s="226"/>
    </row>
    <row r="161" spans="1:50" ht="16.5" thickBot="1" x14ac:dyDescent="0.3">
      <c r="A161" s="136" t="s">
        <v>155</v>
      </c>
      <c r="B161" s="130" t="s">
        <v>333</v>
      </c>
      <c r="C161" s="277">
        <v>1413</v>
      </c>
      <c r="D161" s="276" t="s">
        <v>623</v>
      </c>
      <c r="E161" s="222">
        <v>0</v>
      </c>
      <c r="F161" s="222">
        <f t="shared" si="9"/>
        <v>0</v>
      </c>
      <c r="G161" s="222">
        <f t="shared" si="10"/>
        <v>0</v>
      </c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25"/>
      <c r="Z161" s="225"/>
      <c r="AA161" s="225"/>
      <c r="AB161" s="225"/>
      <c r="AC161" s="225"/>
      <c r="AD161" s="225"/>
      <c r="AE161" s="225"/>
      <c r="AF161" s="225"/>
      <c r="AG161" s="225"/>
      <c r="AH161" s="225"/>
      <c r="AI161" s="225"/>
      <c r="AJ161" s="226"/>
      <c r="AK161" s="226"/>
      <c r="AL161" s="226"/>
      <c r="AM161" s="226"/>
      <c r="AN161" s="226"/>
      <c r="AO161" s="225"/>
      <c r="AP161" s="226"/>
      <c r="AQ161" s="226"/>
      <c r="AR161" s="226"/>
      <c r="AS161" s="226"/>
      <c r="AT161" s="226"/>
      <c r="AU161" s="226"/>
      <c r="AV161" s="226"/>
      <c r="AW161" s="226"/>
      <c r="AX161" s="226"/>
    </row>
    <row r="162" spans="1:50" ht="16.5" thickBot="1" x14ac:dyDescent="0.3">
      <c r="A162" s="136" t="s">
        <v>156</v>
      </c>
      <c r="B162" s="130" t="s">
        <v>334</v>
      </c>
      <c r="C162" s="277">
        <v>8410</v>
      </c>
      <c r="D162" s="136" t="s">
        <v>22</v>
      </c>
      <c r="E162" s="222">
        <v>0</v>
      </c>
      <c r="F162" s="222">
        <f t="shared" si="9"/>
        <v>0</v>
      </c>
      <c r="G162" s="222">
        <f t="shared" si="10"/>
        <v>0</v>
      </c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  <c r="U162" s="225"/>
      <c r="V162" s="225"/>
      <c r="W162" s="225"/>
      <c r="X162" s="225"/>
      <c r="Y162" s="225"/>
      <c r="Z162" s="225"/>
      <c r="AA162" s="225"/>
      <c r="AB162" s="225"/>
      <c r="AC162" s="225"/>
      <c r="AD162" s="225"/>
      <c r="AE162" s="225"/>
      <c r="AF162" s="225"/>
      <c r="AG162" s="225"/>
      <c r="AH162" s="225"/>
      <c r="AI162" s="225"/>
      <c r="AJ162" s="226"/>
      <c r="AK162" s="226"/>
      <c r="AL162" s="226"/>
      <c r="AM162" s="226"/>
      <c r="AN162" s="226"/>
      <c r="AO162" s="225"/>
      <c r="AP162" s="226"/>
      <c r="AQ162" s="226"/>
      <c r="AR162" s="226"/>
      <c r="AS162" s="226"/>
      <c r="AT162" s="226"/>
      <c r="AU162" s="226"/>
      <c r="AV162" s="226"/>
      <c r="AW162" s="226"/>
      <c r="AX162" s="226"/>
    </row>
    <row r="163" spans="1:50" ht="16.5" thickBot="1" x14ac:dyDescent="0.3">
      <c r="A163" s="136" t="s">
        <v>157</v>
      </c>
      <c r="B163" s="130" t="s">
        <v>335</v>
      </c>
      <c r="C163" s="277">
        <v>424</v>
      </c>
      <c r="D163" s="276" t="s">
        <v>623</v>
      </c>
      <c r="E163" s="222">
        <v>0</v>
      </c>
      <c r="F163" s="222">
        <f t="shared" si="9"/>
        <v>0</v>
      </c>
      <c r="G163" s="222">
        <f t="shared" si="10"/>
        <v>0</v>
      </c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  <c r="W163" s="225"/>
      <c r="X163" s="225"/>
      <c r="Y163" s="225"/>
      <c r="Z163" s="225"/>
      <c r="AA163" s="225"/>
      <c r="AB163" s="225"/>
      <c r="AC163" s="225"/>
      <c r="AD163" s="225"/>
      <c r="AE163" s="225"/>
      <c r="AF163" s="225"/>
      <c r="AG163" s="225"/>
      <c r="AH163" s="225"/>
      <c r="AI163" s="225"/>
      <c r="AJ163" s="226"/>
      <c r="AK163" s="226"/>
      <c r="AL163" s="226"/>
      <c r="AM163" s="226"/>
      <c r="AN163" s="226"/>
      <c r="AO163" s="225"/>
      <c r="AP163" s="226"/>
      <c r="AQ163" s="226"/>
      <c r="AR163" s="226"/>
      <c r="AS163" s="226"/>
      <c r="AT163" s="226"/>
      <c r="AU163" s="226"/>
      <c r="AV163" s="226"/>
      <c r="AW163" s="226"/>
      <c r="AX163" s="226"/>
    </row>
    <row r="164" spans="1:50" ht="16.5" thickBot="1" x14ac:dyDescent="0.3">
      <c r="A164" s="136" t="s">
        <v>158</v>
      </c>
      <c r="B164" s="130" t="s">
        <v>336</v>
      </c>
      <c r="C164" s="277">
        <v>1908</v>
      </c>
      <c r="D164" s="136" t="s">
        <v>372</v>
      </c>
      <c r="E164" s="222">
        <v>0</v>
      </c>
      <c r="F164" s="222">
        <f t="shared" si="9"/>
        <v>0</v>
      </c>
      <c r="G164" s="222">
        <f t="shared" si="10"/>
        <v>0</v>
      </c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  <c r="W164" s="225"/>
      <c r="X164" s="225"/>
      <c r="Y164" s="225"/>
      <c r="Z164" s="225"/>
      <c r="AA164" s="225"/>
      <c r="AB164" s="225"/>
      <c r="AC164" s="225"/>
      <c r="AD164" s="225"/>
      <c r="AE164" s="225"/>
      <c r="AF164" s="225"/>
      <c r="AG164" s="225"/>
      <c r="AH164" s="225"/>
      <c r="AI164" s="225"/>
      <c r="AJ164" s="226"/>
      <c r="AK164" s="226"/>
      <c r="AL164" s="226"/>
      <c r="AM164" s="226"/>
      <c r="AN164" s="226"/>
      <c r="AO164" s="225"/>
      <c r="AP164" s="226"/>
      <c r="AQ164" s="226"/>
      <c r="AR164" s="226"/>
      <c r="AS164" s="226"/>
      <c r="AT164" s="226"/>
      <c r="AU164" s="226"/>
      <c r="AV164" s="226"/>
      <c r="AW164" s="226"/>
      <c r="AX164" s="226"/>
    </row>
    <row r="165" spans="1:50" ht="16.5" thickBot="1" x14ac:dyDescent="0.3">
      <c r="A165" s="136" t="s">
        <v>159</v>
      </c>
      <c r="B165" s="130" t="s">
        <v>616</v>
      </c>
      <c r="C165" s="277">
        <v>0</v>
      </c>
      <c r="D165" s="136"/>
      <c r="E165" s="222">
        <v>0</v>
      </c>
      <c r="F165" s="222">
        <f t="shared" si="9"/>
        <v>0</v>
      </c>
      <c r="G165" s="222">
        <f t="shared" si="10"/>
        <v>0</v>
      </c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25"/>
      <c r="X165" s="225"/>
      <c r="Y165" s="225"/>
      <c r="Z165" s="225"/>
      <c r="AA165" s="225"/>
      <c r="AB165" s="225"/>
      <c r="AC165" s="225"/>
      <c r="AD165" s="225"/>
      <c r="AE165" s="225"/>
      <c r="AF165" s="225"/>
      <c r="AG165" s="225"/>
      <c r="AH165" s="225"/>
      <c r="AI165" s="225"/>
      <c r="AJ165" s="226"/>
      <c r="AK165" s="226"/>
      <c r="AL165" s="226"/>
      <c r="AM165" s="226"/>
      <c r="AN165" s="226"/>
      <c r="AO165" s="225"/>
      <c r="AP165" s="226"/>
      <c r="AQ165" s="226"/>
      <c r="AR165" s="226"/>
      <c r="AS165" s="226"/>
      <c r="AT165" s="226"/>
      <c r="AU165" s="226"/>
      <c r="AV165" s="226"/>
      <c r="AW165" s="226"/>
      <c r="AX165" s="226"/>
    </row>
    <row r="166" spans="1:50" ht="16.5" thickBot="1" x14ac:dyDescent="0.3">
      <c r="A166" s="136" t="s">
        <v>160</v>
      </c>
      <c r="B166" s="130" t="s">
        <v>337</v>
      </c>
      <c r="C166" s="277">
        <v>63816</v>
      </c>
      <c r="D166" s="136"/>
      <c r="E166" s="222">
        <f>C166</f>
        <v>63816</v>
      </c>
      <c r="F166" s="222">
        <f t="shared" si="9"/>
        <v>63816</v>
      </c>
      <c r="G166" s="222">
        <f t="shared" si="10"/>
        <v>0</v>
      </c>
      <c r="H166" s="225"/>
      <c r="I166" s="225"/>
      <c r="J166" s="225"/>
      <c r="K166" s="225">
        <v>1527.33</v>
      </c>
      <c r="L166" s="225">
        <v>4909.3500000000004</v>
      </c>
      <c r="M166" s="225">
        <v>4909.33</v>
      </c>
      <c r="N166" s="225">
        <v>4909.34</v>
      </c>
      <c r="O166" s="225">
        <v>4909.33</v>
      </c>
      <c r="P166" s="225">
        <v>4909.33</v>
      </c>
      <c r="Q166" s="225">
        <v>5469.39</v>
      </c>
      <c r="R166" s="225">
        <v>4989.3599999999997</v>
      </c>
      <c r="S166" s="225">
        <v>4989.3599999999997</v>
      </c>
      <c r="T166" s="225">
        <v>4989.3599999999997</v>
      </c>
      <c r="U166" s="225">
        <v>17304.52</v>
      </c>
      <c r="V166" s="225"/>
      <c r="W166" s="225"/>
      <c r="X166" s="225"/>
      <c r="Y166" s="225"/>
      <c r="Z166" s="225"/>
      <c r="AA166" s="225"/>
      <c r="AB166" s="225"/>
      <c r="AC166" s="225"/>
      <c r="AD166" s="225"/>
      <c r="AE166" s="225"/>
      <c r="AF166" s="225"/>
      <c r="AG166" s="225"/>
      <c r="AH166" s="225"/>
      <c r="AI166" s="225"/>
      <c r="AJ166" s="226"/>
      <c r="AK166" s="226"/>
      <c r="AL166" s="226"/>
      <c r="AM166" s="226"/>
      <c r="AN166" s="226"/>
      <c r="AO166" s="225"/>
      <c r="AP166" s="226"/>
      <c r="AQ166" s="226"/>
      <c r="AR166" s="226"/>
      <c r="AS166" s="226"/>
      <c r="AT166" s="226"/>
      <c r="AU166" s="226"/>
      <c r="AV166" s="226"/>
      <c r="AW166" s="226"/>
      <c r="AX166" s="226"/>
    </row>
    <row r="167" spans="1:50" ht="16.5" thickBot="1" x14ac:dyDescent="0.3">
      <c r="A167" s="136" t="s">
        <v>161</v>
      </c>
      <c r="B167" s="130" t="s">
        <v>338</v>
      </c>
      <c r="C167" s="277">
        <v>0</v>
      </c>
      <c r="D167" s="136"/>
      <c r="E167" s="222">
        <v>0</v>
      </c>
      <c r="F167" s="222">
        <f t="shared" si="9"/>
        <v>0</v>
      </c>
      <c r="G167" s="222">
        <f t="shared" si="10"/>
        <v>0</v>
      </c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5"/>
      <c r="S167" s="225"/>
      <c r="T167" s="225"/>
      <c r="U167" s="225"/>
      <c r="V167" s="225"/>
      <c r="W167" s="225"/>
      <c r="X167" s="225"/>
      <c r="Y167" s="225"/>
      <c r="Z167" s="225"/>
      <c r="AA167" s="225"/>
      <c r="AB167" s="225"/>
      <c r="AC167" s="225"/>
      <c r="AD167" s="225"/>
      <c r="AE167" s="225"/>
      <c r="AF167" s="225"/>
      <c r="AG167" s="225"/>
      <c r="AH167" s="225"/>
      <c r="AI167" s="225"/>
      <c r="AJ167" s="226"/>
      <c r="AK167" s="226"/>
      <c r="AL167" s="226"/>
      <c r="AM167" s="226"/>
      <c r="AN167" s="226"/>
      <c r="AO167" s="225"/>
      <c r="AP167" s="226"/>
      <c r="AQ167" s="226"/>
      <c r="AR167" s="226"/>
      <c r="AS167" s="226"/>
      <c r="AT167" s="226"/>
      <c r="AU167" s="226"/>
      <c r="AV167" s="226"/>
      <c r="AW167" s="226"/>
      <c r="AX167" s="226"/>
    </row>
    <row r="168" spans="1:50" ht="16.5" thickBot="1" x14ac:dyDescent="0.3">
      <c r="A168" s="136" t="s">
        <v>162</v>
      </c>
      <c r="B168" s="130" t="s">
        <v>339</v>
      </c>
      <c r="C168" s="277">
        <v>3816</v>
      </c>
      <c r="D168" s="136" t="s">
        <v>59</v>
      </c>
      <c r="E168" s="222">
        <v>0</v>
      </c>
      <c r="F168" s="222">
        <f t="shared" si="9"/>
        <v>0</v>
      </c>
      <c r="G168" s="222">
        <f t="shared" si="10"/>
        <v>0</v>
      </c>
      <c r="H168" s="225"/>
      <c r="I168" s="225"/>
      <c r="J168" s="225"/>
      <c r="K168" s="225"/>
      <c r="L168" s="225"/>
      <c r="M168" s="225"/>
      <c r="N168" s="225"/>
      <c r="O168" s="225"/>
      <c r="P168" s="225"/>
      <c r="Q168" s="225"/>
      <c r="R168" s="225"/>
      <c r="S168" s="225"/>
      <c r="T168" s="225"/>
      <c r="U168" s="225"/>
      <c r="V168" s="225"/>
      <c r="W168" s="225"/>
      <c r="X168" s="225"/>
      <c r="Y168" s="225"/>
      <c r="Z168" s="225"/>
      <c r="AA168" s="225"/>
      <c r="AB168" s="225"/>
      <c r="AC168" s="225"/>
      <c r="AD168" s="225"/>
      <c r="AE168" s="225"/>
      <c r="AF168" s="225"/>
      <c r="AG168" s="225"/>
      <c r="AH168" s="225"/>
      <c r="AI168" s="225"/>
      <c r="AJ168" s="226"/>
      <c r="AK168" s="226"/>
      <c r="AL168" s="226"/>
      <c r="AM168" s="226"/>
      <c r="AN168" s="226"/>
      <c r="AO168" s="225"/>
      <c r="AP168" s="226"/>
      <c r="AQ168" s="226"/>
      <c r="AR168" s="226"/>
      <c r="AS168" s="226"/>
      <c r="AT168" s="226"/>
      <c r="AU168" s="226"/>
      <c r="AV168" s="226"/>
      <c r="AW168" s="226"/>
      <c r="AX168" s="226"/>
    </row>
    <row r="169" spans="1:50" ht="16.5" thickBot="1" x14ac:dyDescent="0.3">
      <c r="A169" s="136" t="s">
        <v>163</v>
      </c>
      <c r="B169" s="130" t="s">
        <v>340</v>
      </c>
      <c r="C169" s="277">
        <v>1060</v>
      </c>
      <c r="D169" s="276" t="s">
        <v>623</v>
      </c>
      <c r="E169" s="222">
        <v>0</v>
      </c>
      <c r="F169" s="222">
        <f t="shared" si="9"/>
        <v>0</v>
      </c>
      <c r="G169" s="222">
        <f t="shared" si="10"/>
        <v>0</v>
      </c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5"/>
      <c r="U169" s="225"/>
      <c r="V169" s="225"/>
      <c r="W169" s="225"/>
      <c r="X169" s="225"/>
      <c r="Y169" s="225"/>
      <c r="Z169" s="225"/>
      <c r="AA169" s="225"/>
      <c r="AB169" s="225"/>
      <c r="AC169" s="225"/>
      <c r="AD169" s="225"/>
      <c r="AE169" s="225"/>
      <c r="AF169" s="225"/>
      <c r="AG169" s="225"/>
      <c r="AH169" s="225"/>
      <c r="AI169" s="225"/>
      <c r="AJ169" s="226"/>
      <c r="AK169" s="226"/>
      <c r="AL169" s="226"/>
      <c r="AM169" s="226"/>
      <c r="AN169" s="226"/>
      <c r="AO169" s="225"/>
      <c r="AP169" s="226"/>
      <c r="AQ169" s="226"/>
      <c r="AR169" s="226"/>
      <c r="AS169" s="226"/>
      <c r="AT169" s="226"/>
      <c r="AU169" s="226"/>
      <c r="AV169" s="226"/>
      <c r="AW169" s="226"/>
      <c r="AX169" s="226"/>
    </row>
    <row r="170" spans="1:50" ht="16.5" thickBot="1" x14ac:dyDescent="0.3">
      <c r="A170" s="136" t="s">
        <v>164</v>
      </c>
      <c r="B170" s="130" t="s">
        <v>341</v>
      </c>
      <c r="C170" s="277">
        <v>1837</v>
      </c>
      <c r="D170" s="136" t="s">
        <v>370</v>
      </c>
      <c r="E170" s="222">
        <v>0</v>
      </c>
      <c r="F170" s="222">
        <f t="shared" si="9"/>
        <v>0</v>
      </c>
      <c r="G170" s="222">
        <f t="shared" si="10"/>
        <v>0</v>
      </c>
      <c r="H170" s="226"/>
      <c r="I170" s="226"/>
      <c r="J170" s="226"/>
      <c r="K170" s="226"/>
      <c r="L170" s="226"/>
      <c r="M170" s="226"/>
      <c r="N170" s="226"/>
      <c r="O170" s="226"/>
      <c r="P170" s="225"/>
      <c r="Q170" s="226"/>
      <c r="R170" s="226"/>
      <c r="S170" s="226"/>
      <c r="T170" s="226"/>
      <c r="U170" s="226"/>
      <c r="V170" s="226"/>
      <c r="W170" s="226"/>
      <c r="X170" s="225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5"/>
      <c r="AJ170" s="226"/>
      <c r="AK170" s="226"/>
      <c r="AL170" s="226"/>
      <c r="AM170" s="226"/>
      <c r="AN170" s="226"/>
      <c r="AO170" s="225"/>
      <c r="AP170" s="226"/>
      <c r="AQ170" s="226"/>
      <c r="AR170" s="226"/>
      <c r="AS170" s="226"/>
      <c r="AT170" s="226"/>
      <c r="AU170" s="226"/>
      <c r="AV170" s="226"/>
      <c r="AW170" s="226"/>
      <c r="AX170" s="226"/>
    </row>
    <row r="171" spans="1:50" ht="16.5" thickBot="1" x14ac:dyDescent="0.3">
      <c r="A171" s="136" t="s">
        <v>165</v>
      </c>
      <c r="B171" s="130" t="s">
        <v>342</v>
      </c>
      <c r="C171" s="277">
        <v>0</v>
      </c>
      <c r="D171" s="136"/>
      <c r="E171" s="222">
        <v>0</v>
      </c>
      <c r="F171" s="222">
        <f t="shared" si="9"/>
        <v>0</v>
      </c>
      <c r="G171" s="222">
        <f t="shared" si="10"/>
        <v>0</v>
      </c>
      <c r="H171" s="226"/>
      <c r="I171" s="226"/>
      <c r="J171" s="226"/>
      <c r="K171" s="226"/>
      <c r="L171" s="226"/>
      <c r="M171" s="226"/>
      <c r="N171" s="226"/>
      <c r="O171" s="226"/>
      <c r="P171" s="225"/>
      <c r="Q171" s="226"/>
      <c r="R171" s="226"/>
      <c r="S171" s="226"/>
      <c r="T171" s="226"/>
      <c r="U171" s="226"/>
      <c r="V171" s="226"/>
      <c r="W171" s="226"/>
      <c r="X171" s="225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5"/>
      <c r="AJ171" s="226"/>
      <c r="AK171" s="226"/>
      <c r="AL171" s="226"/>
      <c r="AM171" s="226"/>
      <c r="AN171" s="226"/>
      <c r="AO171" s="225"/>
      <c r="AP171" s="226"/>
      <c r="AQ171" s="226"/>
      <c r="AR171" s="226"/>
      <c r="AS171" s="226"/>
      <c r="AT171" s="226"/>
      <c r="AU171" s="226"/>
      <c r="AV171" s="226"/>
      <c r="AW171" s="226"/>
      <c r="AX171" s="226"/>
    </row>
    <row r="172" spans="1:50" ht="16.5" thickBot="1" x14ac:dyDescent="0.3">
      <c r="A172" s="136" t="s">
        <v>166</v>
      </c>
      <c r="B172" s="130" t="s">
        <v>343</v>
      </c>
      <c r="C172" s="277">
        <v>636</v>
      </c>
      <c r="D172" s="276" t="s">
        <v>623</v>
      </c>
      <c r="E172" s="222">
        <v>0</v>
      </c>
      <c r="F172" s="222">
        <f t="shared" si="9"/>
        <v>0</v>
      </c>
      <c r="G172" s="222">
        <f t="shared" si="10"/>
        <v>0</v>
      </c>
      <c r="H172" s="226"/>
      <c r="I172" s="226"/>
      <c r="J172" s="226"/>
      <c r="K172" s="226"/>
      <c r="L172" s="226"/>
      <c r="M172" s="226"/>
      <c r="N172" s="226"/>
      <c r="O172" s="226"/>
      <c r="P172" s="225"/>
      <c r="Q172" s="226"/>
      <c r="R172" s="226"/>
      <c r="S172" s="226"/>
      <c r="T172" s="226"/>
      <c r="U172" s="226"/>
      <c r="V172" s="226"/>
      <c r="W172" s="226"/>
      <c r="X172" s="225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5"/>
      <c r="AJ172" s="226"/>
      <c r="AK172" s="226"/>
      <c r="AL172" s="226"/>
      <c r="AM172" s="226"/>
      <c r="AN172" s="226"/>
      <c r="AO172" s="225"/>
      <c r="AP172" s="226"/>
      <c r="AQ172" s="226"/>
      <c r="AR172" s="226"/>
      <c r="AS172" s="226"/>
      <c r="AT172" s="226"/>
      <c r="AU172" s="226"/>
      <c r="AV172" s="226"/>
      <c r="AW172" s="226"/>
      <c r="AX172" s="226"/>
    </row>
    <row r="173" spans="1:50" ht="16.5" thickBot="1" x14ac:dyDescent="0.3">
      <c r="A173" s="136" t="s">
        <v>167</v>
      </c>
      <c r="B173" s="130" t="s">
        <v>344</v>
      </c>
      <c r="C173" s="277">
        <v>0</v>
      </c>
      <c r="D173" s="136"/>
      <c r="E173" s="222">
        <v>0</v>
      </c>
      <c r="F173" s="222">
        <f t="shared" si="9"/>
        <v>0</v>
      </c>
      <c r="G173" s="222">
        <f t="shared" si="10"/>
        <v>0</v>
      </c>
      <c r="H173" s="226"/>
      <c r="I173" s="226"/>
      <c r="J173" s="226"/>
      <c r="K173" s="226"/>
      <c r="L173" s="226"/>
      <c r="M173" s="226"/>
      <c r="N173" s="226"/>
      <c r="O173" s="226"/>
      <c r="P173" s="225"/>
      <c r="Q173" s="226"/>
      <c r="R173" s="226"/>
      <c r="S173" s="226"/>
      <c r="T173" s="226"/>
      <c r="U173" s="226"/>
      <c r="V173" s="226"/>
      <c r="W173" s="226"/>
      <c r="X173" s="225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5"/>
      <c r="AJ173" s="226"/>
      <c r="AK173" s="226"/>
      <c r="AL173" s="226"/>
      <c r="AM173" s="226"/>
      <c r="AN173" s="226"/>
      <c r="AO173" s="225"/>
      <c r="AP173" s="226"/>
      <c r="AQ173" s="226"/>
      <c r="AR173" s="226"/>
      <c r="AS173" s="226"/>
      <c r="AT173" s="226"/>
      <c r="AU173" s="226"/>
      <c r="AV173" s="226"/>
      <c r="AW173" s="226"/>
      <c r="AX173" s="226"/>
    </row>
    <row r="174" spans="1:50" ht="16.5" thickBot="1" x14ac:dyDescent="0.3">
      <c r="A174" s="136" t="s">
        <v>168</v>
      </c>
      <c r="B174" s="130" t="s">
        <v>345</v>
      </c>
      <c r="C174" s="277">
        <v>24735</v>
      </c>
      <c r="D174" s="136" t="s">
        <v>371</v>
      </c>
      <c r="E174" s="222">
        <v>0</v>
      </c>
      <c r="F174" s="222">
        <f t="shared" si="9"/>
        <v>0</v>
      </c>
      <c r="G174" s="222">
        <f t="shared" si="10"/>
        <v>0</v>
      </c>
      <c r="H174" s="226"/>
      <c r="I174" s="226"/>
      <c r="J174" s="226"/>
      <c r="K174" s="226"/>
      <c r="L174" s="226"/>
      <c r="M174" s="226"/>
      <c r="N174" s="226"/>
      <c r="O174" s="226"/>
      <c r="P174" s="225"/>
      <c r="Q174" s="226"/>
      <c r="R174" s="226"/>
      <c r="S174" s="226"/>
      <c r="T174" s="226"/>
      <c r="U174" s="226"/>
      <c r="V174" s="226"/>
      <c r="W174" s="226"/>
      <c r="X174" s="225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5"/>
      <c r="AJ174" s="226"/>
      <c r="AK174" s="226"/>
      <c r="AL174" s="226"/>
      <c r="AM174" s="226"/>
      <c r="AN174" s="226"/>
      <c r="AO174" s="225"/>
      <c r="AP174" s="226"/>
      <c r="AQ174" s="226"/>
      <c r="AR174" s="226"/>
      <c r="AS174" s="226"/>
      <c r="AT174" s="226"/>
      <c r="AU174" s="226"/>
      <c r="AV174" s="226"/>
      <c r="AW174" s="226"/>
      <c r="AX174" s="226"/>
    </row>
    <row r="175" spans="1:50" ht="16.5" thickBot="1" x14ac:dyDescent="0.3">
      <c r="A175" s="136" t="s">
        <v>169</v>
      </c>
      <c r="B175" s="130" t="s">
        <v>346</v>
      </c>
      <c r="C175" s="277">
        <v>8339</v>
      </c>
      <c r="D175" s="136" t="s">
        <v>371</v>
      </c>
      <c r="E175" s="222">
        <v>0</v>
      </c>
      <c r="F175" s="222">
        <f t="shared" si="9"/>
        <v>0</v>
      </c>
      <c r="G175" s="222">
        <f t="shared" si="10"/>
        <v>0</v>
      </c>
      <c r="H175" s="226"/>
      <c r="I175" s="226"/>
      <c r="J175" s="226"/>
      <c r="K175" s="226"/>
      <c r="L175" s="226"/>
      <c r="M175" s="226"/>
      <c r="N175" s="226"/>
      <c r="O175" s="226"/>
      <c r="P175" s="225"/>
      <c r="Q175" s="226"/>
      <c r="R175" s="226"/>
      <c r="S175" s="226"/>
      <c r="T175" s="226"/>
      <c r="U175" s="226"/>
      <c r="V175" s="226"/>
      <c r="W175" s="226"/>
      <c r="X175" s="225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5"/>
      <c r="AJ175" s="226"/>
      <c r="AK175" s="226"/>
      <c r="AL175" s="226"/>
      <c r="AM175" s="226"/>
      <c r="AN175" s="226"/>
      <c r="AO175" s="225"/>
      <c r="AP175" s="226"/>
      <c r="AQ175" s="226"/>
      <c r="AR175" s="226"/>
      <c r="AS175" s="226"/>
      <c r="AT175" s="226"/>
      <c r="AU175" s="226"/>
      <c r="AV175" s="226"/>
      <c r="AW175" s="226"/>
      <c r="AX175" s="226"/>
    </row>
    <row r="176" spans="1:50" ht="16.5" thickBot="1" x14ac:dyDescent="0.3">
      <c r="A176" s="136" t="s">
        <v>170</v>
      </c>
      <c r="B176" s="130" t="s">
        <v>617</v>
      </c>
      <c r="C176" s="277">
        <v>28410</v>
      </c>
      <c r="D176" s="136"/>
      <c r="E176" s="222">
        <f>C176</f>
        <v>28410</v>
      </c>
      <c r="F176" s="222">
        <f t="shared" si="9"/>
        <v>28410</v>
      </c>
      <c r="G176" s="222">
        <f t="shared" si="10"/>
        <v>0</v>
      </c>
      <c r="H176" s="226"/>
      <c r="I176" s="226"/>
      <c r="J176" s="226"/>
      <c r="K176" s="226"/>
      <c r="L176" s="226"/>
      <c r="M176" s="226">
        <v>20835.11</v>
      </c>
      <c r="N176" s="226"/>
      <c r="O176" s="226"/>
      <c r="P176" s="225"/>
      <c r="Q176" s="226"/>
      <c r="R176" s="226"/>
      <c r="S176" s="225">
        <v>7574.89</v>
      </c>
      <c r="T176" s="226"/>
      <c r="U176" s="226"/>
      <c r="V176" s="226"/>
      <c r="W176" s="226"/>
      <c r="X176" s="225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5"/>
      <c r="AJ176" s="226"/>
      <c r="AK176" s="226"/>
      <c r="AL176" s="226"/>
      <c r="AM176" s="226"/>
      <c r="AN176" s="226"/>
      <c r="AO176" s="225"/>
      <c r="AP176" s="226"/>
      <c r="AQ176" s="226"/>
      <c r="AR176" s="226"/>
      <c r="AS176" s="226"/>
      <c r="AT176" s="226"/>
      <c r="AU176" s="226"/>
      <c r="AV176" s="226"/>
      <c r="AW176" s="226"/>
      <c r="AX176" s="226"/>
    </row>
    <row r="177" spans="1:50" ht="16.5" thickBot="1" x14ac:dyDescent="0.3">
      <c r="A177" s="136" t="s">
        <v>171</v>
      </c>
      <c r="B177" s="130" t="s">
        <v>347</v>
      </c>
      <c r="C177" s="277">
        <v>11519</v>
      </c>
      <c r="D177" s="136" t="s">
        <v>371</v>
      </c>
      <c r="E177" s="222">
        <v>0</v>
      </c>
      <c r="F177" s="222">
        <f t="shared" si="9"/>
        <v>0</v>
      </c>
      <c r="G177" s="222">
        <f t="shared" si="10"/>
        <v>0</v>
      </c>
      <c r="H177" s="226"/>
      <c r="I177" s="226"/>
      <c r="J177" s="226"/>
      <c r="K177" s="226"/>
      <c r="L177" s="226"/>
      <c r="M177" s="226"/>
      <c r="N177" s="226"/>
      <c r="O177" s="226"/>
      <c r="P177" s="225"/>
      <c r="Q177" s="226"/>
      <c r="R177" s="226"/>
      <c r="S177" s="225"/>
      <c r="T177" s="226"/>
      <c r="U177" s="226"/>
      <c r="V177" s="226"/>
      <c r="W177" s="226"/>
      <c r="X177" s="225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5"/>
      <c r="AJ177" s="226"/>
      <c r="AK177" s="226"/>
      <c r="AL177" s="226"/>
      <c r="AM177" s="226"/>
      <c r="AN177" s="226"/>
      <c r="AO177" s="225"/>
      <c r="AP177" s="226"/>
      <c r="AQ177" s="226"/>
      <c r="AR177" s="226"/>
      <c r="AS177" s="226"/>
      <c r="AT177" s="226"/>
      <c r="AU177" s="226"/>
      <c r="AV177" s="226"/>
      <c r="AW177" s="226"/>
      <c r="AX177" s="226"/>
    </row>
    <row r="178" spans="1:50" ht="16.5" thickBot="1" x14ac:dyDescent="0.3">
      <c r="A178" s="136" t="s">
        <v>172</v>
      </c>
      <c r="B178" s="130" t="s">
        <v>348</v>
      </c>
      <c r="C178" s="277">
        <v>14417</v>
      </c>
      <c r="D178" s="136"/>
      <c r="E178" s="222">
        <f>C178</f>
        <v>14417</v>
      </c>
      <c r="F178" s="222">
        <f t="shared" si="9"/>
        <v>14417</v>
      </c>
      <c r="G178" s="222">
        <f t="shared" si="10"/>
        <v>0</v>
      </c>
      <c r="H178" s="226"/>
      <c r="I178" s="226"/>
      <c r="J178" s="226"/>
      <c r="K178" s="226"/>
      <c r="L178" s="226"/>
      <c r="M178" s="226">
        <v>775</v>
      </c>
      <c r="N178" s="226"/>
      <c r="O178" s="226"/>
      <c r="P178" s="225"/>
      <c r="Q178" s="226"/>
      <c r="R178" s="226"/>
      <c r="S178" s="225"/>
      <c r="T178" s="226"/>
      <c r="U178" s="226"/>
      <c r="V178" s="226"/>
      <c r="W178" s="226"/>
      <c r="X178" s="225"/>
      <c r="Y178" s="226"/>
      <c r="Z178" s="226"/>
      <c r="AA178" s="226"/>
      <c r="AB178" s="225">
        <v>30</v>
      </c>
      <c r="AC178" s="226"/>
      <c r="AD178" s="226"/>
      <c r="AE178" s="226"/>
      <c r="AF178" s="226"/>
      <c r="AG178" s="226"/>
      <c r="AH178" s="226"/>
      <c r="AI178" s="225"/>
      <c r="AJ178" s="226"/>
      <c r="AK178" s="226"/>
      <c r="AL178" s="226"/>
      <c r="AM178" s="226"/>
      <c r="AN178" s="226"/>
      <c r="AO178" s="225"/>
      <c r="AP178" s="225">
        <v>13612</v>
      </c>
      <c r="AQ178" s="226"/>
      <c r="AR178" s="226"/>
      <c r="AS178" s="226"/>
      <c r="AT178" s="226"/>
      <c r="AU178" s="226"/>
      <c r="AV178" s="226"/>
      <c r="AW178" s="226"/>
      <c r="AX178" s="226"/>
    </row>
    <row r="179" spans="1:50" ht="16.5" thickBot="1" x14ac:dyDescent="0.3">
      <c r="A179" s="136" t="s">
        <v>173</v>
      </c>
      <c r="B179" s="130" t="s">
        <v>349</v>
      </c>
      <c r="C179" s="277">
        <v>371517</v>
      </c>
      <c r="D179" s="136"/>
      <c r="E179" s="222">
        <f>C179</f>
        <v>371517</v>
      </c>
      <c r="F179" s="222">
        <f t="shared" si="9"/>
        <v>371517</v>
      </c>
      <c r="G179" s="222">
        <f t="shared" si="10"/>
        <v>0</v>
      </c>
      <c r="H179" s="226"/>
      <c r="I179" s="226"/>
      <c r="J179" s="226"/>
      <c r="K179" s="226"/>
      <c r="L179" s="226">
        <v>88587.5</v>
      </c>
      <c r="M179" s="226">
        <v>25630.720000000001</v>
      </c>
      <c r="N179" s="225">
        <v>23195.66</v>
      </c>
      <c r="O179" s="226"/>
      <c r="P179" s="225"/>
      <c r="Q179" s="225">
        <v>72112.759999999995</v>
      </c>
      <c r="R179" s="225">
        <v>14817.21</v>
      </c>
      <c r="S179" s="225">
        <v>44586.5</v>
      </c>
      <c r="T179" s="226"/>
      <c r="U179" s="226"/>
      <c r="V179" s="226"/>
      <c r="W179" s="226"/>
      <c r="X179" s="225">
        <v>49868.89</v>
      </c>
      <c r="Y179" s="226"/>
      <c r="Z179" s="225">
        <v>52717.760000000002</v>
      </c>
      <c r="AA179" s="226"/>
      <c r="AB179" s="226"/>
      <c r="AC179" s="226"/>
      <c r="AD179" s="226"/>
      <c r="AE179" s="226"/>
      <c r="AF179" s="226"/>
      <c r="AG179" s="226"/>
      <c r="AH179" s="226"/>
      <c r="AI179" s="225"/>
      <c r="AJ179" s="226"/>
      <c r="AK179" s="226"/>
      <c r="AL179" s="226"/>
      <c r="AM179" s="226"/>
      <c r="AN179" s="226"/>
      <c r="AO179" s="225"/>
      <c r="AP179" s="226"/>
      <c r="AQ179" s="226"/>
      <c r="AR179" s="226"/>
      <c r="AS179" s="226"/>
      <c r="AT179" s="226"/>
      <c r="AU179" s="226"/>
      <c r="AV179" s="226"/>
      <c r="AW179" s="226"/>
      <c r="AX179" s="226"/>
    </row>
    <row r="180" spans="1:50" ht="16.5" thickBot="1" x14ac:dyDescent="0.3">
      <c r="A180" s="136" t="s">
        <v>174</v>
      </c>
      <c r="B180" s="130" t="s">
        <v>350</v>
      </c>
      <c r="C180" s="277">
        <v>7562</v>
      </c>
      <c r="D180" s="136" t="s">
        <v>371</v>
      </c>
      <c r="E180" s="222">
        <v>0</v>
      </c>
      <c r="F180" s="222">
        <f t="shared" si="9"/>
        <v>0</v>
      </c>
      <c r="G180" s="222">
        <f t="shared" si="10"/>
        <v>0</v>
      </c>
      <c r="H180" s="226"/>
      <c r="I180" s="226"/>
      <c r="J180" s="226"/>
      <c r="K180" s="226"/>
      <c r="L180" s="226"/>
      <c r="M180" s="226"/>
      <c r="N180" s="226"/>
      <c r="O180" s="226"/>
      <c r="P180" s="225"/>
      <c r="Q180" s="226"/>
      <c r="R180" s="226"/>
      <c r="S180" s="225"/>
      <c r="T180" s="226"/>
      <c r="U180" s="226"/>
      <c r="V180" s="226"/>
      <c r="W180" s="226"/>
      <c r="X180" s="225"/>
      <c r="Y180" s="226"/>
      <c r="Z180" s="225"/>
      <c r="AA180" s="226"/>
      <c r="AB180" s="226"/>
      <c r="AC180" s="226"/>
      <c r="AD180" s="226"/>
      <c r="AE180" s="226"/>
      <c r="AF180" s="226"/>
      <c r="AG180" s="226"/>
      <c r="AH180" s="226"/>
      <c r="AI180" s="225"/>
      <c r="AJ180" s="226"/>
      <c r="AK180" s="226"/>
      <c r="AL180" s="226"/>
      <c r="AM180" s="226"/>
      <c r="AN180" s="226"/>
      <c r="AO180" s="225"/>
      <c r="AP180" s="226"/>
      <c r="AQ180" s="226"/>
      <c r="AR180" s="226"/>
      <c r="AS180" s="226"/>
      <c r="AT180" s="226"/>
      <c r="AU180" s="226"/>
      <c r="AV180" s="226"/>
      <c r="AW180" s="226"/>
      <c r="AX180" s="226"/>
    </row>
    <row r="181" spans="1:50" ht="16.5" thickBot="1" x14ac:dyDescent="0.3">
      <c r="A181" s="136" t="s">
        <v>175</v>
      </c>
      <c r="B181" s="130" t="s">
        <v>351</v>
      </c>
      <c r="C181" s="277">
        <v>41413</v>
      </c>
      <c r="D181" s="136"/>
      <c r="E181" s="222">
        <f>C181</f>
        <v>41413</v>
      </c>
      <c r="F181" s="222">
        <f t="shared" si="9"/>
        <v>41412.999999999993</v>
      </c>
      <c r="G181" s="222">
        <f t="shared" si="10"/>
        <v>0</v>
      </c>
      <c r="H181" s="226"/>
      <c r="I181" s="226"/>
      <c r="J181" s="226"/>
      <c r="K181" s="226"/>
      <c r="L181" s="226"/>
      <c r="M181" s="226">
        <v>7447.7</v>
      </c>
      <c r="N181" s="225">
        <v>3724.32</v>
      </c>
      <c r="O181" s="226">
        <v>3724.93</v>
      </c>
      <c r="P181" s="225"/>
      <c r="Q181" s="225">
        <v>3723.85</v>
      </c>
      <c r="R181" s="225">
        <v>3723.85</v>
      </c>
      <c r="S181" s="225">
        <v>3723.85</v>
      </c>
      <c r="T181" s="225">
        <v>3723.85</v>
      </c>
      <c r="U181" s="226">
        <v>4563.7</v>
      </c>
      <c r="V181" s="226">
        <v>3333.1</v>
      </c>
      <c r="W181" s="226">
        <v>3723.85</v>
      </c>
      <c r="X181" s="225"/>
      <c r="Y181" s="226"/>
      <c r="Z181" s="225"/>
      <c r="AA181" s="226"/>
      <c r="AB181" s="226"/>
      <c r="AC181" s="226"/>
      <c r="AD181" s="226"/>
      <c r="AE181" s="226"/>
      <c r="AF181" s="226"/>
      <c r="AG181" s="226"/>
      <c r="AH181" s="226"/>
      <c r="AI181" s="225"/>
      <c r="AJ181" s="226"/>
      <c r="AK181" s="226"/>
      <c r="AL181" s="226"/>
      <c r="AM181" s="226"/>
      <c r="AN181" s="226"/>
      <c r="AO181" s="225"/>
      <c r="AP181" s="226"/>
      <c r="AQ181" s="226"/>
      <c r="AR181" s="226"/>
      <c r="AS181" s="226"/>
      <c r="AT181" s="226"/>
      <c r="AU181" s="226"/>
      <c r="AV181" s="226"/>
      <c r="AW181" s="226"/>
      <c r="AX181" s="226"/>
    </row>
    <row r="182" spans="1:50" ht="16.5" thickBot="1" x14ac:dyDescent="0.3">
      <c r="A182" s="136" t="s">
        <v>176</v>
      </c>
      <c r="B182" s="130" t="s">
        <v>352</v>
      </c>
      <c r="C182" s="277">
        <v>8198</v>
      </c>
      <c r="D182" s="136" t="s">
        <v>371</v>
      </c>
      <c r="E182" s="222">
        <v>0</v>
      </c>
      <c r="F182" s="222">
        <f t="shared" si="9"/>
        <v>0</v>
      </c>
      <c r="G182" s="222">
        <f t="shared" si="10"/>
        <v>0</v>
      </c>
      <c r="H182" s="226"/>
      <c r="I182" s="226"/>
      <c r="J182" s="226"/>
      <c r="K182" s="226"/>
      <c r="L182" s="226"/>
      <c r="M182" s="226"/>
      <c r="N182" s="226"/>
      <c r="O182" s="226"/>
      <c r="P182" s="225"/>
      <c r="Q182" s="226"/>
      <c r="R182" s="226"/>
      <c r="S182" s="225"/>
      <c r="T182" s="226"/>
      <c r="U182" s="226"/>
      <c r="V182" s="226"/>
      <c r="W182" s="226"/>
      <c r="X182" s="225"/>
      <c r="Y182" s="226"/>
      <c r="Z182" s="225"/>
      <c r="AA182" s="226"/>
      <c r="AB182" s="226"/>
      <c r="AC182" s="226"/>
      <c r="AD182" s="226"/>
      <c r="AE182" s="226"/>
      <c r="AF182" s="226"/>
      <c r="AG182" s="226"/>
      <c r="AH182" s="226"/>
      <c r="AI182" s="225"/>
      <c r="AJ182" s="226"/>
      <c r="AK182" s="226"/>
      <c r="AL182" s="226"/>
      <c r="AM182" s="226"/>
      <c r="AN182" s="226"/>
      <c r="AO182" s="225"/>
      <c r="AP182" s="226"/>
      <c r="AQ182" s="226"/>
      <c r="AR182" s="226"/>
      <c r="AS182" s="226"/>
      <c r="AT182" s="226"/>
      <c r="AU182" s="226"/>
      <c r="AV182" s="226"/>
      <c r="AW182" s="226"/>
      <c r="AX182" s="226"/>
    </row>
    <row r="183" spans="1:50" ht="16.5" thickBot="1" x14ac:dyDescent="0.3">
      <c r="A183" s="136" t="s">
        <v>177</v>
      </c>
      <c r="B183" s="130" t="s">
        <v>353</v>
      </c>
      <c r="C183" s="277">
        <v>0</v>
      </c>
      <c r="D183" s="136"/>
      <c r="E183" s="222">
        <v>0</v>
      </c>
      <c r="F183" s="222">
        <f t="shared" si="9"/>
        <v>0</v>
      </c>
      <c r="G183" s="222">
        <f t="shared" si="10"/>
        <v>0</v>
      </c>
      <c r="H183" s="226"/>
      <c r="I183" s="226"/>
      <c r="J183" s="226"/>
      <c r="K183" s="226"/>
      <c r="L183" s="226"/>
      <c r="M183" s="226"/>
      <c r="N183" s="226"/>
      <c r="O183" s="226"/>
      <c r="P183" s="225"/>
      <c r="Q183" s="226"/>
      <c r="R183" s="226"/>
      <c r="S183" s="225"/>
      <c r="T183" s="226"/>
      <c r="U183" s="226"/>
      <c r="V183" s="226"/>
      <c r="W183" s="226"/>
      <c r="X183" s="225"/>
      <c r="Y183" s="226"/>
      <c r="Z183" s="225"/>
      <c r="AA183" s="226"/>
      <c r="AB183" s="226"/>
      <c r="AC183" s="226"/>
      <c r="AD183" s="226"/>
      <c r="AE183" s="226"/>
      <c r="AF183" s="226"/>
      <c r="AG183" s="226"/>
      <c r="AH183" s="226"/>
      <c r="AI183" s="225"/>
      <c r="AJ183" s="226"/>
      <c r="AK183" s="226"/>
      <c r="AL183" s="226"/>
      <c r="AM183" s="226"/>
      <c r="AN183" s="226"/>
      <c r="AO183" s="225"/>
      <c r="AP183" s="226"/>
      <c r="AQ183" s="226"/>
      <c r="AR183" s="226"/>
      <c r="AS183" s="226"/>
      <c r="AT183" s="226"/>
      <c r="AU183" s="226"/>
      <c r="AV183" s="226"/>
      <c r="AW183" s="226"/>
      <c r="AX183" s="226"/>
    </row>
    <row r="184" spans="1:50" ht="16.5" thickBot="1" x14ac:dyDescent="0.3">
      <c r="A184" s="136" t="s">
        <v>178</v>
      </c>
      <c r="B184" s="130" t="s">
        <v>354</v>
      </c>
      <c r="C184" s="277">
        <v>71</v>
      </c>
      <c r="D184" s="136" t="s">
        <v>371</v>
      </c>
      <c r="E184" s="222">
        <v>0</v>
      </c>
      <c r="F184" s="222">
        <f t="shared" si="9"/>
        <v>0</v>
      </c>
      <c r="G184" s="222">
        <f t="shared" si="10"/>
        <v>0</v>
      </c>
      <c r="H184" s="226"/>
      <c r="I184" s="226"/>
      <c r="J184" s="226"/>
      <c r="K184" s="226"/>
      <c r="L184" s="226"/>
      <c r="M184" s="226"/>
      <c r="N184" s="226"/>
      <c r="O184" s="226"/>
      <c r="P184" s="225"/>
      <c r="Q184" s="226"/>
      <c r="R184" s="226"/>
      <c r="S184" s="225"/>
      <c r="T184" s="226"/>
      <c r="U184" s="226"/>
      <c r="V184" s="226"/>
      <c r="W184" s="226"/>
      <c r="X184" s="225"/>
      <c r="Y184" s="226"/>
      <c r="Z184" s="225"/>
      <c r="AA184" s="226"/>
      <c r="AB184" s="226"/>
      <c r="AC184" s="226"/>
      <c r="AD184" s="226"/>
      <c r="AE184" s="226"/>
      <c r="AF184" s="226"/>
      <c r="AG184" s="226"/>
      <c r="AH184" s="226"/>
      <c r="AI184" s="225"/>
      <c r="AJ184" s="226"/>
      <c r="AK184" s="226"/>
      <c r="AL184" s="226"/>
      <c r="AM184" s="226"/>
      <c r="AN184" s="226"/>
      <c r="AO184" s="225"/>
      <c r="AP184" s="226"/>
      <c r="AQ184" s="226"/>
      <c r="AR184" s="226"/>
      <c r="AS184" s="226"/>
      <c r="AT184" s="226"/>
      <c r="AU184" s="226"/>
      <c r="AV184" s="226"/>
      <c r="AW184" s="226"/>
      <c r="AX184" s="226"/>
    </row>
    <row r="185" spans="1:50" ht="16.5" thickBot="1" x14ac:dyDescent="0.3">
      <c r="A185" s="136" t="s">
        <v>179</v>
      </c>
      <c r="B185" s="130" t="s">
        <v>355</v>
      </c>
      <c r="C185" s="277">
        <v>0</v>
      </c>
      <c r="D185" s="136"/>
      <c r="E185" s="222">
        <v>0</v>
      </c>
      <c r="F185" s="222">
        <f t="shared" si="9"/>
        <v>0</v>
      </c>
      <c r="G185" s="222">
        <f t="shared" si="10"/>
        <v>0</v>
      </c>
      <c r="H185" s="226"/>
      <c r="I185" s="226"/>
      <c r="J185" s="226"/>
      <c r="K185" s="226"/>
      <c r="L185" s="226"/>
      <c r="M185" s="226"/>
      <c r="N185" s="226"/>
      <c r="O185" s="226"/>
      <c r="P185" s="225"/>
      <c r="Q185" s="226"/>
      <c r="R185" s="226"/>
      <c r="S185" s="225"/>
      <c r="T185" s="226"/>
      <c r="U185" s="226"/>
      <c r="V185" s="226"/>
      <c r="W185" s="226"/>
      <c r="X185" s="225"/>
      <c r="Y185" s="226"/>
      <c r="Z185" s="225"/>
      <c r="AA185" s="226"/>
      <c r="AB185" s="226"/>
      <c r="AC185" s="226"/>
      <c r="AD185" s="226"/>
      <c r="AE185" s="226"/>
      <c r="AF185" s="226"/>
      <c r="AG185" s="226"/>
      <c r="AH185" s="226"/>
      <c r="AI185" s="225"/>
      <c r="AJ185" s="226"/>
      <c r="AK185" s="226"/>
      <c r="AL185" s="226"/>
      <c r="AM185" s="226"/>
      <c r="AN185" s="226"/>
      <c r="AO185" s="225"/>
      <c r="AP185" s="226"/>
      <c r="AQ185" s="226"/>
      <c r="AR185" s="226"/>
      <c r="AS185" s="226"/>
      <c r="AT185" s="226"/>
      <c r="AU185" s="226"/>
      <c r="AV185" s="226"/>
      <c r="AW185" s="226"/>
      <c r="AX185" s="226"/>
    </row>
    <row r="186" spans="1:50" ht="16.5" thickBot="1" x14ac:dyDescent="0.3">
      <c r="A186" s="136" t="s">
        <v>180</v>
      </c>
      <c r="B186" s="130" t="s">
        <v>356</v>
      </c>
      <c r="C186" s="277">
        <v>19010</v>
      </c>
      <c r="D186" s="136"/>
      <c r="E186" s="222">
        <f>C186</f>
        <v>19010</v>
      </c>
      <c r="F186" s="222">
        <f t="shared" si="9"/>
        <v>19010</v>
      </c>
      <c r="G186" s="222">
        <f t="shared" si="10"/>
        <v>0</v>
      </c>
      <c r="H186" s="226"/>
      <c r="I186" s="226"/>
      <c r="J186" s="226"/>
      <c r="K186" s="226"/>
      <c r="L186" s="226"/>
      <c r="M186" s="226"/>
      <c r="N186" s="226"/>
      <c r="O186" s="226"/>
      <c r="P186" s="225">
        <v>6408.49</v>
      </c>
      <c r="Q186" s="226"/>
      <c r="R186" s="226"/>
      <c r="S186" s="225">
        <v>5888.19</v>
      </c>
      <c r="T186" s="226"/>
      <c r="U186" s="226"/>
      <c r="V186" s="226"/>
      <c r="W186" s="226"/>
      <c r="X186" s="225"/>
      <c r="Y186" s="226"/>
      <c r="Z186" s="225"/>
      <c r="AA186" s="226"/>
      <c r="AB186" s="225">
        <v>6713.32</v>
      </c>
      <c r="AC186" s="226"/>
      <c r="AD186" s="226"/>
      <c r="AE186" s="226"/>
      <c r="AF186" s="226"/>
      <c r="AG186" s="226"/>
      <c r="AH186" s="226"/>
      <c r="AI186" s="225"/>
      <c r="AJ186" s="226"/>
      <c r="AK186" s="226"/>
      <c r="AL186" s="226"/>
      <c r="AM186" s="226"/>
      <c r="AN186" s="226"/>
      <c r="AO186" s="225"/>
      <c r="AP186" s="226"/>
      <c r="AQ186" s="226"/>
      <c r="AR186" s="226"/>
      <c r="AS186" s="226"/>
      <c r="AT186" s="226"/>
      <c r="AU186" s="226"/>
      <c r="AV186" s="226"/>
      <c r="AW186" s="226"/>
      <c r="AX186" s="226"/>
    </row>
    <row r="187" spans="1:50" ht="16.5" thickBot="1" x14ac:dyDescent="0.3">
      <c r="A187" s="136" t="s">
        <v>181</v>
      </c>
      <c r="B187" s="130" t="s">
        <v>357</v>
      </c>
      <c r="C187" s="277">
        <v>7067</v>
      </c>
      <c r="D187" s="136" t="s">
        <v>372</v>
      </c>
      <c r="E187" s="222">
        <v>0</v>
      </c>
      <c r="F187" s="222">
        <f t="shared" si="9"/>
        <v>0</v>
      </c>
      <c r="G187" s="222">
        <f t="shared" si="10"/>
        <v>0</v>
      </c>
      <c r="H187" s="226"/>
      <c r="I187" s="226"/>
      <c r="J187" s="226"/>
      <c r="K187" s="226"/>
      <c r="L187" s="226"/>
      <c r="M187" s="226"/>
      <c r="N187" s="226"/>
      <c r="O187" s="226"/>
      <c r="P187" s="225"/>
      <c r="Q187" s="226"/>
      <c r="R187" s="226"/>
      <c r="S187" s="225"/>
      <c r="T187" s="226"/>
      <c r="U187" s="226"/>
      <c r="V187" s="226"/>
      <c r="W187" s="226"/>
      <c r="X187" s="225"/>
      <c r="Y187" s="226"/>
      <c r="Z187" s="225"/>
      <c r="AA187" s="226"/>
      <c r="AB187" s="226"/>
      <c r="AC187" s="226"/>
      <c r="AD187" s="226"/>
      <c r="AE187" s="226"/>
      <c r="AF187" s="226"/>
      <c r="AG187" s="226"/>
      <c r="AH187" s="226"/>
      <c r="AI187" s="225"/>
      <c r="AJ187" s="226"/>
      <c r="AK187" s="226"/>
      <c r="AL187" s="226"/>
      <c r="AM187" s="226"/>
      <c r="AN187" s="226"/>
      <c r="AO187" s="225"/>
      <c r="AP187" s="226"/>
      <c r="AQ187" s="226"/>
      <c r="AR187" s="226"/>
      <c r="AS187" s="226"/>
      <c r="AT187" s="226"/>
      <c r="AU187" s="226"/>
      <c r="AV187" s="226"/>
      <c r="AW187" s="226"/>
      <c r="AX187" s="226"/>
    </row>
    <row r="188" spans="1:50" ht="16.5" thickBot="1" x14ac:dyDescent="0.3">
      <c r="A188" s="136" t="s">
        <v>182</v>
      </c>
      <c r="B188" s="130" t="s">
        <v>358</v>
      </c>
      <c r="C188" s="277">
        <v>2261</v>
      </c>
      <c r="D188" s="136" t="s">
        <v>370</v>
      </c>
      <c r="E188" s="222">
        <v>0</v>
      </c>
      <c r="F188" s="222">
        <f t="shared" si="9"/>
        <v>0</v>
      </c>
      <c r="G188" s="222">
        <f t="shared" si="10"/>
        <v>0</v>
      </c>
      <c r="H188" s="226"/>
      <c r="I188" s="226"/>
      <c r="J188" s="226"/>
      <c r="K188" s="226"/>
      <c r="L188" s="226"/>
      <c r="M188" s="226"/>
      <c r="N188" s="226"/>
      <c r="O188" s="226"/>
      <c r="P188" s="225"/>
      <c r="Q188" s="226"/>
      <c r="R188" s="226"/>
      <c r="S188" s="225"/>
      <c r="T188" s="226"/>
      <c r="U188" s="226"/>
      <c r="V188" s="226"/>
      <c r="W188" s="226"/>
      <c r="X188" s="225"/>
      <c r="Y188" s="226"/>
      <c r="Z188" s="225"/>
      <c r="AA188" s="226"/>
      <c r="AB188" s="226"/>
      <c r="AC188" s="226"/>
      <c r="AD188" s="226"/>
      <c r="AE188" s="226"/>
      <c r="AF188" s="226"/>
      <c r="AG188" s="226"/>
      <c r="AH188" s="226"/>
      <c r="AI188" s="225"/>
      <c r="AJ188" s="226"/>
      <c r="AK188" s="226"/>
      <c r="AL188" s="226"/>
      <c r="AM188" s="226"/>
      <c r="AN188" s="226"/>
      <c r="AO188" s="225"/>
      <c r="AP188" s="226"/>
      <c r="AQ188" s="226"/>
      <c r="AR188" s="226"/>
      <c r="AS188" s="226"/>
      <c r="AT188" s="226"/>
      <c r="AU188" s="226"/>
      <c r="AV188" s="226"/>
      <c r="AW188" s="226"/>
      <c r="AX188" s="226"/>
    </row>
    <row r="189" spans="1:50" ht="16.5" thickBot="1" x14ac:dyDescent="0.3">
      <c r="A189" s="136" t="s">
        <v>183</v>
      </c>
      <c r="B189" s="130" t="s">
        <v>359</v>
      </c>
      <c r="C189" s="277">
        <v>0</v>
      </c>
      <c r="D189" s="136"/>
      <c r="E189" s="222">
        <v>0</v>
      </c>
      <c r="F189" s="222">
        <f t="shared" si="9"/>
        <v>0</v>
      </c>
      <c r="G189" s="222">
        <f t="shared" si="10"/>
        <v>0</v>
      </c>
      <c r="H189" s="226"/>
      <c r="I189" s="226"/>
      <c r="J189" s="226"/>
      <c r="K189" s="226"/>
      <c r="L189" s="226"/>
      <c r="M189" s="226"/>
      <c r="N189" s="226"/>
      <c r="O189" s="226"/>
      <c r="P189" s="225"/>
      <c r="Q189" s="226"/>
      <c r="R189" s="226"/>
      <c r="S189" s="225"/>
      <c r="T189" s="226"/>
      <c r="U189" s="226"/>
      <c r="V189" s="226"/>
      <c r="W189" s="226"/>
      <c r="X189" s="225"/>
      <c r="Y189" s="226"/>
      <c r="Z189" s="225"/>
      <c r="AA189" s="226"/>
      <c r="AB189" s="226"/>
      <c r="AC189" s="226"/>
      <c r="AD189" s="226"/>
      <c r="AE189" s="226"/>
      <c r="AF189" s="226"/>
      <c r="AG189" s="226"/>
      <c r="AH189" s="226"/>
      <c r="AI189" s="225"/>
      <c r="AJ189" s="226"/>
      <c r="AK189" s="226"/>
      <c r="AL189" s="226"/>
      <c r="AM189" s="226"/>
      <c r="AN189" s="226"/>
      <c r="AO189" s="225"/>
      <c r="AP189" s="226"/>
      <c r="AQ189" s="226"/>
      <c r="AR189" s="226"/>
      <c r="AS189" s="226"/>
      <c r="AT189" s="226"/>
      <c r="AU189" s="226"/>
      <c r="AV189" s="226"/>
      <c r="AW189" s="226"/>
      <c r="AX189" s="226"/>
    </row>
    <row r="190" spans="1:50" ht="16.5" thickBot="1" x14ac:dyDescent="0.3">
      <c r="A190" s="136" t="s">
        <v>402</v>
      </c>
      <c r="B190" s="130" t="s">
        <v>571</v>
      </c>
      <c r="C190" s="277">
        <v>221058</v>
      </c>
      <c r="D190" s="136"/>
      <c r="E190" s="222">
        <f>C190</f>
        <v>221058</v>
      </c>
      <c r="F190" s="222">
        <f t="shared" si="9"/>
        <v>221058</v>
      </c>
      <c r="G190" s="222">
        <f t="shared" si="10"/>
        <v>0</v>
      </c>
      <c r="H190" s="226"/>
      <c r="I190" s="226"/>
      <c r="J190" s="226"/>
      <c r="K190" s="226"/>
      <c r="L190" s="226"/>
      <c r="M190" s="226"/>
      <c r="N190" s="226"/>
      <c r="O190" s="226"/>
      <c r="P190" s="225"/>
      <c r="Q190" s="226"/>
      <c r="R190" s="264"/>
      <c r="S190" s="272"/>
      <c r="T190" s="272">
        <v>39254</v>
      </c>
      <c r="U190" s="226">
        <v>46634</v>
      </c>
      <c r="V190" s="226"/>
      <c r="W190" s="226"/>
      <c r="X190" s="225"/>
      <c r="Y190" s="226"/>
      <c r="Z190" s="225">
        <v>12190</v>
      </c>
      <c r="AA190" s="225">
        <v>36087</v>
      </c>
      <c r="AB190" s="225">
        <v>70179</v>
      </c>
      <c r="AC190" s="225">
        <v>16714</v>
      </c>
      <c r="AD190" s="226"/>
      <c r="AE190" s="226"/>
      <c r="AF190" s="226"/>
      <c r="AG190" s="226"/>
      <c r="AH190" s="226"/>
      <c r="AI190" s="225"/>
      <c r="AJ190" s="226"/>
      <c r="AK190" s="226"/>
      <c r="AL190" s="226"/>
      <c r="AM190" s="226"/>
      <c r="AN190" s="226"/>
      <c r="AO190" s="225"/>
      <c r="AP190" s="226"/>
      <c r="AQ190" s="226"/>
      <c r="AR190" s="226"/>
      <c r="AS190" s="226"/>
      <c r="AT190" s="226"/>
      <c r="AU190" s="226"/>
      <c r="AV190" s="226"/>
      <c r="AW190" s="226"/>
      <c r="AX190" s="226"/>
    </row>
    <row r="191" spans="1:50" ht="16.5" thickBot="1" x14ac:dyDescent="0.3">
      <c r="A191" s="136" t="s">
        <v>370</v>
      </c>
      <c r="B191" s="130" t="s">
        <v>374</v>
      </c>
      <c r="C191" s="277">
        <v>0</v>
      </c>
      <c r="D191" s="136"/>
      <c r="E191" s="222">
        <v>50246</v>
      </c>
      <c r="F191" s="222">
        <f t="shared" si="9"/>
        <v>50246</v>
      </c>
      <c r="G191" s="222">
        <f t="shared" si="10"/>
        <v>0</v>
      </c>
      <c r="H191" s="226"/>
      <c r="I191" s="226"/>
      <c r="J191" s="226"/>
      <c r="K191" s="226"/>
      <c r="L191" s="226"/>
      <c r="M191" s="226"/>
      <c r="N191" s="226"/>
      <c r="O191" s="226"/>
      <c r="P191" s="225"/>
      <c r="Q191" s="225">
        <v>6976.76</v>
      </c>
      <c r="R191" s="225">
        <v>1333.27</v>
      </c>
      <c r="S191" s="225">
        <v>19850.61</v>
      </c>
      <c r="T191" s="225">
        <v>1333.27</v>
      </c>
      <c r="U191" s="226"/>
      <c r="V191" s="226"/>
      <c r="W191" s="226"/>
      <c r="X191" s="225"/>
      <c r="Y191" s="225">
        <v>7995.68</v>
      </c>
      <c r="Z191" s="225">
        <v>1360.75</v>
      </c>
      <c r="AA191" s="225">
        <v>1877.99</v>
      </c>
      <c r="AB191" s="225">
        <v>1802.36</v>
      </c>
      <c r="AC191" s="225">
        <v>1438.9</v>
      </c>
      <c r="AD191" s="225">
        <v>6276.41</v>
      </c>
      <c r="AE191" s="226"/>
      <c r="AF191" s="226"/>
      <c r="AG191" s="226"/>
      <c r="AH191" s="226"/>
      <c r="AI191" s="225"/>
      <c r="AJ191" s="226"/>
      <c r="AK191" s="226"/>
      <c r="AL191" s="226"/>
      <c r="AM191" s="226"/>
      <c r="AN191" s="226"/>
      <c r="AO191" s="225"/>
      <c r="AP191" s="226"/>
      <c r="AQ191" s="226"/>
      <c r="AR191" s="226"/>
      <c r="AS191" s="226"/>
      <c r="AT191" s="226"/>
      <c r="AU191" s="226"/>
      <c r="AV191" s="226"/>
      <c r="AW191" s="226"/>
      <c r="AX191" s="226"/>
    </row>
    <row r="192" spans="1:50" ht="16.5" thickBot="1" x14ac:dyDescent="0.3">
      <c r="A192" s="136" t="s">
        <v>371</v>
      </c>
      <c r="B192" s="130" t="s">
        <v>608</v>
      </c>
      <c r="C192" s="275">
        <v>0</v>
      </c>
      <c r="D192" s="136"/>
      <c r="E192" s="222">
        <v>103320</v>
      </c>
      <c r="F192" s="222">
        <f t="shared" si="9"/>
        <v>103320</v>
      </c>
      <c r="G192" s="222">
        <f t="shared" si="10"/>
        <v>0</v>
      </c>
      <c r="H192" s="226"/>
      <c r="I192" s="226"/>
      <c r="J192" s="226"/>
      <c r="K192" s="226"/>
      <c r="L192" s="226"/>
      <c r="M192" s="226"/>
      <c r="N192" s="226"/>
      <c r="O192" s="226"/>
      <c r="P192" s="225">
        <v>1022</v>
      </c>
      <c r="Q192" s="225">
        <v>5137.4399999999996</v>
      </c>
      <c r="R192" s="225">
        <v>4577</v>
      </c>
      <c r="S192" s="225">
        <v>12250</v>
      </c>
      <c r="T192" s="225">
        <v>4451</v>
      </c>
      <c r="U192" s="226">
        <v>33041</v>
      </c>
      <c r="V192" s="226">
        <f>9155+1313</f>
        <v>10468</v>
      </c>
      <c r="W192" s="226">
        <v>1392</v>
      </c>
      <c r="X192" s="225">
        <v>1416</v>
      </c>
      <c r="Y192" s="225">
        <v>5326</v>
      </c>
      <c r="Z192" s="225">
        <v>1462</v>
      </c>
      <c r="AA192" s="225">
        <v>12333</v>
      </c>
      <c r="AB192" s="225">
        <v>3859</v>
      </c>
      <c r="AC192" s="225">
        <v>4150</v>
      </c>
      <c r="AD192" s="225">
        <v>2435.56</v>
      </c>
      <c r="AE192" s="226"/>
      <c r="AF192" s="226"/>
      <c r="AG192" s="226"/>
      <c r="AH192" s="226"/>
      <c r="AI192" s="225"/>
      <c r="AJ192" s="226"/>
      <c r="AK192" s="226"/>
      <c r="AL192" s="226"/>
      <c r="AM192" s="226"/>
      <c r="AN192" s="226"/>
      <c r="AO192" s="225"/>
      <c r="AP192" s="226"/>
      <c r="AQ192" s="226"/>
      <c r="AR192" s="226"/>
      <c r="AS192" s="226"/>
      <c r="AT192" s="226"/>
      <c r="AU192" s="226"/>
      <c r="AV192" s="226"/>
      <c r="AW192" s="226"/>
      <c r="AX192" s="226"/>
    </row>
    <row r="193" spans="1:50" ht="16.5" thickBot="1" x14ac:dyDescent="0.3">
      <c r="A193" s="136" t="s">
        <v>372</v>
      </c>
      <c r="B193" s="130" t="s">
        <v>376</v>
      </c>
      <c r="C193" s="275">
        <v>0</v>
      </c>
      <c r="D193" s="136"/>
      <c r="E193" s="222">
        <v>17809</v>
      </c>
      <c r="F193" s="222">
        <f t="shared" si="9"/>
        <v>17809</v>
      </c>
      <c r="G193" s="222">
        <f t="shared" si="10"/>
        <v>0</v>
      </c>
      <c r="H193" s="226"/>
      <c r="I193" s="226"/>
      <c r="J193" s="226"/>
      <c r="K193" s="226"/>
      <c r="L193" s="226"/>
      <c r="M193" s="226"/>
      <c r="N193" s="226"/>
      <c r="O193" s="226"/>
      <c r="P193" s="225"/>
      <c r="Q193" s="225">
        <v>8802</v>
      </c>
      <c r="R193" s="226"/>
      <c r="S193" s="225"/>
      <c r="T193" s="225">
        <v>7242.6</v>
      </c>
      <c r="U193" s="226"/>
      <c r="V193" s="226"/>
      <c r="W193" s="226"/>
      <c r="X193" s="225"/>
      <c r="Y193" s="226"/>
      <c r="Z193" s="226"/>
      <c r="AA193" s="226"/>
      <c r="AB193" s="226"/>
      <c r="AC193" s="226"/>
      <c r="AD193" s="226"/>
      <c r="AE193" s="226"/>
      <c r="AF193" s="225">
        <v>1764.4</v>
      </c>
      <c r="AG193" s="226"/>
      <c r="AH193" s="226"/>
      <c r="AI193" s="225"/>
      <c r="AJ193" s="226"/>
      <c r="AK193" s="226"/>
      <c r="AL193" s="226"/>
      <c r="AM193" s="226"/>
      <c r="AN193" s="226"/>
      <c r="AO193" s="225"/>
      <c r="AP193" s="226"/>
      <c r="AQ193" s="226"/>
      <c r="AR193" s="226"/>
      <c r="AS193" s="226"/>
      <c r="AT193" s="226"/>
      <c r="AU193" s="226"/>
      <c r="AV193" s="226"/>
      <c r="AW193" s="226"/>
      <c r="AX193" s="226"/>
    </row>
    <row r="194" spans="1:50" ht="16.5" thickBot="1" x14ac:dyDescent="0.3">
      <c r="A194" s="136" t="s">
        <v>400</v>
      </c>
      <c r="B194" s="130" t="s">
        <v>389</v>
      </c>
      <c r="C194" s="275">
        <v>0</v>
      </c>
      <c r="D194" s="136"/>
      <c r="E194" s="222">
        <v>14415</v>
      </c>
      <c r="F194" s="222">
        <f t="shared" si="9"/>
        <v>14415</v>
      </c>
      <c r="G194" s="222">
        <f t="shared" si="10"/>
        <v>0</v>
      </c>
      <c r="H194" s="226"/>
      <c r="I194" s="226"/>
      <c r="J194" s="226"/>
      <c r="K194" s="226"/>
      <c r="L194" s="226"/>
      <c r="M194" s="226"/>
      <c r="N194" s="226"/>
      <c r="O194" s="226"/>
      <c r="P194" s="225"/>
      <c r="Q194" s="226"/>
      <c r="R194" s="226"/>
      <c r="S194" s="225"/>
      <c r="T194" s="225"/>
      <c r="U194" s="226">
        <v>6683.42</v>
      </c>
      <c r="V194" s="226">
        <v>1200</v>
      </c>
      <c r="W194" s="226">
        <v>126</v>
      </c>
      <c r="X194" s="225"/>
      <c r="Y194" s="226"/>
      <c r="Z194" s="226"/>
      <c r="AA194" s="226"/>
      <c r="AB194" s="226"/>
      <c r="AC194" s="226"/>
      <c r="AD194" s="226"/>
      <c r="AE194" s="225">
        <v>6405.58</v>
      </c>
      <c r="AF194" s="226"/>
      <c r="AG194" s="226"/>
      <c r="AH194" s="226"/>
      <c r="AI194" s="225"/>
      <c r="AJ194" s="226"/>
      <c r="AK194" s="226"/>
      <c r="AL194" s="226"/>
      <c r="AM194" s="226"/>
      <c r="AN194" s="226"/>
      <c r="AO194" s="225"/>
      <c r="AP194" s="226"/>
      <c r="AQ194" s="226"/>
      <c r="AR194" s="226"/>
      <c r="AS194" s="226"/>
      <c r="AT194" s="226"/>
      <c r="AU194" s="226"/>
      <c r="AV194" s="226"/>
      <c r="AW194" s="226"/>
      <c r="AX194" s="226"/>
    </row>
    <row r="195" spans="1:50" ht="16.5" thickBot="1" x14ac:dyDescent="0.3">
      <c r="A195" s="136" t="s">
        <v>401</v>
      </c>
      <c r="B195" s="130" t="s">
        <v>391</v>
      </c>
      <c r="C195" s="275">
        <v>0</v>
      </c>
      <c r="D195" s="136"/>
      <c r="E195" s="222">
        <v>24240</v>
      </c>
      <c r="F195" s="222">
        <f t="shared" si="9"/>
        <v>24240</v>
      </c>
      <c r="G195" s="222">
        <f t="shared" si="10"/>
        <v>0</v>
      </c>
      <c r="H195" s="226"/>
      <c r="I195" s="226"/>
      <c r="J195" s="226"/>
      <c r="K195" s="226"/>
      <c r="L195" s="226"/>
      <c r="M195" s="226"/>
      <c r="N195" s="226"/>
      <c r="O195" s="226"/>
      <c r="P195" s="225"/>
      <c r="Q195" s="226"/>
      <c r="R195" s="226"/>
      <c r="S195" s="225"/>
      <c r="T195" s="225">
        <v>4045</v>
      </c>
      <c r="U195" s="226"/>
      <c r="V195" s="226"/>
      <c r="W195" s="226"/>
      <c r="X195" s="225"/>
      <c r="Y195" s="226"/>
      <c r="Z195" s="226"/>
      <c r="AA195" s="226"/>
      <c r="AB195" s="226"/>
      <c r="AC195" s="226"/>
      <c r="AD195" s="226"/>
      <c r="AE195" s="226"/>
      <c r="AF195" s="226"/>
      <c r="AG195" s="226"/>
      <c r="AH195" s="226"/>
      <c r="AI195" s="225">
        <v>13391</v>
      </c>
      <c r="AJ195" s="225">
        <v>6804</v>
      </c>
      <c r="AK195" s="226"/>
      <c r="AL195" s="226"/>
      <c r="AM195" s="226"/>
      <c r="AN195" s="226"/>
      <c r="AO195" s="225"/>
      <c r="AP195" s="226"/>
      <c r="AQ195" s="226"/>
      <c r="AR195" s="226"/>
      <c r="AS195" s="226"/>
      <c r="AT195" s="226"/>
      <c r="AU195" s="226"/>
      <c r="AV195" s="226"/>
      <c r="AW195" s="226"/>
      <c r="AX195" s="226"/>
    </row>
    <row r="196" spans="1:50" ht="16.5" thickBot="1" x14ac:dyDescent="0.3">
      <c r="A196" s="136" t="s">
        <v>373</v>
      </c>
      <c r="B196" s="130" t="s">
        <v>377</v>
      </c>
      <c r="C196" s="275">
        <v>0</v>
      </c>
      <c r="D196" s="136"/>
      <c r="E196" s="222">
        <v>16819</v>
      </c>
      <c r="F196" s="222">
        <f t="shared" si="9"/>
        <v>16819</v>
      </c>
      <c r="G196" s="222">
        <f t="shared" si="10"/>
        <v>0</v>
      </c>
      <c r="H196" s="226"/>
      <c r="I196" s="226"/>
      <c r="J196" s="226"/>
      <c r="K196" s="226"/>
      <c r="L196" s="226"/>
      <c r="M196" s="226"/>
      <c r="N196" s="226"/>
      <c r="O196" s="226"/>
      <c r="P196" s="225"/>
      <c r="Q196" s="226"/>
      <c r="R196" s="226"/>
      <c r="S196" s="225"/>
      <c r="T196" s="226"/>
      <c r="U196" s="226">
        <v>16818</v>
      </c>
      <c r="V196" s="226"/>
      <c r="W196" s="226"/>
      <c r="X196" s="225"/>
      <c r="Y196" s="226"/>
      <c r="Z196" s="226"/>
      <c r="AA196" s="226"/>
      <c r="AB196" s="226"/>
      <c r="AC196" s="226"/>
      <c r="AD196" s="226"/>
      <c r="AE196" s="226"/>
      <c r="AF196" s="226"/>
      <c r="AG196" s="226"/>
      <c r="AH196" s="225">
        <v>1</v>
      </c>
      <c r="AI196" s="225"/>
      <c r="AJ196" s="226"/>
      <c r="AK196" s="226"/>
      <c r="AL196" s="226"/>
      <c r="AM196" s="226"/>
      <c r="AN196" s="226"/>
      <c r="AO196" s="225"/>
      <c r="AP196" s="226"/>
      <c r="AQ196" s="226"/>
      <c r="AR196" s="226"/>
      <c r="AS196" s="226"/>
      <c r="AT196" s="226"/>
      <c r="AU196" s="226"/>
      <c r="AV196" s="226"/>
      <c r="AW196" s="226"/>
      <c r="AX196" s="226"/>
    </row>
    <row r="197" spans="1:50" ht="16.5" thickBot="1" x14ac:dyDescent="0.3">
      <c r="C197" s="220"/>
      <c r="E197" s="220"/>
      <c r="F197" s="220"/>
      <c r="G197" s="220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226"/>
      <c r="X197" s="226"/>
      <c r="Y197" s="226"/>
      <c r="Z197" s="226"/>
      <c r="AA197" s="226"/>
      <c r="AB197" s="226"/>
      <c r="AC197" s="226"/>
      <c r="AD197" s="226"/>
      <c r="AE197" s="226"/>
      <c r="AF197" s="226"/>
      <c r="AG197" s="226"/>
      <c r="AH197" s="226"/>
      <c r="AI197" s="225"/>
      <c r="AJ197" s="226"/>
      <c r="AK197" s="226"/>
      <c r="AL197" s="226"/>
      <c r="AM197" s="226"/>
      <c r="AN197" s="226"/>
      <c r="AO197" s="225"/>
      <c r="AP197" s="226"/>
      <c r="AQ197" s="226"/>
      <c r="AR197" s="226"/>
      <c r="AS197" s="226"/>
      <c r="AT197" s="226"/>
      <c r="AU197" s="226"/>
      <c r="AV197" s="226"/>
      <c r="AW197" s="226"/>
      <c r="AX197" s="226"/>
    </row>
    <row r="198" spans="1:50" s="174" customFormat="1" ht="16.5" thickBot="1" x14ac:dyDescent="0.3">
      <c r="A198" s="173" t="s">
        <v>618</v>
      </c>
      <c r="B198" s="130"/>
      <c r="C198" s="223">
        <f>SUM(C12:C196)</f>
        <v>8858088</v>
      </c>
      <c r="D198" s="130"/>
      <c r="E198" s="223">
        <f t="shared" ref="E198:AX198" si="11">SUM(E12:E196)</f>
        <v>8823410</v>
      </c>
      <c r="F198" s="223">
        <f t="shared" si="11"/>
        <v>8820607.5399999991</v>
      </c>
      <c r="G198" s="223">
        <f t="shared" si="11"/>
        <v>2802.4600000000009</v>
      </c>
      <c r="H198" s="221">
        <f t="shared" si="11"/>
        <v>0</v>
      </c>
      <c r="I198" s="221">
        <f t="shared" si="11"/>
        <v>0</v>
      </c>
      <c r="J198" s="221">
        <f t="shared" si="11"/>
        <v>0</v>
      </c>
      <c r="K198" s="221">
        <f t="shared" si="11"/>
        <v>8801.91</v>
      </c>
      <c r="L198" s="221">
        <f t="shared" si="11"/>
        <v>96300.5</v>
      </c>
      <c r="M198" s="221">
        <f t="shared" si="11"/>
        <v>260017.23</v>
      </c>
      <c r="N198" s="221">
        <f t="shared" si="11"/>
        <v>327373.93</v>
      </c>
      <c r="O198" s="221">
        <f t="shared" si="11"/>
        <v>227297.83</v>
      </c>
      <c r="P198" s="221">
        <f>SUM(P12:P196)</f>
        <v>481372.67999999988</v>
      </c>
      <c r="Q198" s="221">
        <f t="shared" si="11"/>
        <v>598387.84999999986</v>
      </c>
      <c r="R198" s="221">
        <f t="shared" si="11"/>
        <v>560286.18999999983</v>
      </c>
      <c r="S198" s="221">
        <f t="shared" si="11"/>
        <v>1432824.2400000002</v>
      </c>
      <c r="T198" s="221">
        <f t="shared" si="11"/>
        <v>286226.93999999994</v>
      </c>
      <c r="U198" s="221">
        <f t="shared" si="11"/>
        <v>284298.09000000003</v>
      </c>
      <c r="V198" s="221">
        <f t="shared" si="11"/>
        <v>317905.07</v>
      </c>
      <c r="W198" s="221">
        <f t="shared" si="11"/>
        <v>289896.19999999995</v>
      </c>
      <c r="X198" s="221">
        <f t="shared" si="11"/>
        <v>1083163.28</v>
      </c>
      <c r="Y198" s="221">
        <f t="shared" si="11"/>
        <v>405581.50000000006</v>
      </c>
      <c r="Z198" s="221">
        <f t="shared" si="11"/>
        <v>411877.86000000004</v>
      </c>
      <c r="AA198" s="221">
        <f t="shared" si="11"/>
        <v>150252.85</v>
      </c>
      <c r="AB198" s="221">
        <f t="shared" si="11"/>
        <v>258515.83000000002</v>
      </c>
      <c r="AC198" s="221">
        <f t="shared" si="11"/>
        <v>971588.28000000014</v>
      </c>
      <c r="AD198" s="221">
        <f t="shared" si="11"/>
        <v>153637.06</v>
      </c>
      <c r="AE198" s="221">
        <f t="shared" si="11"/>
        <v>75950.240000000005</v>
      </c>
      <c r="AF198" s="221">
        <f t="shared" si="11"/>
        <v>39752.589999999997</v>
      </c>
      <c r="AG198" s="221">
        <f t="shared" si="11"/>
        <v>14699.720000000001</v>
      </c>
      <c r="AH198" s="221">
        <f t="shared" si="11"/>
        <v>25745.01</v>
      </c>
      <c r="AI198" s="221">
        <f t="shared" si="11"/>
        <v>30199.940000000002</v>
      </c>
      <c r="AJ198" s="221">
        <f t="shared" si="11"/>
        <v>7063.85</v>
      </c>
      <c r="AK198" s="221">
        <f t="shared" si="11"/>
        <v>3027.3</v>
      </c>
      <c r="AL198" s="221">
        <f t="shared" si="11"/>
        <v>0</v>
      </c>
      <c r="AM198" s="221">
        <f t="shared" si="11"/>
        <v>3143.15</v>
      </c>
      <c r="AN198" s="221">
        <f t="shared" si="11"/>
        <v>0</v>
      </c>
      <c r="AO198" s="221">
        <f t="shared" si="11"/>
        <v>315.28000000000003</v>
      </c>
      <c r="AP198" s="221">
        <f t="shared" si="11"/>
        <v>13612</v>
      </c>
      <c r="AQ198" s="221">
        <f t="shared" si="11"/>
        <v>1493.14</v>
      </c>
      <c r="AR198" s="221"/>
      <c r="AS198" s="221"/>
      <c r="AT198" s="221"/>
      <c r="AU198" s="221"/>
      <c r="AV198" s="221"/>
      <c r="AW198" s="221">
        <f t="shared" si="11"/>
        <v>0</v>
      </c>
      <c r="AX198" s="221">
        <f t="shared" si="11"/>
        <v>0</v>
      </c>
    </row>
    <row r="200" spans="1:50" x14ac:dyDescent="0.25">
      <c r="G200" s="220"/>
      <c r="P200" s="226"/>
      <c r="S200" s="226"/>
    </row>
    <row r="201" spans="1:50" x14ac:dyDescent="0.25">
      <c r="C201" s="172"/>
      <c r="F201" s="220"/>
      <c r="M201" s="186"/>
      <c r="S201" s="226"/>
      <c r="T201" s="226"/>
      <c r="U201" s="226" t="s">
        <v>382</v>
      </c>
    </row>
    <row r="202" spans="1:50" x14ac:dyDescent="0.25">
      <c r="R202" s="226"/>
    </row>
    <row r="203" spans="1:50" x14ac:dyDescent="0.25">
      <c r="R203" s="226"/>
    </row>
    <row r="206" spans="1:50" x14ac:dyDescent="0.25">
      <c r="R206" s="226"/>
    </row>
    <row r="211" spans="18:18" x14ac:dyDescent="0.25">
      <c r="R211" s="226"/>
    </row>
  </sheetData>
  <sheetProtection algorithmName="SHA-512" hashValue="Z8uTkGXHmAK8w7XMH8wHPRf8F59AP1NKHpVSmXWT5cmuelEAl7S6ONqGhfQqlte5ngV6CGwxvHBmPZlQVwsr/Q==" saltValue="5iOPzmlGtxUziI9eIDCilQ==" spinCount="100000" sheet="1" objects="1" scenarios="1"/>
  <autoFilter ref="A11:BN196" xr:uid="{00000000-0009-0000-0000-000005000000}"/>
  <pageMargins left="0.7" right="0.7" top="0.75" bottom="0.75" header="0.3" footer="0.3"/>
  <pageSetup scale="14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66CCFF"/>
    <pageSetUpPr fitToPage="1"/>
  </sheetPr>
  <dimension ref="A1:AX50"/>
  <sheetViews>
    <sheetView workbookViewId="0">
      <pane xSplit="7" ySplit="11" topLeftCell="AS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AS37" sqref="AS37"/>
    </sheetView>
  </sheetViews>
  <sheetFormatPr defaultColWidth="9.140625" defaultRowHeight="15" x14ac:dyDescent="0.25"/>
  <cols>
    <col min="1" max="1" width="9.140625" style="143"/>
    <col min="2" max="2" width="36.85546875" style="143" customWidth="1"/>
    <col min="3" max="3" width="16" style="2" customWidth="1"/>
    <col min="4" max="4" width="16" style="132" customWidth="1"/>
    <col min="5" max="5" width="16" style="6" customWidth="1"/>
    <col min="6" max="7" width="16" style="2" customWidth="1"/>
    <col min="8" max="34" width="15.7109375" style="2" customWidth="1"/>
    <col min="35" max="37" width="16.42578125" style="2" customWidth="1"/>
    <col min="38" max="48" width="16.42578125" style="133" customWidth="1"/>
    <col min="49" max="50" width="16.42578125" style="2" customWidth="1"/>
    <col min="51" max="16384" width="9.140625" style="2"/>
  </cols>
  <sheetData>
    <row r="1" spans="1:50" ht="21" x14ac:dyDescent="0.35">
      <c r="A1" s="139" t="s">
        <v>0</v>
      </c>
      <c r="B1" s="140"/>
      <c r="C1" s="12" t="s">
        <v>667</v>
      </c>
      <c r="D1" s="128"/>
      <c r="E1" s="12"/>
      <c r="F1" s="10"/>
      <c r="G1" s="13"/>
      <c r="H1" s="14"/>
      <c r="I1" s="14"/>
      <c r="J1" s="12" t="str">
        <f>C1</f>
        <v>Title III-A SAI Formula (Revised Final Allocations)</v>
      </c>
      <c r="K1" s="12"/>
      <c r="L1" s="10"/>
      <c r="M1" s="10"/>
      <c r="N1" s="13"/>
      <c r="O1" s="13"/>
      <c r="P1" s="78" t="str">
        <f>C1</f>
        <v>Title III-A SAI Formula (Revised Final Allocations)</v>
      </c>
      <c r="Q1" s="14"/>
      <c r="R1" s="12"/>
      <c r="S1" s="12"/>
      <c r="T1" s="10"/>
      <c r="U1" s="10"/>
      <c r="V1" s="78" t="str">
        <f>C1</f>
        <v>Title III-A SAI Formula (Revised Final Allocations)</v>
      </c>
      <c r="W1" s="13"/>
      <c r="X1" s="14"/>
      <c r="Y1" s="14"/>
      <c r="Z1" s="12"/>
      <c r="AA1" s="12"/>
      <c r="AB1" s="78" t="str">
        <f>C1</f>
        <v>Title III-A SAI Formula (Revised Final Allocations)</v>
      </c>
      <c r="AC1" s="10"/>
      <c r="AD1" s="13"/>
      <c r="AE1" s="13"/>
      <c r="AF1" s="14"/>
      <c r="AG1" s="78" t="str">
        <f>C1</f>
        <v>Title III-A SAI Formula (Revised Final Allocations)</v>
      </c>
      <c r="AH1" s="12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</row>
    <row r="2" spans="1:50" ht="15.75" x14ac:dyDescent="0.25">
      <c r="A2" s="141" t="s">
        <v>1</v>
      </c>
      <c r="B2" s="140"/>
      <c r="C2" s="16">
        <v>84.364999999999995</v>
      </c>
      <c r="D2" s="131"/>
      <c r="E2" s="16"/>
      <c r="F2" s="15"/>
      <c r="G2" s="17"/>
      <c r="H2" s="14"/>
      <c r="I2" s="14"/>
      <c r="J2" s="15" t="str">
        <f>"FY"&amp;C4</f>
        <v>FY2019-2020</v>
      </c>
      <c r="K2" s="15"/>
      <c r="L2" s="84"/>
      <c r="M2" s="18"/>
      <c r="N2" s="17"/>
      <c r="O2" s="17"/>
      <c r="P2" s="81" t="str">
        <f>"FY"&amp;C4</f>
        <v>FY2019-2020</v>
      </c>
      <c r="Q2" s="17"/>
      <c r="R2" s="15"/>
      <c r="S2" s="15"/>
      <c r="T2" s="18"/>
      <c r="U2" s="18"/>
      <c r="V2" s="81" t="str">
        <f>"FY"&amp;C4</f>
        <v>FY2019-2020</v>
      </c>
      <c r="W2" s="17"/>
      <c r="X2" s="17"/>
      <c r="Y2" s="17"/>
      <c r="Z2" s="15"/>
      <c r="AA2" s="15"/>
      <c r="AB2" s="81" t="str">
        <f>"FY"&amp;C4</f>
        <v>FY2019-2020</v>
      </c>
      <c r="AC2" s="18"/>
      <c r="AD2" s="17"/>
      <c r="AE2" s="17"/>
      <c r="AF2" s="17"/>
      <c r="AG2" s="81" t="str">
        <f>"FY"&amp;C4</f>
        <v>FY2019-2020</v>
      </c>
      <c r="AH2" s="15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</row>
    <row r="3" spans="1:50" ht="15.75" x14ac:dyDescent="0.25">
      <c r="A3" s="141" t="s">
        <v>3</v>
      </c>
      <c r="B3" s="140"/>
      <c r="C3" s="18">
        <v>7365</v>
      </c>
      <c r="D3" s="129"/>
      <c r="E3" s="18"/>
      <c r="F3" s="15"/>
      <c r="G3" s="17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</row>
    <row r="4" spans="1:50" ht="21" x14ac:dyDescent="0.35">
      <c r="A4" s="141" t="s">
        <v>2</v>
      </c>
      <c r="B4" s="140"/>
      <c r="C4" s="78" t="s">
        <v>635</v>
      </c>
      <c r="D4" s="129"/>
      <c r="E4" s="18"/>
      <c r="F4" s="17"/>
      <c r="G4" s="17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</row>
    <row r="5" spans="1:50" ht="15.75" x14ac:dyDescent="0.25">
      <c r="A5" s="141" t="s">
        <v>392</v>
      </c>
      <c r="B5" s="140"/>
      <c r="C5" s="67" t="s">
        <v>634</v>
      </c>
      <c r="D5" s="129"/>
      <c r="E5" s="15"/>
      <c r="F5" s="15"/>
      <c r="G5" s="19"/>
      <c r="H5" s="19"/>
      <c r="I5" s="19"/>
      <c r="J5" s="19"/>
      <c r="K5" s="1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</row>
    <row r="6" spans="1:50" ht="15.75" x14ac:dyDescent="0.25">
      <c r="A6" s="141" t="s">
        <v>4</v>
      </c>
      <c r="B6" s="140"/>
      <c r="C6" s="67" t="s">
        <v>364</v>
      </c>
      <c r="D6" s="129"/>
      <c r="E6" s="15"/>
      <c r="F6" s="15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</row>
    <row r="7" spans="1:50" ht="15.75" x14ac:dyDescent="0.25">
      <c r="A7" s="141"/>
      <c r="B7" s="140"/>
      <c r="C7" s="15" t="s">
        <v>658</v>
      </c>
      <c r="D7" s="129"/>
      <c r="E7" s="15"/>
      <c r="F7" s="15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</row>
    <row r="8" spans="1:50" ht="15.75" x14ac:dyDescent="0.25">
      <c r="A8" s="141" t="s">
        <v>378</v>
      </c>
      <c r="B8" s="140"/>
      <c r="C8" s="81" t="s">
        <v>587</v>
      </c>
      <c r="D8" s="129"/>
      <c r="E8" s="15"/>
      <c r="F8" s="164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</row>
    <row r="9" spans="1:50" ht="15.75" x14ac:dyDescent="0.25">
      <c r="A9" s="141" t="s">
        <v>379</v>
      </c>
      <c r="B9" s="140"/>
      <c r="C9" s="15" t="s">
        <v>380</v>
      </c>
      <c r="D9" s="129"/>
      <c r="E9" s="15"/>
      <c r="F9" s="1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</row>
    <row r="10" spans="1:50" s="6" customFormat="1" ht="16.5" thickBot="1" x14ac:dyDescent="0.3">
      <c r="A10" s="141" t="s">
        <v>393</v>
      </c>
      <c r="B10" s="140"/>
      <c r="C10" s="81" t="s">
        <v>670</v>
      </c>
      <c r="D10" s="129"/>
      <c r="E10" s="15"/>
      <c r="F10" s="1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</row>
    <row r="11" spans="1:50" s="37" customFormat="1" ht="48.75" customHeight="1" thickBot="1" x14ac:dyDescent="0.3">
      <c r="A11" s="114" t="s">
        <v>365</v>
      </c>
      <c r="B11" s="87" t="s">
        <v>366</v>
      </c>
      <c r="C11" s="87" t="s">
        <v>367</v>
      </c>
      <c r="D11" s="107" t="s">
        <v>632</v>
      </c>
      <c r="E11" s="41" t="s">
        <v>624</v>
      </c>
      <c r="F11" s="42" t="s">
        <v>368</v>
      </c>
      <c r="G11" s="49" t="s">
        <v>369</v>
      </c>
      <c r="H11" s="100" t="s">
        <v>578</v>
      </c>
      <c r="I11" s="100" t="s">
        <v>579</v>
      </c>
      <c r="J11" s="100" t="s">
        <v>580</v>
      </c>
      <c r="K11" s="100" t="s">
        <v>590</v>
      </c>
      <c r="L11" s="100" t="s">
        <v>591</v>
      </c>
      <c r="M11" s="100" t="s">
        <v>592</v>
      </c>
      <c r="N11" s="100" t="s">
        <v>593</v>
      </c>
      <c r="O11" s="100" t="s">
        <v>594</v>
      </c>
      <c r="P11" s="100" t="s">
        <v>595</v>
      </c>
      <c r="Q11" s="101" t="s">
        <v>596</v>
      </c>
      <c r="R11" s="100" t="s">
        <v>597</v>
      </c>
      <c r="S11" s="100" t="s">
        <v>598</v>
      </c>
      <c r="T11" s="100" t="s">
        <v>599</v>
      </c>
      <c r="U11" s="100" t="s">
        <v>600</v>
      </c>
      <c r="V11" s="100" t="s">
        <v>601</v>
      </c>
      <c r="W11" s="100" t="s">
        <v>627</v>
      </c>
      <c r="X11" s="100" t="s">
        <v>628</v>
      </c>
      <c r="Y11" s="100" t="s">
        <v>629</v>
      </c>
      <c r="Z11" s="100" t="s">
        <v>636</v>
      </c>
      <c r="AA11" s="100" t="s">
        <v>637</v>
      </c>
      <c r="AB11" s="100" t="s">
        <v>638</v>
      </c>
      <c r="AC11" s="100" t="s">
        <v>639</v>
      </c>
      <c r="AD11" s="100" t="s">
        <v>640</v>
      </c>
      <c r="AE11" s="100" t="s">
        <v>641</v>
      </c>
      <c r="AF11" s="100" t="s">
        <v>642</v>
      </c>
      <c r="AG11" s="100" t="s">
        <v>643</v>
      </c>
      <c r="AH11" s="100" t="s">
        <v>644</v>
      </c>
      <c r="AI11" s="100" t="s">
        <v>645</v>
      </c>
      <c r="AJ11" s="100" t="s">
        <v>646</v>
      </c>
      <c r="AK11" s="100" t="s">
        <v>648</v>
      </c>
      <c r="AL11" s="100" t="s">
        <v>671</v>
      </c>
      <c r="AM11" s="100" t="s">
        <v>672</v>
      </c>
      <c r="AN11" s="100" t="s">
        <v>673</v>
      </c>
      <c r="AO11" s="100" t="s">
        <v>674</v>
      </c>
      <c r="AP11" s="100" t="s">
        <v>675</v>
      </c>
      <c r="AQ11" s="100" t="s">
        <v>681</v>
      </c>
      <c r="AR11" s="100" t="s">
        <v>680</v>
      </c>
      <c r="AS11" s="100" t="s">
        <v>679</v>
      </c>
      <c r="AT11" s="100" t="s">
        <v>678</v>
      </c>
      <c r="AU11" s="100" t="s">
        <v>677</v>
      </c>
      <c r="AV11" s="100" t="s">
        <v>676</v>
      </c>
      <c r="AW11" s="100" t="s">
        <v>630</v>
      </c>
      <c r="AX11" s="100" t="s">
        <v>631</v>
      </c>
    </row>
    <row r="12" spans="1:50" s="6" customFormat="1" ht="18" customHeight="1" thickBot="1" x14ac:dyDescent="0.3">
      <c r="A12" s="142" t="s">
        <v>7</v>
      </c>
      <c r="B12" s="145" t="s">
        <v>185</v>
      </c>
      <c r="C12" s="187">
        <v>77530</v>
      </c>
      <c r="D12" s="136"/>
      <c r="E12" s="187">
        <f>C12</f>
        <v>77530</v>
      </c>
      <c r="F12" s="187">
        <f>SUM(H12:AV12)</f>
        <v>77530</v>
      </c>
      <c r="G12" s="187">
        <f>E12-(F12+AW12+AX12)</f>
        <v>0</v>
      </c>
      <c r="H12" s="225"/>
      <c r="I12" s="225"/>
      <c r="J12" s="225"/>
      <c r="K12" s="225"/>
      <c r="L12" s="225"/>
      <c r="M12" s="225"/>
      <c r="N12" s="225">
        <v>1782.12</v>
      </c>
      <c r="O12" s="225">
        <v>11898.64</v>
      </c>
      <c r="P12" s="225">
        <v>932.32</v>
      </c>
      <c r="Q12" s="225">
        <v>2967.09</v>
      </c>
      <c r="R12" s="225"/>
      <c r="S12" s="225"/>
      <c r="T12" s="225"/>
      <c r="U12" s="225"/>
      <c r="V12" s="225"/>
      <c r="W12" s="225"/>
      <c r="X12" s="225">
        <f>372.61+9344.95</f>
        <v>9717.5600000000013</v>
      </c>
      <c r="Y12" s="225">
        <v>3229.19</v>
      </c>
      <c r="Z12" s="225">
        <v>2846.9</v>
      </c>
      <c r="AA12" s="225">
        <v>3108.42</v>
      </c>
      <c r="AB12" s="225">
        <v>3971.58</v>
      </c>
      <c r="AC12" s="225">
        <v>10997.88</v>
      </c>
      <c r="AD12" s="225">
        <v>3240.49</v>
      </c>
      <c r="AE12" s="225">
        <v>3742.26</v>
      </c>
      <c r="AF12" s="225">
        <v>3459.91</v>
      </c>
      <c r="AG12" s="225">
        <v>3247.75</v>
      </c>
      <c r="AH12" s="200"/>
      <c r="AI12" s="225"/>
      <c r="AJ12" s="225">
        <f>173.16+12214.73</f>
        <v>12387.89</v>
      </c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</row>
    <row r="13" spans="1:50" ht="18" customHeight="1" thickBot="1" x14ac:dyDescent="0.3">
      <c r="A13" s="142" t="s">
        <v>8</v>
      </c>
      <c r="B13" s="145" t="s">
        <v>186</v>
      </c>
      <c r="C13" s="187">
        <v>9838</v>
      </c>
      <c r="D13" s="136"/>
      <c r="E13" s="187">
        <f>C13</f>
        <v>9838</v>
      </c>
      <c r="F13" s="187">
        <f t="shared" ref="F13:F47" si="0">SUM(H13:AV13)</f>
        <v>9838</v>
      </c>
      <c r="G13" s="187">
        <f t="shared" ref="G13:G47" si="1">E13-(F13+AW13+AX13)</f>
        <v>0</v>
      </c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>
        <v>8519.2000000000007</v>
      </c>
      <c r="Z13" s="225"/>
      <c r="AA13" s="225"/>
      <c r="AB13" s="225"/>
      <c r="AC13" s="225">
        <v>1318.8</v>
      </c>
      <c r="AD13" s="225"/>
      <c r="AE13" s="225"/>
      <c r="AF13" s="225"/>
      <c r="AG13" s="225"/>
      <c r="AH13" s="200"/>
      <c r="AI13" s="225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</row>
    <row r="14" spans="1:50" s="133" customFormat="1" ht="18" customHeight="1" thickBot="1" x14ac:dyDescent="0.3">
      <c r="A14" s="142" t="s">
        <v>10</v>
      </c>
      <c r="B14" s="145" t="s">
        <v>188</v>
      </c>
      <c r="C14" s="187">
        <v>234</v>
      </c>
      <c r="D14" s="136" t="s">
        <v>370</v>
      </c>
      <c r="E14" s="187">
        <v>0</v>
      </c>
      <c r="F14" s="187">
        <f t="shared" si="0"/>
        <v>0</v>
      </c>
      <c r="G14" s="187">
        <f t="shared" si="1"/>
        <v>0</v>
      </c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00"/>
      <c r="AI14" s="225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</row>
    <row r="15" spans="1:50" s="133" customFormat="1" ht="18" customHeight="1" thickBot="1" x14ac:dyDescent="0.3">
      <c r="A15" s="142" t="s">
        <v>16</v>
      </c>
      <c r="B15" s="145" t="s">
        <v>650</v>
      </c>
      <c r="C15" s="187">
        <v>7027</v>
      </c>
      <c r="D15" s="136"/>
      <c r="E15" s="187">
        <f>C15</f>
        <v>7027</v>
      </c>
      <c r="F15" s="187">
        <f t="shared" si="0"/>
        <v>7027</v>
      </c>
      <c r="G15" s="187">
        <f t="shared" si="1"/>
        <v>0</v>
      </c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00"/>
      <c r="AI15" s="225">
        <v>7027</v>
      </c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</row>
    <row r="16" spans="1:50" ht="18" customHeight="1" thickBot="1" x14ac:dyDescent="0.3">
      <c r="A16" s="142" t="s">
        <v>17</v>
      </c>
      <c r="B16" s="145" t="s">
        <v>195</v>
      </c>
      <c r="C16" s="187">
        <v>21783</v>
      </c>
      <c r="D16" s="136"/>
      <c r="E16" s="187">
        <f t="shared" ref="E16:E17" si="2">C16</f>
        <v>21783</v>
      </c>
      <c r="F16" s="187">
        <f t="shared" si="0"/>
        <v>21783</v>
      </c>
      <c r="G16" s="187">
        <f t="shared" si="1"/>
        <v>0</v>
      </c>
      <c r="H16" s="225"/>
      <c r="I16" s="225"/>
      <c r="J16" s="225"/>
      <c r="K16" s="225"/>
      <c r="L16" s="225"/>
      <c r="M16" s="225"/>
      <c r="N16" s="225">
        <v>15940.41</v>
      </c>
      <c r="O16" s="225"/>
      <c r="P16" s="225"/>
      <c r="Q16" s="225"/>
      <c r="R16" s="225"/>
      <c r="S16" s="225"/>
      <c r="T16" s="225"/>
      <c r="U16" s="225">
        <v>5267.37</v>
      </c>
      <c r="V16" s="225">
        <v>575.22</v>
      </c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00"/>
      <c r="AI16" s="225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</row>
    <row r="17" spans="1:50" ht="18" customHeight="1" thickBot="1" x14ac:dyDescent="0.3">
      <c r="A17" s="142" t="s">
        <v>20</v>
      </c>
      <c r="B17" s="145" t="s">
        <v>198</v>
      </c>
      <c r="C17" s="187">
        <v>141475</v>
      </c>
      <c r="D17" s="136"/>
      <c r="E17" s="187">
        <f t="shared" si="2"/>
        <v>141475</v>
      </c>
      <c r="F17" s="187">
        <f t="shared" si="0"/>
        <v>125586.28</v>
      </c>
      <c r="G17" s="187">
        <f t="shared" si="1"/>
        <v>15888.720000000001</v>
      </c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00"/>
      <c r="AI17" s="225">
        <v>64824.37</v>
      </c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>
        <v>60761.91</v>
      </c>
      <c r="AU17" s="200"/>
      <c r="AV17" s="200"/>
      <c r="AW17" s="200"/>
      <c r="AX17" s="200"/>
    </row>
    <row r="18" spans="1:50" ht="18" customHeight="1" thickBot="1" x14ac:dyDescent="0.3">
      <c r="A18" s="142" t="s">
        <v>28</v>
      </c>
      <c r="B18" s="145" t="s">
        <v>491</v>
      </c>
      <c r="C18" s="187">
        <v>234</v>
      </c>
      <c r="D18" s="276" t="s">
        <v>633</v>
      </c>
      <c r="E18" s="187">
        <v>0</v>
      </c>
      <c r="F18" s="187">
        <f t="shared" si="0"/>
        <v>0</v>
      </c>
      <c r="G18" s="187">
        <f t="shared" si="1"/>
        <v>0</v>
      </c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00"/>
      <c r="AI18" s="225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</row>
    <row r="19" spans="1:50" ht="16.5" thickBot="1" x14ac:dyDescent="0.3">
      <c r="A19" s="142" t="s">
        <v>45</v>
      </c>
      <c r="B19" s="145" t="s">
        <v>223</v>
      </c>
      <c r="C19" s="187">
        <v>124846</v>
      </c>
      <c r="D19" s="136"/>
      <c r="E19" s="187">
        <f>C19</f>
        <v>124846</v>
      </c>
      <c r="F19" s="187">
        <f t="shared" si="0"/>
        <v>124846</v>
      </c>
      <c r="G19" s="187">
        <f t="shared" si="1"/>
        <v>0</v>
      </c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>
        <v>12865.66</v>
      </c>
      <c r="Y19" s="225"/>
      <c r="Z19" s="225"/>
      <c r="AA19" s="225"/>
      <c r="AB19" s="225"/>
      <c r="AC19" s="225">
        <v>48857.61</v>
      </c>
      <c r="AD19" s="225">
        <v>4969.78</v>
      </c>
      <c r="AE19" s="225"/>
      <c r="AF19" s="225">
        <v>29805.73</v>
      </c>
      <c r="AG19" s="225"/>
      <c r="AH19" s="200"/>
      <c r="AI19" s="225">
        <v>28347.22</v>
      </c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</row>
    <row r="20" spans="1:50" s="133" customFormat="1" ht="16.5" thickBot="1" x14ac:dyDescent="0.3">
      <c r="A20" s="142" t="s">
        <v>48</v>
      </c>
      <c r="B20" s="145" t="s">
        <v>451</v>
      </c>
      <c r="C20" s="187">
        <v>4919</v>
      </c>
      <c r="D20" s="136"/>
      <c r="E20" s="187">
        <f t="shared" ref="E20:E21" si="3">C20</f>
        <v>4919</v>
      </c>
      <c r="F20" s="187">
        <f t="shared" si="0"/>
        <v>4919</v>
      </c>
      <c r="G20" s="187">
        <f t="shared" si="1"/>
        <v>0</v>
      </c>
      <c r="H20" s="225"/>
      <c r="I20" s="225"/>
      <c r="J20" s="225"/>
      <c r="K20" s="225"/>
      <c r="L20" s="225"/>
      <c r="M20" s="225"/>
      <c r="N20" s="225">
        <v>98.5</v>
      </c>
      <c r="O20" s="225"/>
      <c r="P20" s="225"/>
      <c r="Q20" s="225"/>
      <c r="R20" s="225">
        <v>197</v>
      </c>
      <c r="S20" s="225">
        <v>4623.5</v>
      </c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00"/>
      <c r="AI20" s="225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</row>
    <row r="21" spans="1:50" ht="16.5" thickBot="1" x14ac:dyDescent="0.3">
      <c r="A21" s="142" t="s">
        <v>55</v>
      </c>
      <c r="B21" s="145" t="s">
        <v>233</v>
      </c>
      <c r="C21" s="187">
        <v>6558</v>
      </c>
      <c r="D21" s="136"/>
      <c r="E21" s="187">
        <f t="shared" si="3"/>
        <v>6558</v>
      </c>
      <c r="F21" s="187">
        <f t="shared" si="0"/>
        <v>6558</v>
      </c>
      <c r="G21" s="187">
        <f t="shared" si="1"/>
        <v>0</v>
      </c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>
        <v>6558</v>
      </c>
      <c r="AC21" s="225"/>
      <c r="AD21" s="225"/>
      <c r="AE21" s="225"/>
      <c r="AF21" s="225"/>
      <c r="AG21" s="225"/>
      <c r="AH21" s="200"/>
      <c r="AI21" s="225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</row>
    <row r="22" spans="1:50" ht="16.5" thickBot="1" x14ac:dyDescent="0.3">
      <c r="A22" s="142" t="s">
        <v>60</v>
      </c>
      <c r="B22" s="145" t="s">
        <v>238</v>
      </c>
      <c r="C22" s="187">
        <v>234</v>
      </c>
      <c r="D22" s="276" t="s">
        <v>633</v>
      </c>
      <c r="E22" s="187">
        <v>0</v>
      </c>
      <c r="F22" s="187">
        <f t="shared" si="0"/>
        <v>0</v>
      </c>
      <c r="G22" s="187">
        <f t="shared" si="1"/>
        <v>0</v>
      </c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00"/>
      <c r="AI22" s="225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</row>
    <row r="23" spans="1:50" ht="16.5" thickBot="1" x14ac:dyDescent="0.3">
      <c r="A23" s="142" t="s">
        <v>65</v>
      </c>
      <c r="B23" s="145" t="s">
        <v>243</v>
      </c>
      <c r="C23" s="187">
        <v>703</v>
      </c>
      <c r="D23" s="136"/>
      <c r="E23" s="187">
        <f>C23</f>
        <v>703</v>
      </c>
      <c r="F23" s="187">
        <f t="shared" si="0"/>
        <v>703</v>
      </c>
      <c r="G23" s="187">
        <f t="shared" si="1"/>
        <v>0</v>
      </c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>
        <v>7.82</v>
      </c>
      <c r="U23" s="225"/>
      <c r="V23" s="225"/>
      <c r="W23" s="225"/>
      <c r="X23" s="225"/>
      <c r="Y23" s="225"/>
      <c r="Z23" s="225"/>
      <c r="AA23" s="225"/>
      <c r="AB23" s="225"/>
      <c r="AC23" s="225"/>
      <c r="AD23" s="225">
        <v>695.18</v>
      </c>
      <c r="AE23" s="225"/>
      <c r="AF23" s="225"/>
      <c r="AG23" s="225"/>
      <c r="AH23" s="200"/>
      <c r="AI23" s="225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</row>
    <row r="24" spans="1:50" ht="16.5" thickBot="1" x14ac:dyDescent="0.3">
      <c r="A24" s="142" t="s">
        <v>66</v>
      </c>
      <c r="B24" s="145" t="s">
        <v>244</v>
      </c>
      <c r="C24" s="187">
        <v>1405</v>
      </c>
      <c r="D24" s="136"/>
      <c r="E24" s="187">
        <f t="shared" ref="E24:E27" si="4">C24</f>
        <v>1405</v>
      </c>
      <c r="F24" s="187">
        <f t="shared" si="0"/>
        <v>1405</v>
      </c>
      <c r="G24" s="187">
        <f t="shared" si="1"/>
        <v>0</v>
      </c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>
        <v>1405</v>
      </c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00"/>
      <c r="AI24" s="225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</row>
    <row r="25" spans="1:50" ht="16.5" thickBot="1" x14ac:dyDescent="0.3">
      <c r="A25" s="142" t="s">
        <v>72</v>
      </c>
      <c r="B25" s="145" t="s">
        <v>250</v>
      </c>
      <c r="C25" s="187">
        <v>12883</v>
      </c>
      <c r="D25" s="136"/>
      <c r="E25" s="187">
        <f t="shared" si="4"/>
        <v>12883</v>
      </c>
      <c r="F25" s="187">
        <f t="shared" si="0"/>
        <v>12883</v>
      </c>
      <c r="G25" s="187">
        <f t="shared" si="1"/>
        <v>0</v>
      </c>
      <c r="H25" s="225"/>
      <c r="I25" s="225"/>
      <c r="J25" s="225"/>
      <c r="K25" s="225"/>
      <c r="L25" s="225"/>
      <c r="M25" s="225"/>
      <c r="N25" s="225"/>
      <c r="O25" s="225">
        <v>8577.01</v>
      </c>
      <c r="P25" s="225"/>
      <c r="Q25" s="225"/>
      <c r="R25" s="225"/>
      <c r="S25" s="225">
        <v>224.21</v>
      </c>
      <c r="T25" s="225"/>
      <c r="U25" s="225"/>
      <c r="V25" s="225"/>
      <c r="W25" s="225"/>
      <c r="X25" s="225">
        <v>4081.78</v>
      </c>
      <c r="Y25" s="225"/>
      <c r="Z25" s="225"/>
      <c r="AA25" s="225"/>
      <c r="AB25" s="225"/>
      <c r="AC25" s="225"/>
      <c r="AD25" s="225"/>
      <c r="AE25" s="225"/>
      <c r="AF25" s="225"/>
      <c r="AG25" s="225"/>
      <c r="AH25" s="200"/>
      <c r="AI25" s="225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</row>
    <row r="26" spans="1:50" ht="16.5" thickBot="1" x14ac:dyDescent="0.3">
      <c r="A26" s="142" t="s">
        <v>74</v>
      </c>
      <c r="B26" s="145" t="s">
        <v>252</v>
      </c>
      <c r="C26" s="187">
        <v>234</v>
      </c>
      <c r="D26" s="136"/>
      <c r="E26" s="187">
        <f t="shared" si="4"/>
        <v>234</v>
      </c>
      <c r="F26" s="187">
        <f t="shared" si="0"/>
        <v>234</v>
      </c>
      <c r="G26" s="187">
        <f t="shared" si="1"/>
        <v>0</v>
      </c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>
        <v>234</v>
      </c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00"/>
      <c r="AI26" s="225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</row>
    <row r="27" spans="1:50" ht="16.5" thickBot="1" x14ac:dyDescent="0.3">
      <c r="A27" s="142" t="s">
        <v>83</v>
      </c>
      <c r="B27" s="145" t="s">
        <v>261</v>
      </c>
      <c r="C27" s="187">
        <v>11711</v>
      </c>
      <c r="D27" s="136"/>
      <c r="E27" s="187">
        <f t="shared" si="4"/>
        <v>11711</v>
      </c>
      <c r="F27" s="187">
        <f t="shared" si="0"/>
        <v>11711</v>
      </c>
      <c r="G27" s="187">
        <f t="shared" si="1"/>
        <v>0</v>
      </c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>
        <v>10765.59</v>
      </c>
      <c r="AA27" s="225">
        <v>55.66</v>
      </c>
      <c r="AB27" s="225"/>
      <c r="AC27" s="225"/>
      <c r="AD27" s="225"/>
      <c r="AE27" s="225"/>
      <c r="AF27" s="225">
        <v>889.75</v>
      </c>
      <c r="AG27" s="225"/>
      <c r="AH27" s="200"/>
      <c r="AI27" s="225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</row>
    <row r="28" spans="1:50" ht="16.5" thickBot="1" x14ac:dyDescent="0.3">
      <c r="A28" s="142" t="s">
        <v>651</v>
      </c>
      <c r="B28" s="145" t="s">
        <v>268</v>
      </c>
      <c r="C28" s="187">
        <v>703</v>
      </c>
      <c r="D28" s="136" t="s">
        <v>370</v>
      </c>
      <c r="E28" s="187">
        <v>0</v>
      </c>
      <c r="F28" s="187">
        <f t="shared" si="0"/>
        <v>0</v>
      </c>
      <c r="G28" s="187">
        <f t="shared" si="1"/>
        <v>0</v>
      </c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00"/>
      <c r="AI28" s="225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</row>
    <row r="29" spans="1:50" ht="16.5" thickBot="1" x14ac:dyDescent="0.3">
      <c r="A29" s="142" t="s">
        <v>96</v>
      </c>
      <c r="B29" s="145" t="s">
        <v>274</v>
      </c>
      <c r="C29" s="187">
        <v>234</v>
      </c>
      <c r="D29" s="136"/>
      <c r="E29" s="187">
        <f>C29</f>
        <v>234</v>
      </c>
      <c r="F29" s="187">
        <f t="shared" si="0"/>
        <v>0</v>
      </c>
      <c r="G29" s="187">
        <f t="shared" si="1"/>
        <v>234</v>
      </c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00"/>
      <c r="AI29" s="225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</row>
    <row r="30" spans="1:50" ht="16.5" thickBot="1" x14ac:dyDescent="0.3">
      <c r="A30" s="142" t="s">
        <v>97</v>
      </c>
      <c r="B30" s="145" t="s">
        <v>275</v>
      </c>
      <c r="C30" s="187">
        <v>703</v>
      </c>
      <c r="D30" s="276" t="s">
        <v>633</v>
      </c>
      <c r="E30" s="187">
        <v>0</v>
      </c>
      <c r="F30" s="187">
        <f t="shared" si="0"/>
        <v>0</v>
      </c>
      <c r="G30" s="187">
        <f t="shared" si="1"/>
        <v>0</v>
      </c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00"/>
      <c r="AI30" s="225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</row>
    <row r="31" spans="1:50" ht="16.5" thickBot="1" x14ac:dyDescent="0.3">
      <c r="A31" s="142" t="s">
        <v>117</v>
      </c>
      <c r="B31" s="145" t="s">
        <v>652</v>
      </c>
      <c r="C31" s="187">
        <v>468</v>
      </c>
      <c r="D31" s="276" t="s">
        <v>633</v>
      </c>
      <c r="E31" s="187">
        <v>0</v>
      </c>
      <c r="F31" s="187">
        <f t="shared" si="0"/>
        <v>0</v>
      </c>
      <c r="G31" s="187">
        <f t="shared" si="1"/>
        <v>0</v>
      </c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00"/>
      <c r="AI31" s="225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</row>
    <row r="32" spans="1:50" ht="16.5" thickBot="1" x14ac:dyDescent="0.3">
      <c r="A32" s="142" t="s">
        <v>119</v>
      </c>
      <c r="B32" s="145" t="s">
        <v>297</v>
      </c>
      <c r="C32" s="187">
        <v>234</v>
      </c>
      <c r="D32" s="136"/>
      <c r="E32" s="187">
        <f>C32</f>
        <v>234</v>
      </c>
      <c r="F32" s="187">
        <f t="shared" si="0"/>
        <v>0</v>
      </c>
      <c r="G32" s="187">
        <f t="shared" si="1"/>
        <v>234</v>
      </c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00"/>
      <c r="AI32" s="225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</row>
    <row r="33" spans="1:50" ht="16.5" thickBot="1" x14ac:dyDescent="0.3">
      <c r="A33" s="142" t="s">
        <v>122</v>
      </c>
      <c r="B33" s="145" t="s">
        <v>300</v>
      </c>
      <c r="C33" s="187">
        <v>468</v>
      </c>
      <c r="D33" s="136"/>
      <c r="E33" s="187">
        <f>C33</f>
        <v>468</v>
      </c>
      <c r="F33" s="187">
        <f t="shared" si="0"/>
        <v>468</v>
      </c>
      <c r="G33" s="187">
        <f t="shared" si="1"/>
        <v>0</v>
      </c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>
        <v>468</v>
      </c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00"/>
      <c r="AI33" s="225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</row>
    <row r="34" spans="1:50" s="133" customFormat="1" ht="16.5" thickBot="1" x14ac:dyDescent="0.3">
      <c r="A34" s="142" t="s">
        <v>132</v>
      </c>
      <c r="B34" s="145" t="s">
        <v>653</v>
      </c>
      <c r="C34" s="187">
        <v>234</v>
      </c>
      <c r="D34" s="276" t="s">
        <v>633</v>
      </c>
      <c r="E34" s="187">
        <v>0</v>
      </c>
      <c r="F34" s="187">
        <f t="shared" si="0"/>
        <v>0</v>
      </c>
      <c r="G34" s="187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00"/>
      <c r="AI34" s="225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</row>
    <row r="35" spans="1:50" ht="16.5" thickBot="1" x14ac:dyDescent="0.3">
      <c r="A35" s="142" t="s">
        <v>137</v>
      </c>
      <c r="B35" s="145" t="s">
        <v>315</v>
      </c>
      <c r="C35" s="187">
        <v>703</v>
      </c>
      <c r="D35" s="136"/>
      <c r="E35" s="187">
        <f>C35</f>
        <v>703</v>
      </c>
      <c r="F35" s="187">
        <f t="shared" si="0"/>
        <v>0</v>
      </c>
      <c r="G35" s="187">
        <f t="shared" si="1"/>
        <v>703</v>
      </c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00"/>
      <c r="AI35" s="225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</row>
    <row r="36" spans="1:50" s="133" customFormat="1" ht="16.5" thickBot="1" x14ac:dyDescent="0.3">
      <c r="A36" s="142" t="s">
        <v>138</v>
      </c>
      <c r="B36" s="145" t="s">
        <v>316</v>
      </c>
      <c r="C36" s="187">
        <v>703</v>
      </c>
      <c r="D36" s="136" t="s">
        <v>401</v>
      </c>
      <c r="E36" s="187">
        <v>0</v>
      </c>
      <c r="F36" s="187">
        <f t="shared" si="0"/>
        <v>0</v>
      </c>
      <c r="G36" s="187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00"/>
      <c r="AI36" s="225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</row>
    <row r="37" spans="1:50" ht="16.5" thickBot="1" x14ac:dyDescent="0.3">
      <c r="A37" s="142" t="s">
        <v>155</v>
      </c>
      <c r="B37" s="145" t="s">
        <v>654</v>
      </c>
      <c r="C37" s="187">
        <v>937</v>
      </c>
      <c r="D37" s="136"/>
      <c r="E37" s="187">
        <f>C37</f>
        <v>937</v>
      </c>
      <c r="F37" s="187">
        <f t="shared" si="0"/>
        <v>937</v>
      </c>
      <c r="G37" s="187">
        <f t="shared" si="1"/>
        <v>0</v>
      </c>
      <c r="H37" s="225"/>
      <c r="I37" s="225"/>
      <c r="J37" s="225"/>
      <c r="K37" s="225"/>
      <c r="L37" s="225"/>
      <c r="M37" s="225"/>
      <c r="N37" s="225"/>
      <c r="O37" s="225"/>
      <c r="P37" s="225">
        <v>937</v>
      </c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00"/>
      <c r="AI37" s="225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</row>
    <row r="38" spans="1:50" s="133" customFormat="1" ht="16.5" thickBot="1" x14ac:dyDescent="0.3">
      <c r="A38" s="142" t="s">
        <v>156</v>
      </c>
      <c r="B38" s="145" t="s">
        <v>334</v>
      </c>
      <c r="C38" s="187">
        <v>703</v>
      </c>
      <c r="D38" s="136"/>
      <c r="E38" s="187">
        <f t="shared" ref="E38:E41" si="5">C38</f>
        <v>703</v>
      </c>
      <c r="F38" s="187">
        <f t="shared" si="0"/>
        <v>703</v>
      </c>
      <c r="G38" s="187">
        <f t="shared" si="1"/>
        <v>0</v>
      </c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>
        <v>703</v>
      </c>
      <c r="AB38" s="225"/>
      <c r="AC38" s="225"/>
      <c r="AD38" s="225"/>
      <c r="AE38" s="225"/>
      <c r="AF38" s="225"/>
      <c r="AG38" s="225"/>
      <c r="AH38" s="200"/>
      <c r="AI38" s="225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</row>
    <row r="39" spans="1:50" ht="16.5" thickBot="1" x14ac:dyDescent="0.3">
      <c r="A39" s="142" t="s">
        <v>160</v>
      </c>
      <c r="B39" s="145" t="s">
        <v>337</v>
      </c>
      <c r="C39" s="187">
        <v>1171</v>
      </c>
      <c r="D39" s="136"/>
      <c r="E39" s="187">
        <f t="shared" si="5"/>
        <v>1171</v>
      </c>
      <c r="F39" s="187">
        <f t="shared" si="0"/>
        <v>1171</v>
      </c>
      <c r="G39" s="187">
        <f t="shared" si="1"/>
        <v>0</v>
      </c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>
        <v>960</v>
      </c>
      <c r="S39" s="225"/>
      <c r="T39" s="225">
        <v>211</v>
      </c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00"/>
      <c r="AI39" s="225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</row>
    <row r="40" spans="1:50" ht="16.5" thickBot="1" x14ac:dyDescent="0.3">
      <c r="A40" s="142" t="s">
        <v>170</v>
      </c>
      <c r="B40" s="145" t="s">
        <v>398</v>
      </c>
      <c r="C40" s="187">
        <v>234</v>
      </c>
      <c r="D40" s="136"/>
      <c r="E40" s="187">
        <f t="shared" si="5"/>
        <v>234</v>
      </c>
      <c r="F40" s="187">
        <f t="shared" si="0"/>
        <v>234</v>
      </c>
      <c r="G40" s="187">
        <f t="shared" si="1"/>
        <v>0</v>
      </c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>
        <v>234</v>
      </c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00"/>
      <c r="AI40" s="225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</row>
    <row r="41" spans="1:50" ht="16.5" thickBot="1" x14ac:dyDescent="0.3">
      <c r="A41" s="142" t="s">
        <v>655</v>
      </c>
      <c r="B41" s="145" t="s">
        <v>349</v>
      </c>
      <c r="C41" s="187">
        <v>62071</v>
      </c>
      <c r="D41" s="136"/>
      <c r="E41" s="187">
        <f t="shared" si="5"/>
        <v>62071</v>
      </c>
      <c r="F41" s="187">
        <f t="shared" si="0"/>
        <v>62071.000000000007</v>
      </c>
      <c r="G41" s="187">
        <f t="shared" si="1"/>
        <v>0</v>
      </c>
      <c r="H41" s="225"/>
      <c r="I41" s="225"/>
      <c r="J41" s="225"/>
      <c r="K41" s="225"/>
      <c r="L41" s="225">
        <v>6378.65</v>
      </c>
      <c r="M41" s="225">
        <v>4862.5600000000004</v>
      </c>
      <c r="N41" s="225">
        <v>3001.92</v>
      </c>
      <c r="O41" s="225"/>
      <c r="P41" s="225"/>
      <c r="Q41" s="225">
        <v>9788.01</v>
      </c>
      <c r="R41" s="225">
        <v>3764.73</v>
      </c>
      <c r="S41" s="225">
        <v>7057.85</v>
      </c>
      <c r="T41" s="225"/>
      <c r="U41" s="225"/>
      <c r="V41" s="225"/>
      <c r="W41" s="225"/>
      <c r="X41" s="225">
        <v>2094.15</v>
      </c>
      <c r="Y41" s="225"/>
      <c r="Z41" s="225">
        <v>3550.59</v>
      </c>
      <c r="AA41" s="225"/>
      <c r="AB41" s="225"/>
      <c r="AC41" s="225"/>
      <c r="AD41" s="225"/>
      <c r="AE41" s="225">
        <v>5993.37</v>
      </c>
      <c r="AF41" s="225"/>
      <c r="AG41" s="225"/>
      <c r="AH41" s="200"/>
      <c r="AI41" s="225">
        <v>15470.99</v>
      </c>
      <c r="AJ41" s="200"/>
      <c r="AK41" s="200"/>
      <c r="AL41" s="200"/>
      <c r="AM41" s="200"/>
      <c r="AN41" s="200"/>
      <c r="AO41" s="200"/>
      <c r="AP41" s="225">
        <v>108.18</v>
      </c>
      <c r="AQ41" s="200"/>
      <c r="AR41" s="200"/>
      <c r="AS41" s="200"/>
      <c r="AT41" s="200"/>
      <c r="AU41" s="200"/>
      <c r="AV41" s="200"/>
      <c r="AW41" s="200"/>
      <c r="AX41" s="200"/>
    </row>
    <row r="42" spans="1:50" ht="16.5" thickBot="1" x14ac:dyDescent="0.3">
      <c r="A42" s="142" t="s">
        <v>656</v>
      </c>
      <c r="B42" s="145" t="s">
        <v>350</v>
      </c>
      <c r="C42" s="187">
        <v>234</v>
      </c>
      <c r="D42" s="136" t="s">
        <v>371</v>
      </c>
      <c r="E42" s="187">
        <v>0</v>
      </c>
      <c r="F42" s="187">
        <f t="shared" si="0"/>
        <v>0</v>
      </c>
      <c r="G42" s="187">
        <f t="shared" si="1"/>
        <v>0</v>
      </c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00"/>
      <c r="AI42" s="225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</row>
    <row r="43" spans="1:50" ht="16.5" thickBot="1" x14ac:dyDescent="0.3">
      <c r="A43" s="142" t="s">
        <v>175</v>
      </c>
      <c r="B43" s="145" t="s">
        <v>351</v>
      </c>
      <c r="C43" s="187">
        <v>234</v>
      </c>
      <c r="D43" s="136"/>
      <c r="E43" s="187">
        <f>C43</f>
        <v>234</v>
      </c>
      <c r="F43" s="187">
        <f t="shared" si="0"/>
        <v>234</v>
      </c>
      <c r="G43" s="187">
        <f t="shared" si="1"/>
        <v>0</v>
      </c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>
        <v>50</v>
      </c>
      <c r="AI43" s="225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>
        <v>184</v>
      </c>
      <c r="AU43" s="200"/>
      <c r="AV43" s="200"/>
      <c r="AW43" s="200"/>
      <c r="AX43" s="200"/>
    </row>
    <row r="44" spans="1:50" s="133" customFormat="1" ht="16.5" thickBot="1" x14ac:dyDescent="0.3">
      <c r="A44" s="142" t="s">
        <v>181</v>
      </c>
      <c r="B44" s="145" t="s">
        <v>357</v>
      </c>
      <c r="C44" s="187">
        <v>468</v>
      </c>
      <c r="D44" s="136"/>
      <c r="E44" s="187">
        <f>C44</f>
        <v>468</v>
      </c>
      <c r="F44" s="187">
        <f t="shared" si="0"/>
        <v>468</v>
      </c>
      <c r="G44" s="187">
        <f t="shared" si="1"/>
        <v>0</v>
      </c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>
        <v>468</v>
      </c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00"/>
      <c r="AI44" s="225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</row>
    <row r="45" spans="1:50" ht="16.5" thickBot="1" x14ac:dyDescent="0.3">
      <c r="A45" s="142" t="s">
        <v>370</v>
      </c>
      <c r="B45" s="145" t="s">
        <v>374</v>
      </c>
      <c r="C45" s="187">
        <v>0</v>
      </c>
      <c r="D45" s="136"/>
      <c r="E45" s="187">
        <v>937</v>
      </c>
      <c r="F45" s="187">
        <f t="shared" si="0"/>
        <v>937</v>
      </c>
      <c r="G45" s="187">
        <f t="shared" si="1"/>
        <v>0</v>
      </c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>
        <v>223.05</v>
      </c>
      <c r="AC45" s="225"/>
      <c r="AD45" s="225"/>
      <c r="AE45" s="225">
        <v>713.95</v>
      </c>
      <c r="AF45" s="225"/>
      <c r="AG45" s="225"/>
      <c r="AH45" s="200"/>
      <c r="AI45" s="225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</row>
    <row r="46" spans="1:50" s="133" customFormat="1" ht="16.5" thickBot="1" x14ac:dyDescent="0.3">
      <c r="A46" s="142" t="s">
        <v>657</v>
      </c>
      <c r="B46" s="145" t="s">
        <v>608</v>
      </c>
      <c r="C46" s="187">
        <v>0</v>
      </c>
      <c r="D46" s="136"/>
      <c r="E46" s="187">
        <v>234</v>
      </c>
      <c r="F46" s="187">
        <f t="shared" si="0"/>
        <v>234</v>
      </c>
      <c r="G46" s="187">
        <f t="shared" si="1"/>
        <v>0</v>
      </c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>
        <v>234</v>
      </c>
      <c r="AE46" s="225"/>
      <c r="AF46" s="225"/>
      <c r="AG46" s="225"/>
      <c r="AH46" s="200"/>
      <c r="AI46" s="225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</row>
    <row r="47" spans="1:50" ht="16.5" thickBot="1" x14ac:dyDescent="0.3">
      <c r="A47" s="142" t="s">
        <v>401</v>
      </c>
      <c r="B47" s="145" t="s">
        <v>391</v>
      </c>
      <c r="C47" s="187">
        <v>0</v>
      </c>
      <c r="D47" s="136"/>
      <c r="E47" s="187">
        <v>703</v>
      </c>
      <c r="F47" s="187">
        <f t="shared" si="0"/>
        <v>703</v>
      </c>
      <c r="G47" s="187">
        <f t="shared" si="1"/>
        <v>0</v>
      </c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>
        <v>703</v>
      </c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00"/>
      <c r="AI47" s="225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</row>
    <row r="48" spans="1:50" ht="16.5" thickBot="1" x14ac:dyDescent="0.3">
      <c r="C48" s="200"/>
      <c r="E48" s="200"/>
      <c r="F48" s="200"/>
      <c r="G48" s="200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00"/>
      <c r="AI48" s="225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</row>
    <row r="49" spans="1:50" ht="16.5" thickBot="1" x14ac:dyDescent="0.3">
      <c r="A49" s="145" t="s">
        <v>575</v>
      </c>
      <c r="B49" s="145"/>
      <c r="C49" s="187">
        <f>SUM(C12:C48)</f>
        <v>492116</v>
      </c>
      <c r="D49" s="144"/>
      <c r="E49" s="187">
        <f>SUM(E12:E47)</f>
        <v>490243</v>
      </c>
      <c r="F49" s="187">
        <f>SUM(F12:F47)</f>
        <v>473183.28</v>
      </c>
      <c r="G49" s="187">
        <f>SUM(G12:G47)</f>
        <v>17059.72</v>
      </c>
      <c r="H49" s="187">
        <f t="shared" ref="H49:AX49" si="6">SUM(H12:H47)</f>
        <v>0</v>
      </c>
      <c r="I49" s="187">
        <f t="shared" si="6"/>
        <v>0</v>
      </c>
      <c r="J49" s="187">
        <f t="shared" si="6"/>
        <v>0</v>
      </c>
      <c r="K49" s="187">
        <f t="shared" si="6"/>
        <v>0</v>
      </c>
      <c r="L49" s="187">
        <f t="shared" si="6"/>
        <v>6378.65</v>
      </c>
      <c r="M49" s="187">
        <f t="shared" si="6"/>
        <v>4862.5600000000004</v>
      </c>
      <c r="N49" s="187">
        <f t="shared" si="6"/>
        <v>20822.949999999997</v>
      </c>
      <c r="O49" s="187">
        <f t="shared" si="6"/>
        <v>20475.650000000001</v>
      </c>
      <c r="P49" s="187">
        <f t="shared" si="6"/>
        <v>1869.3200000000002</v>
      </c>
      <c r="Q49" s="187">
        <f t="shared" si="6"/>
        <v>12755.1</v>
      </c>
      <c r="R49" s="187">
        <f t="shared" si="6"/>
        <v>4921.7299999999996</v>
      </c>
      <c r="S49" s="187">
        <f t="shared" si="6"/>
        <v>13075.560000000001</v>
      </c>
      <c r="T49" s="187">
        <f t="shared" si="6"/>
        <v>921.81999999999994</v>
      </c>
      <c r="U49" s="187">
        <f t="shared" si="6"/>
        <v>5267.37</v>
      </c>
      <c r="V49" s="187">
        <f t="shared" si="6"/>
        <v>1980.22</v>
      </c>
      <c r="W49" s="187">
        <f t="shared" si="6"/>
        <v>234</v>
      </c>
      <c r="X49" s="187">
        <f t="shared" si="6"/>
        <v>28759.15</v>
      </c>
      <c r="Y49" s="187">
        <f t="shared" si="6"/>
        <v>11748.390000000001</v>
      </c>
      <c r="Z49" s="187">
        <f t="shared" si="6"/>
        <v>17163.080000000002</v>
      </c>
      <c r="AA49" s="187">
        <f t="shared" si="6"/>
        <v>3867.08</v>
      </c>
      <c r="AB49" s="187">
        <f t="shared" si="6"/>
        <v>10752.63</v>
      </c>
      <c r="AC49" s="187">
        <f t="shared" si="6"/>
        <v>61174.29</v>
      </c>
      <c r="AD49" s="187">
        <f t="shared" si="6"/>
        <v>9139.4500000000007</v>
      </c>
      <c r="AE49" s="187">
        <f t="shared" si="6"/>
        <v>10449.580000000002</v>
      </c>
      <c r="AF49" s="187">
        <f t="shared" si="6"/>
        <v>34155.39</v>
      </c>
      <c r="AG49" s="187">
        <f t="shared" si="6"/>
        <v>3247.75</v>
      </c>
      <c r="AH49" s="187">
        <f t="shared" si="6"/>
        <v>50</v>
      </c>
      <c r="AI49" s="187">
        <f t="shared" si="6"/>
        <v>115669.58</v>
      </c>
      <c r="AJ49" s="187">
        <f t="shared" si="6"/>
        <v>12387.89</v>
      </c>
      <c r="AK49" s="187">
        <f t="shared" si="6"/>
        <v>0</v>
      </c>
      <c r="AL49" s="187">
        <f t="shared" si="6"/>
        <v>0</v>
      </c>
      <c r="AM49" s="187">
        <f t="shared" si="6"/>
        <v>0</v>
      </c>
      <c r="AN49" s="187">
        <f t="shared" si="6"/>
        <v>0</v>
      </c>
      <c r="AO49" s="187">
        <f t="shared" si="6"/>
        <v>0</v>
      </c>
      <c r="AP49" s="187">
        <f t="shared" si="6"/>
        <v>108.18</v>
      </c>
      <c r="AQ49" s="187">
        <f t="shared" si="6"/>
        <v>0</v>
      </c>
      <c r="AR49" s="187">
        <f t="shared" si="6"/>
        <v>0</v>
      </c>
      <c r="AS49" s="187">
        <f t="shared" si="6"/>
        <v>0</v>
      </c>
      <c r="AT49" s="187">
        <f t="shared" si="6"/>
        <v>60945.91</v>
      </c>
      <c r="AU49" s="187">
        <f t="shared" si="6"/>
        <v>0</v>
      </c>
      <c r="AV49" s="187">
        <f t="shared" si="6"/>
        <v>0</v>
      </c>
      <c r="AW49" s="187">
        <f t="shared" si="6"/>
        <v>0</v>
      </c>
      <c r="AX49" s="187">
        <f t="shared" si="6"/>
        <v>0</v>
      </c>
    </row>
    <row r="50" spans="1:50" x14ac:dyDescent="0.25">
      <c r="E50" s="163"/>
    </row>
  </sheetData>
  <sheetProtection algorithmName="SHA-512" hashValue="8sIlMAmen/frOjXovx8SVN0PgvoVuVyTFuo/z88kNHLIX58JrwRlWudJnVlRDwNWEfRFXn1GqmT39sD+1DVA1Q==" saltValue="yB9Q31rMyM2ZY9PutO45IQ==" spinCount="100000" sheet="1" objects="1" scenarios="1"/>
  <autoFilter ref="A11:AX47" xr:uid="{00000000-0009-0000-0000-000006000000}"/>
  <sortState xmlns:xlrd2="http://schemas.microsoft.com/office/spreadsheetml/2017/richdata2" ref="A169:AH202">
    <sortCondition ref="A12"/>
  </sortState>
  <pageMargins left="0.7" right="0.7" top="0.75" bottom="0.75" header="0.3" footer="0.3"/>
  <pageSetup scale="1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66CCFF"/>
  </sheetPr>
  <dimension ref="A1:AX233"/>
  <sheetViews>
    <sheetView zoomScaleNormal="100" workbookViewId="0">
      <pane xSplit="7" ySplit="11" topLeftCell="AS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AT199" sqref="AT199"/>
    </sheetView>
  </sheetViews>
  <sheetFormatPr defaultColWidth="9.140625" defaultRowHeight="15" x14ac:dyDescent="0.25"/>
  <cols>
    <col min="1" max="1" width="9.140625" style="118"/>
    <col min="2" max="2" width="33" style="7" bestFit="1" customWidth="1"/>
    <col min="3" max="3" width="16.7109375" style="7" customWidth="1"/>
    <col min="4" max="4" width="16.7109375" style="110" customWidth="1"/>
    <col min="5" max="7" width="16.7109375" style="7" customWidth="1"/>
    <col min="8" max="15" width="15.7109375" style="7" customWidth="1"/>
    <col min="16" max="16" width="15.7109375" style="245" customWidth="1"/>
    <col min="17" max="17" width="15.7109375" style="94" customWidth="1"/>
    <col min="18" max="18" width="15.7109375" style="7" customWidth="1"/>
    <col min="19" max="19" width="15.7109375" style="260" customWidth="1"/>
    <col min="20" max="34" width="15.7109375" style="7" customWidth="1"/>
    <col min="35" max="50" width="16.28515625" style="7" customWidth="1"/>
    <col min="51" max="16384" width="9.140625" style="7"/>
  </cols>
  <sheetData>
    <row r="1" spans="1:50" s="62" customFormat="1" ht="21" x14ac:dyDescent="0.35">
      <c r="A1" s="122" t="s">
        <v>0</v>
      </c>
      <c r="B1" s="64"/>
      <c r="C1" s="122" t="s">
        <v>666</v>
      </c>
      <c r="D1" s="103"/>
      <c r="E1" s="122"/>
      <c r="F1" s="63"/>
      <c r="G1" s="63"/>
      <c r="H1" s="66"/>
      <c r="I1" s="66"/>
      <c r="J1" s="122" t="str">
        <f>C1</f>
        <v>Title IV Formula (Revised Final Allocations)</v>
      </c>
      <c r="K1" s="122"/>
      <c r="L1" s="63"/>
      <c r="M1" s="63"/>
      <c r="N1" s="63"/>
      <c r="O1" s="63"/>
      <c r="P1" s="241" t="str">
        <f>C1</f>
        <v>Title IV Formula (Revised Final Allocations)</v>
      </c>
      <c r="Q1" s="97"/>
      <c r="R1" s="122"/>
      <c r="S1" s="256"/>
      <c r="T1" s="63"/>
      <c r="U1" s="63"/>
      <c r="V1" s="122" t="str">
        <f>C1</f>
        <v>Title IV Formula (Revised Final Allocations)</v>
      </c>
      <c r="W1" s="63"/>
      <c r="X1" s="66"/>
      <c r="Y1" s="66"/>
      <c r="Z1" s="122"/>
      <c r="AA1" s="122"/>
      <c r="AB1" s="122" t="str">
        <f>C1</f>
        <v>Title IV Formula (Revised Final Allocations)</v>
      </c>
      <c r="AC1" s="63"/>
      <c r="AD1" s="63"/>
      <c r="AE1" s="63"/>
      <c r="AF1" s="122" t="str">
        <f>C1</f>
        <v>Title IV Formula (Revised Final Allocations)</v>
      </c>
      <c r="AG1" s="66"/>
      <c r="AH1" s="122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</row>
    <row r="2" spans="1:50" s="62" customFormat="1" ht="15.75" x14ac:dyDescent="0.25">
      <c r="A2" s="123" t="s">
        <v>1</v>
      </c>
      <c r="B2" s="64"/>
      <c r="C2" s="68" t="s">
        <v>626</v>
      </c>
      <c r="D2" s="104"/>
      <c r="E2" s="68"/>
      <c r="F2" s="67"/>
      <c r="G2" s="67"/>
      <c r="H2" s="66"/>
      <c r="I2" s="66"/>
      <c r="J2" s="67" t="str">
        <f>"FY"&amp;C4</f>
        <v>FY2019-2020</v>
      </c>
      <c r="K2" s="67"/>
      <c r="L2" s="123"/>
      <c r="M2" s="123"/>
      <c r="N2" s="67"/>
      <c r="O2" s="67"/>
      <c r="P2" s="242" t="str">
        <f>"FY"&amp;C4</f>
        <v>FY2019-2020</v>
      </c>
      <c r="Q2" s="98"/>
      <c r="R2" s="67"/>
      <c r="S2" s="257"/>
      <c r="T2" s="123"/>
      <c r="U2" s="123"/>
      <c r="V2" s="67" t="str">
        <f>"FY"&amp;C4</f>
        <v>FY2019-2020</v>
      </c>
      <c r="W2" s="67"/>
      <c r="X2" s="67"/>
      <c r="Y2" s="67"/>
      <c r="Z2" s="67"/>
      <c r="AA2" s="67"/>
      <c r="AB2" s="67" t="str">
        <f>"FY"&amp;C4</f>
        <v>FY2019-2020</v>
      </c>
      <c r="AC2" s="123"/>
      <c r="AD2" s="67"/>
      <c r="AE2" s="67"/>
      <c r="AF2" s="67" t="str">
        <f>"FY"&amp;C4</f>
        <v>FY2019-2020</v>
      </c>
      <c r="AG2" s="67"/>
      <c r="AH2" s="67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</row>
    <row r="3" spans="1:50" s="62" customFormat="1" ht="15.75" x14ac:dyDescent="0.25">
      <c r="A3" s="123" t="s">
        <v>3</v>
      </c>
      <c r="B3" s="64"/>
      <c r="C3" s="123">
        <v>4424</v>
      </c>
      <c r="D3" s="105"/>
      <c r="E3" s="123"/>
      <c r="F3" s="67"/>
      <c r="G3" s="67"/>
      <c r="H3" s="66"/>
      <c r="I3" s="66"/>
      <c r="J3" s="66"/>
      <c r="K3" s="66"/>
      <c r="L3" s="66"/>
      <c r="M3" s="66"/>
      <c r="N3" s="66"/>
      <c r="O3" s="66"/>
      <c r="P3" s="243"/>
      <c r="Q3" s="97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</row>
    <row r="4" spans="1:50" s="62" customFormat="1" ht="21" x14ac:dyDescent="0.35">
      <c r="A4" s="123" t="s">
        <v>2</v>
      </c>
      <c r="B4" s="64"/>
      <c r="C4" s="122" t="s">
        <v>635</v>
      </c>
      <c r="D4" s="105"/>
      <c r="E4" s="122"/>
      <c r="F4" s="67"/>
      <c r="G4" s="67"/>
      <c r="H4" s="66"/>
      <c r="I4" s="66"/>
      <c r="J4" s="66"/>
      <c r="K4" s="66"/>
      <c r="L4" s="66"/>
      <c r="M4" s="66"/>
      <c r="N4" s="66"/>
      <c r="O4" s="66"/>
      <c r="P4" s="243"/>
      <c r="Q4" s="97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</row>
    <row r="5" spans="1:50" s="62" customFormat="1" ht="15.75" x14ac:dyDescent="0.25">
      <c r="A5" s="123" t="s">
        <v>392</v>
      </c>
      <c r="B5" s="64"/>
      <c r="C5" s="67" t="s">
        <v>634</v>
      </c>
      <c r="D5" s="106"/>
      <c r="E5" s="67"/>
      <c r="F5" s="67"/>
      <c r="G5" s="70"/>
      <c r="H5" s="70"/>
      <c r="I5" s="70"/>
      <c r="J5" s="70"/>
      <c r="K5" s="70"/>
      <c r="L5" s="70"/>
      <c r="M5" s="70"/>
      <c r="N5" s="70"/>
      <c r="O5" s="70"/>
      <c r="P5" s="243"/>
      <c r="Q5" s="99"/>
      <c r="R5" s="70"/>
      <c r="S5" s="66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</row>
    <row r="6" spans="1:50" s="62" customFormat="1" ht="15.75" x14ac:dyDescent="0.25">
      <c r="A6" s="123" t="s">
        <v>4</v>
      </c>
      <c r="B6" s="64"/>
      <c r="C6" s="67" t="s">
        <v>364</v>
      </c>
      <c r="D6" s="106"/>
      <c r="E6" s="67"/>
      <c r="F6" s="67"/>
      <c r="G6" s="70"/>
      <c r="H6" s="70"/>
      <c r="I6" s="70"/>
      <c r="J6" s="70"/>
      <c r="K6" s="70"/>
      <c r="L6" s="70"/>
      <c r="M6" s="70"/>
      <c r="N6" s="70"/>
      <c r="O6" s="70"/>
      <c r="P6" s="243"/>
      <c r="Q6" s="99"/>
      <c r="R6" s="70"/>
      <c r="S6" s="66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</row>
    <row r="7" spans="1:50" s="62" customFormat="1" ht="15.75" x14ac:dyDescent="0.25">
      <c r="A7" s="123"/>
      <c r="B7" s="64"/>
      <c r="C7" s="67" t="s">
        <v>647</v>
      </c>
      <c r="D7" s="106"/>
      <c r="E7" s="67"/>
      <c r="F7" s="67"/>
      <c r="G7" s="70"/>
      <c r="H7" s="70"/>
      <c r="I7" s="70"/>
      <c r="J7" s="70"/>
      <c r="K7" s="70"/>
      <c r="L7" s="70"/>
      <c r="M7" s="70"/>
      <c r="N7" s="70"/>
      <c r="O7" s="70"/>
      <c r="P7" s="243"/>
      <c r="Q7" s="99"/>
      <c r="R7" s="70"/>
      <c r="S7" s="66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</row>
    <row r="8" spans="1:50" s="62" customFormat="1" ht="15.75" x14ac:dyDescent="0.25">
      <c r="A8" s="123" t="s">
        <v>378</v>
      </c>
      <c r="B8" s="64"/>
      <c r="C8" s="67" t="s">
        <v>588</v>
      </c>
      <c r="D8" s="106"/>
      <c r="E8" s="67"/>
      <c r="F8" s="67"/>
      <c r="G8" s="70"/>
      <c r="H8" s="70"/>
      <c r="I8" s="70"/>
      <c r="J8" s="70"/>
      <c r="K8" s="70"/>
      <c r="L8" s="70"/>
      <c r="M8" s="70"/>
      <c r="N8" s="70"/>
      <c r="O8" s="70"/>
      <c r="P8" s="243"/>
      <c r="Q8" s="99"/>
      <c r="R8" s="70"/>
      <c r="S8" s="66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</row>
    <row r="9" spans="1:50" s="62" customFormat="1" ht="15.75" x14ac:dyDescent="0.25">
      <c r="A9" s="123" t="s">
        <v>379</v>
      </c>
      <c r="B9" s="64"/>
      <c r="C9" s="67" t="s">
        <v>380</v>
      </c>
      <c r="D9" s="106"/>
      <c r="E9" s="67"/>
      <c r="F9" s="67"/>
      <c r="G9" s="70"/>
      <c r="H9" s="70"/>
      <c r="I9" s="70"/>
      <c r="J9" s="70"/>
      <c r="K9" s="70"/>
      <c r="L9" s="70"/>
      <c r="M9" s="70"/>
      <c r="N9" s="70"/>
      <c r="O9" s="70"/>
      <c r="P9" s="243"/>
      <c r="Q9" s="99"/>
      <c r="R9" s="70"/>
      <c r="S9" s="66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</row>
    <row r="10" spans="1:50" s="62" customFormat="1" ht="16.5" thickBot="1" x14ac:dyDescent="0.3">
      <c r="A10" s="123" t="s">
        <v>393</v>
      </c>
      <c r="B10" s="64"/>
      <c r="C10" s="67" t="s">
        <v>670</v>
      </c>
      <c r="D10" s="106"/>
      <c r="E10" s="67"/>
      <c r="F10" s="67"/>
      <c r="G10" s="70"/>
      <c r="H10" s="70"/>
      <c r="I10" s="70"/>
      <c r="J10" s="70"/>
      <c r="K10" s="70"/>
      <c r="L10" s="70"/>
      <c r="M10" s="70"/>
      <c r="N10" s="70"/>
      <c r="O10" s="70"/>
      <c r="P10" s="243"/>
      <c r="Q10" s="99"/>
      <c r="R10" s="70"/>
      <c r="S10" s="66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</row>
    <row r="11" spans="1:50" s="37" customFormat="1" ht="48.75" customHeight="1" thickBot="1" x14ac:dyDescent="0.3">
      <c r="A11" s="114" t="s">
        <v>365</v>
      </c>
      <c r="B11" s="87" t="s">
        <v>366</v>
      </c>
      <c r="C11" s="87" t="s">
        <v>367</v>
      </c>
      <c r="D11" s="107" t="s">
        <v>632</v>
      </c>
      <c r="E11" s="41" t="s">
        <v>624</v>
      </c>
      <c r="F11" s="42" t="s">
        <v>368</v>
      </c>
      <c r="G11" s="49" t="s">
        <v>369</v>
      </c>
      <c r="H11" s="100" t="s">
        <v>578</v>
      </c>
      <c r="I11" s="100" t="s">
        <v>579</v>
      </c>
      <c r="J11" s="100" t="s">
        <v>580</v>
      </c>
      <c r="K11" s="100" t="s">
        <v>590</v>
      </c>
      <c r="L11" s="100" t="s">
        <v>591</v>
      </c>
      <c r="M11" s="100" t="s">
        <v>592</v>
      </c>
      <c r="N11" s="100" t="s">
        <v>593</v>
      </c>
      <c r="O11" s="100" t="s">
        <v>594</v>
      </c>
      <c r="P11" s="100" t="s">
        <v>595</v>
      </c>
      <c r="Q11" s="101" t="s">
        <v>596</v>
      </c>
      <c r="R11" s="100" t="s">
        <v>597</v>
      </c>
      <c r="S11" s="100" t="s">
        <v>598</v>
      </c>
      <c r="T11" s="100" t="s">
        <v>599</v>
      </c>
      <c r="U11" s="100" t="s">
        <v>600</v>
      </c>
      <c r="V11" s="100" t="s">
        <v>601</v>
      </c>
      <c r="W11" s="100" t="s">
        <v>627</v>
      </c>
      <c r="X11" s="100" t="s">
        <v>628</v>
      </c>
      <c r="Y11" s="100" t="s">
        <v>629</v>
      </c>
      <c r="Z11" s="100" t="s">
        <v>636</v>
      </c>
      <c r="AA11" s="100" t="s">
        <v>637</v>
      </c>
      <c r="AB11" s="100" t="s">
        <v>638</v>
      </c>
      <c r="AC11" s="100" t="s">
        <v>639</v>
      </c>
      <c r="AD11" s="100" t="s">
        <v>640</v>
      </c>
      <c r="AE11" s="100" t="s">
        <v>641</v>
      </c>
      <c r="AF11" s="100" t="s">
        <v>642</v>
      </c>
      <c r="AG11" s="100" t="s">
        <v>643</v>
      </c>
      <c r="AH11" s="100" t="s">
        <v>644</v>
      </c>
      <c r="AI11" s="100" t="s">
        <v>645</v>
      </c>
      <c r="AJ11" s="100" t="s">
        <v>646</v>
      </c>
      <c r="AK11" s="100" t="s">
        <v>648</v>
      </c>
      <c r="AL11" s="100" t="s">
        <v>671</v>
      </c>
      <c r="AM11" s="100" t="s">
        <v>672</v>
      </c>
      <c r="AN11" s="100" t="s">
        <v>673</v>
      </c>
      <c r="AO11" s="100" t="s">
        <v>674</v>
      </c>
      <c r="AP11" s="100" t="s">
        <v>675</v>
      </c>
      <c r="AQ11" s="100" t="s">
        <v>681</v>
      </c>
      <c r="AR11" s="100" t="s">
        <v>680</v>
      </c>
      <c r="AS11" s="100" t="s">
        <v>679</v>
      </c>
      <c r="AT11" s="100" t="s">
        <v>678</v>
      </c>
      <c r="AU11" s="100" t="s">
        <v>677</v>
      </c>
      <c r="AV11" s="100" t="s">
        <v>676</v>
      </c>
      <c r="AW11" s="100" t="s">
        <v>630</v>
      </c>
      <c r="AX11" s="100" t="s">
        <v>631</v>
      </c>
    </row>
    <row r="12" spans="1:50" s="3" customFormat="1" ht="19.5" thickBot="1" x14ac:dyDescent="0.35">
      <c r="A12" s="142" t="s">
        <v>6</v>
      </c>
      <c r="B12" s="145" t="s">
        <v>184</v>
      </c>
      <c r="C12" s="227">
        <v>82948</v>
      </c>
      <c r="D12" s="136"/>
      <c r="E12" s="222">
        <f>C12</f>
        <v>82948</v>
      </c>
      <c r="F12" s="187">
        <f>SUM(H12:AT12)</f>
        <v>82948</v>
      </c>
      <c r="G12" s="247">
        <f>E12-(F12+AW12+AX12)</f>
        <v>0</v>
      </c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>
        <v>589.58000000000004</v>
      </c>
      <c r="V12" s="240"/>
      <c r="W12" s="240">
        <v>4130.54</v>
      </c>
      <c r="X12" s="240">
        <v>2700.48</v>
      </c>
      <c r="Y12" s="240">
        <v>1350.24</v>
      </c>
      <c r="Z12" s="240">
        <v>1350.24</v>
      </c>
      <c r="AA12" s="240">
        <v>1350.24</v>
      </c>
      <c r="AB12" s="240"/>
      <c r="AC12" s="240">
        <v>57957.49</v>
      </c>
      <c r="AD12" s="240">
        <v>9875.0400000000009</v>
      </c>
      <c r="AE12" s="240">
        <v>3644.15</v>
      </c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</row>
    <row r="13" spans="1:50" s="3" customFormat="1" ht="19.5" thickBot="1" x14ac:dyDescent="0.35">
      <c r="A13" s="142" t="s">
        <v>7</v>
      </c>
      <c r="B13" s="145" t="s">
        <v>413</v>
      </c>
      <c r="C13" s="227">
        <v>318247</v>
      </c>
      <c r="D13" s="136"/>
      <c r="E13" s="222">
        <f t="shared" ref="E13:E76" si="0">C13</f>
        <v>318247</v>
      </c>
      <c r="F13" s="187">
        <f t="shared" ref="F13:F76" si="1">SUM(H13:AT13)</f>
        <v>318247</v>
      </c>
      <c r="G13" s="247">
        <f t="shared" ref="G13:G76" si="2">E13-(F13+AW13+AX13)</f>
        <v>0</v>
      </c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>
        <f>82985.71+77304.62</f>
        <v>160290.33000000002</v>
      </c>
      <c r="Y13" s="240">
        <v>10423.43</v>
      </c>
      <c r="Z13" s="240">
        <v>9164.85</v>
      </c>
      <c r="AA13" s="240">
        <v>11173.74</v>
      </c>
      <c r="AB13" s="240">
        <v>4384.0600000000004</v>
      </c>
      <c r="AC13" s="240">
        <v>57462.42</v>
      </c>
      <c r="AD13" s="240">
        <v>13305.23</v>
      </c>
      <c r="AE13" s="240">
        <v>52042.94</v>
      </c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</row>
    <row r="14" spans="1:50" s="3" customFormat="1" ht="19.5" thickBot="1" x14ac:dyDescent="0.35">
      <c r="A14" s="142" t="s">
        <v>8</v>
      </c>
      <c r="B14" s="145" t="s">
        <v>186</v>
      </c>
      <c r="C14" s="227">
        <v>147771</v>
      </c>
      <c r="D14" s="136"/>
      <c r="E14" s="222">
        <f t="shared" si="0"/>
        <v>147771</v>
      </c>
      <c r="F14" s="187">
        <f t="shared" si="1"/>
        <v>147771</v>
      </c>
      <c r="G14" s="247">
        <f t="shared" si="2"/>
        <v>0</v>
      </c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>
        <v>3530.37</v>
      </c>
      <c r="Y14" s="240">
        <v>17014.78</v>
      </c>
      <c r="Z14" s="240"/>
      <c r="AA14" s="240">
        <f>38360.22+32636.94</f>
        <v>70997.16</v>
      </c>
      <c r="AB14" s="240">
        <v>22237.39</v>
      </c>
      <c r="AC14" s="240">
        <v>21660.99</v>
      </c>
      <c r="AD14" s="240">
        <v>12330.31</v>
      </c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</row>
    <row r="15" spans="1:50" s="3" customFormat="1" ht="19.5" thickBot="1" x14ac:dyDescent="0.35">
      <c r="A15" s="142" t="s">
        <v>9</v>
      </c>
      <c r="B15" s="145" t="s">
        <v>396</v>
      </c>
      <c r="C15" s="227">
        <v>91672</v>
      </c>
      <c r="D15" s="136"/>
      <c r="E15" s="222">
        <f t="shared" si="0"/>
        <v>91672</v>
      </c>
      <c r="F15" s="187">
        <f t="shared" si="1"/>
        <v>91672</v>
      </c>
      <c r="G15" s="247">
        <f t="shared" si="2"/>
        <v>0</v>
      </c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>
        <v>12535.04</v>
      </c>
      <c r="Z15" s="240"/>
      <c r="AA15" s="240"/>
      <c r="AB15" s="240">
        <f>10444+12362</f>
        <v>22806</v>
      </c>
      <c r="AC15" s="240"/>
      <c r="AD15" s="240">
        <v>16065</v>
      </c>
      <c r="AE15" s="240"/>
      <c r="AF15" s="240">
        <v>5701</v>
      </c>
      <c r="AG15" s="240"/>
      <c r="AH15" s="240">
        <v>6417.82</v>
      </c>
      <c r="AI15" s="240">
        <v>26751</v>
      </c>
      <c r="AJ15" s="240"/>
      <c r="AK15" s="240">
        <v>1396.14</v>
      </c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</row>
    <row r="16" spans="1:50" s="3" customFormat="1" ht="19.5" thickBot="1" x14ac:dyDescent="0.35">
      <c r="A16" s="142" t="s">
        <v>10</v>
      </c>
      <c r="B16" s="145" t="s">
        <v>188</v>
      </c>
      <c r="C16" s="227">
        <v>10000</v>
      </c>
      <c r="D16" s="136">
        <v>9025</v>
      </c>
      <c r="E16" s="222">
        <v>0</v>
      </c>
      <c r="F16" s="187">
        <f t="shared" si="1"/>
        <v>0</v>
      </c>
      <c r="G16" s="247">
        <f t="shared" si="2"/>
        <v>0</v>
      </c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</row>
    <row r="17" spans="1:50" s="3" customFormat="1" ht="19.5" thickBot="1" x14ac:dyDescent="0.35">
      <c r="A17" s="142" t="s">
        <v>11</v>
      </c>
      <c r="B17" s="145" t="s">
        <v>189</v>
      </c>
      <c r="C17" s="227">
        <v>10000</v>
      </c>
      <c r="D17" s="136">
        <v>9025</v>
      </c>
      <c r="E17" s="222">
        <v>0</v>
      </c>
      <c r="F17" s="187">
        <f t="shared" si="1"/>
        <v>0</v>
      </c>
      <c r="G17" s="247">
        <f t="shared" si="2"/>
        <v>0</v>
      </c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</row>
    <row r="18" spans="1:50" s="3" customFormat="1" ht="19.5" thickBot="1" x14ac:dyDescent="0.35">
      <c r="A18" s="142" t="s">
        <v>12</v>
      </c>
      <c r="B18" s="145" t="s">
        <v>602</v>
      </c>
      <c r="C18" s="227">
        <v>202029</v>
      </c>
      <c r="D18" s="136"/>
      <c r="E18" s="222">
        <f t="shared" si="0"/>
        <v>202029</v>
      </c>
      <c r="F18" s="187">
        <f t="shared" si="1"/>
        <v>202028.99999999997</v>
      </c>
      <c r="G18" s="247">
        <f t="shared" si="2"/>
        <v>0</v>
      </c>
      <c r="H18" s="240"/>
      <c r="I18" s="240"/>
      <c r="J18" s="240"/>
      <c r="K18" s="240"/>
      <c r="L18" s="240"/>
      <c r="M18" s="240"/>
      <c r="N18" s="240"/>
      <c r="O18" s="240"/>
      <c r="P18" s="240"/>
      <c r="Q18" s="240">
        <v>8139.41</v>
      </c>
      <c r="R18" s="281">
        <v>24512.16</v>
      </c>
      <c r="S18" s="240">
        <v>41883.85</v>
      </c>
      <c r="T18" s="240"/>
      <c r="U18" s="240"/>
      <c r="V18" s="240">
        <v>837.68</v>
      </c>
      <c r="W18" s="240"/>
      <c r="X18" s="240"/>
      <c r="Y18" s="240">
        <v>7500</v>
      </c>
      <c r="Z18" s="240"/>
      <c r="AA18" s="240">
        <v>42022</v>
      </c>
      <c r="AB18" s="240"/>
      <c r="AC18" s="240">
        <v>42990.44</v>
      </c>
      <c r="AD18" s="240"/>
      <c r="AE18" s="240">
        <v>34143.46</v>
      </c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</row>
    <row r="19" spans="1:50" s="3" customFormat="1" ht="19.5" thickBot="1" x14ac:dyDescent="0.35">
      <c r="A19" s="142" t="s">
        <v>13</v>
      </c>
      <c r="B19" s="145" t="s">
        <v>414</v>
      </c>
      <c r="C19" s="227">
        <v>60121</v>
      </c>
      <c r="D19" s="136"/>
      <c r="E19" s="222">
        <f t="shared" si="0"/>
        <v>60121</v>
      </c>
      <c r="F19" s="187">
        <f t="shared" si="1"/>
        <v>60121</v>
      </c>
      <c r="G19" s="247">
        <f t="shared" si="2"/>
        <v>0</v>
      </c>
      <c r="H19" s="240"/>
      <c r="I19" s="240"/>
      <c r="J19" s="240"/>
      <c r="K19" s="240"/>
      <c r="L19" s="240"/>
      <c r="M19" s="240"/>
      <c r="N19" s="240">
        <v>3292.53</v>
      </c>
      <c r="O19" s="240">
        <v>4703.2700000000004</v>
      </c>
      <c r="P19" s="240">
        <v>6017.67</v>
      </c>
      <c r="Q19" s="240">
        <v>8678.35</v>
      </c>
      <c r="R19" s="281">
        <v>4855.92</v>
      </c>
      <c r="S19" s="240">
        <v>4703.45</v>
      </c>
      <c r="T19" s="240">
        <v>4518.05</v>
      </c>
      <c r="U19" s="240">
        <v>3029.08</v>
      </c>
      <c r="V19" s="240">
        <v>3029.18</v>
      </c>
      <c r="W19" s="240">
        <v>8821.52</v>
      </c>
      <c r="X19" s="240"/>
      <c r="Y19" s="240">
        <f>5072.27+3088.94</f>
        <v>8161.2100000000009</v>
      </c>
      <c r="Z19" s="240">
        <v>310.77</v>
      </c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</row>
    <row r="20" spans="1:50" s="3" customFormat="1" ht="19.5" thickBot="1" x14ac:dyDescent="0.35">
      <c r="A20" s="142" t="s">
        <v>14</v>
      </c>
      <c r="B20" s="145" t="s">
        <v>416</v>
      </c>
      <c r="C20" s="227">
        <v>10000</v>
      </c>
      <c r="D20" s="136"/>
      <c r="E20" s="222">
        <f t="shared" si="0"/>
        <v>10000</v>
      </c>
      <c r="F20" s="187">
        <f t="shared" si="1"/>
        <v>10000</v>
      </c>
      <c r="G20" s="247">
        <f t="shared" si="2"/>
        <v>0</v>
      </c>
      <c r="H20" s="240"/>
      <c r="I20" s="240"/>
      <c r="J20" s="240"/>
      <c r="K20" s="240"/>
      <c r="L20" s="240"/>
      <c r="M20" s="240"/>
      <c r="N20" s="240"/>
      <c r="O20" s="240">
        <v>319.52</v>
      </c>
      <c r="P20" s="240"/>
      <c r="Q20" s="240"/>
      <c r="R20" s="281"/>
      <c r="S20" s="240"/>
      <c r="T20" s="240">
        <v>5041.4799999999996</v>
      </c>
      <c r="U20" s="240"/>
      <c r="V20" s="240"/>
      <c r="W20" s="240"/>
      <c r="X20" s="240"/>
      <c r="Y20" s="240"/>
      <c r="Z20" s="240"/>
      <c r="AA20" s="240">
        <v>2615.36</v>
      </c>
      <c r="AB20" s="240"/>
      <c r="AC20" s="240"/>
      <c r="AD20" s="240"/>
      <c r="AE20" s="240">
        <v>2023.64</v>
      </c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</row>
    <row r="21" spans="1:50" s="3" customFormat="1" ht="19.5" thickBot="1" x14ac:dyDescent="0.35">
      <c r="A21" s="142" t="s">
        <v>15</v>
      </c>
      <c r="B21" s="145" t="s">
        <v>193</v>
      </c>
      <c r="C21" s="227">
        <v>43830</v>
      </c>
      <c r="D21" s="136"/>
      <c r="E21" s="222">
        <f t="shared" si="0"/>
        <v>43830</v>
      </c>
      <c r="F21" s="187">
        <f t="shared" si="1"/>
        <v>43830</v>
      </c>
      <c r="G21" s="247">
        <f t="shared" si="2"/>
        <v>0</v>
      </c>
      <c r="H21" s="240"/>
      <c r="I21" s="240"/>
      <c r="J21" s="240"/>
      <c r="K21" s="240"/>
      <c r="L21" s="240">
        <v>200</v>
      </c>
      <c r="M21" s="240">
        <v>1224</v>
      </c>
      <c r="N21" s="240">
        <v>607</v>
      </c>
      <c r="O21" s="240">
        <v>573</v>
      </c>
      <c r="P21" s="240">
        <v>1911</v>
      </c>
      <c r="Q21" s="240">
        <v>3524</v>
      </c>
      <c r="R21" s="281"/>
      <c r="S21" s="240">
        <v>796</v>
      </c>
      <c r="T21" s="240">
        <v>1088</v>
      </c>
      <c r="U21" s="240">
        <v>496</v>
      </c>
      <c r="V21" s="240"/>
      <c r="W21" s="240"/>
      <c r="X21" s="240">
        <v>682</v>
      </c>
      <c r="Y21" s="240"/>
      <c r="Z21" s="240">
        <v>869</v>
      </c>
      <c r="AA21" s="240">
        <v>480</v>
      </c>
      <c r="AB21" s="240">
        <v>1968</v>
      </c>
      <c r="AC21" s="240"/>
      <c r="AD21" s="240">
        <v>5988</v>
      </c>
      <c r="AE21" s="240">
        <v>1919</v>
      </c>
      <c r="AF21" s="240">
        <v>9656</v>
      </c>
      <c r="AG21" s="240"/>
      <c r="AH21" s="240">
        <v>2239</v>
      </c>
      <c r="AI21" s="240">
        <v>9610</v>
      </c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</row>
    <row r="22" spans="1:50" s="3" customFormat="1" ht="19.5" thickBot="1" x14ac:dyDescent="0.35">
      <c r="A22" s="142" t="s">
        <v>16</v>
      </c>
      <c r="B22" s="145" t="s">
        <v>194</v>
      </c>
      <c r="C22" s="227">
        <v>65497</v>
      </c>
      <c r="D22" s="136"/>
      <c r="E22" s="222">
        <f t="shared" si="0"/>
        <v>65497</v>
      </c>
      <c r="F22" s="187">
        <f t="shared" si="1"/>
        <v>65497</v>
      </c>
      <c r="G22" s="247">
        <f t="shared" si="2"/>
        <v>0</v>
      </c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81">
        <v>10750.39</v>
      </c>
      <c r="S22" s="240"/>
      <c r="T22" s="240">
        <v>9773.8700000000008</v>
      </c>
      <c r="U22" s="240"/>
      <c r="V22" s="240">
        <v>10049.64</v>
      </c>
      <c r="W22" s="240"/>
      <c r="X22" s="240"/>
      <c r="Y22" s="240"/>
      <c r="Z22" s="240">
        <v>31539</v>
      </c>
      <c r="AA22" s="240"/>
      <c r="AB22" s="240"/>
      <c r="AC22" s="240">
        <v>3384.1</v>
      </c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</row>
    <row r="23" spans="1:50" s="3" customFormat="1" ht="19.5" thickBot="1" x14ac:dyDescent="0.35">
      <c r="A23" s="142" t="s">
        <v>17</v>
      </c>
      <c r="B23" s="145" t="s">
        <v>195</v>
      </c>
      <c r="C23" s="227">
        <v>343733</v>
      </c>
      <c r="D23" s="136"/>
      <c r="E23" s="222">
        <f t="shared" si="0"/>
        <v>343733</v>
      </c>
      <c r="F23" s="187">
        <f t="shared" si="1"/>
        <v>343733</v>
      </c>
      <c r="G23" s="247">
        <f t="shared" si="2"/>
        <v>0</v>
      </c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81">
        <v>7697.93</v>
      </c>
      <c r="S23" s="240">
        <v>45287.1</v>
      </c>
      <c r="T23" s="240">
        <v>19288.87</v>
      </c>
      <c r="U23" s="240">
        <v>14745.99</v>
      </c>
      <c r="V23" s="240">
        <v>76784.789999999994</v>
      </c>
      <c r="W23" s="240"/>
      <c r="X23" s="240"/>
      <c r="Y23" s="240"/>
      <c r="Z23" s="240">
        <f>29112.56+14309.12</f>
        <v>43421.68</v>
      </c>
      <c r="AA23" s="240"/>
      <c r="AB23" s="240">
        <v>4061.69</v>
      </c>
      <c r="AC23" s="240">
        <v>1435.77</v>
      </c>
      <c r="AD23" s="240">
        <v>23715.91</v>
      </c>
      <c r="AE23" s="240">
        <v>18401.53</v>
      </c>
      <c r="AF23" s="240">
        <v>31392.43</v>
      </c>
      <c r="AG23" s="240"/>
      <c r="AH23" s="240">
        <v>31600.11</v>
      </c>
      <c r="AI23" s="240"/>
      <c r="AJ23" s="240"/>
      <c r="AK23" s="240"/>
      <c r="AL23" s="240"/>
      <c r="AM23" s="240"/>
      <c r="AN23" s="240"/>
      <c r="AO23" s="240"/>
      <c r="AP23" s="240"/>
      <c r="AQ23" s="240"/>
      <c r="AR23" s="240">
        <v>25899.200000000001</v>
      </c>
      <c r="AS23" s="240"/>
      <c r="AT23" s="240"/>
      <c r="AU23" s="240"/>
      <c r="AV23" s="240"/>
      <c r="AW23" s="240"/>
      <c r="AX23" s="240"/>
    </row>
    <row r="24" spans="1:50" s="3" customFormat="1" ht="19.5" thickBot="1" x14ac:dyDescent="0.35">
      <c r="A24" s="142" t="s">
        <v>18</v>
      </c>
      <c r="B24" s="145" t="s">
        <v>196</v>
      </c>
      <c r="C24" s="227">
        <v>64488</v>
      </c>
      <c r="D24" s="136"/>
      <c r="E24" s="222">
        <f t="shared" si="0"/>
        <v>64488</v>
      </c>
      <c r="F24" s="187">
        <f t="shared" si="1"/>
        <v>64488</v>
      </c>
      <c r="G24" s="247">
        <f t="shared" si="2"/>
        <v>0</v>
      </c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81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>
        <v>223</v>
      </c>
      <c r="AF24" s="240"/>
      <c r="AG24" s="240"/>
      <c r="AH24" s="240">
        <v>64265</v>
      </c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</row>
    <row r="25" spans="1:50" s="3" customFormat="1" ht="19.5" thickBot="1" x14ac:dyDescent="0.35">
      <c r="A25" s="142" t="s">
        <v>19</v>
      </c>
      <c r="B25" s="145" t="s">
        <v>197</v>
      </c>
      <c r="C25" s="227">
        <v>10000</v>
      </c>
      <c r="D25" s="136">
        <v>9025</v>
      </c>
      <c r="E25" s="222">
        <v>0</v>
      </c>
      <c r="F25" s="187">
        <f t="shared" si="1"/>
        <v>0</v>
      </c>
      <c r="G25" s="247">
        <f t="shared" si="2"/>
        <v>0</v>
      </c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81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</row>
    <row r="26" spans="1:50" s="3" customFormat="1" ht="19.5" thickBot="1" x14ac:dyDescent="0.35">
      <c r="A26" s="142" t="s">
        <v>20</v>
      </c>
      <c r="B26" s="145" t="s">
        <v>198</v>
      </c>
      <c r="C26" s="227">
        <v>820121</v>
      </c>
      <c r="D26" s="136"/>
      <c r="E26" s="222">
        <f t="shared" si="0"/>
        <v>820121</v>
      </c>
      <c r="F26" s="187">
        <f t="shared" si="1"/>
        <v>820121.00000000012</v>
      </c>
      <c r="G26" s="247">
        <f t="shared" si="2"/>
        <v>0</v>
      </c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81"/>
      <c r="S26" s="240">
        <v>66298.12</v>
      </c>
      <c r="T26" s="240"/>
      <c r="U26" s="240"/>
      <c r="V26" s="240">
        <v>158803.41</v>
      </c>
      <c r="W26" s="240">
        <v>500</v>
      </c>
      <c r="X26" s="240"/>
      <c r="Y26" s="240">
        <v>178987.36</v>
      </c>
      <c r="Z26" s="240"/>
      <c r="AA26" s="240">
        <v>84322.3</v>
      </c>
      <c r="AB26" s="240">
        <v>58843.08</v>
      </c>
      <c r="AC26" s="240">
        <v>83386.81</v>
      </c>
      <c r="AD26" s="240">
        <v>55425.98</v>
      </c>
      <c r="AE26" s="240">
        <v>64761.89</v>
      </c>
      <c r="AF26" s="240"/>
      <c r="AG26" s="240"/>
      <c r="AH26" s="240"/>
      <c r="AI26" s="240">
        <f>65155.38+3636.67</f>
        <v>68792.05</v>
      </c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</row>
    <row r="27" spans="1:50" s="3" customFormat="1" ht="19.5" thickBot="1" x14ac:dyDescent="0.35">
      <c r="A27" s="142" t="s">
        <v>21</v>
      </c>
      <c r="B27" s="145" t="s">
        <v>199</v>
      </c>
      <c r="C27" s="227">
        <v>28619</v>
      </c>
      <c r="D27" s="136"/>
      <c r="E27" s="222">
        <f t="shared" si="0"/>
        <v>28619</v>
      </c>
      <c r="F27" s="187">
        <f t="shared" si="1"/>
        <v>28619</v>
      </c>
      <c r="G27" s="247">
        <f t="shared" si="2"/>
        <v>0</v>
      </c>
      <c r="H27" s="240"/>
      <c r="I27" s="240"/>
      <c r="J27" s="240"/>
      <c r="K27" s="240"/>
      <c r="L27" s="240"/>
      <c r="M27" s="240"/>
      <c r="N27" s="240"/>
      <c r="O27" s="240"/>
      <c r="P27" s="240">
        <v>11630</v>
      </c>
      <c r="Q27" s="240"/>
      <c r="R27" s="281"/>
      <c r="S27" s="240">
        <v>16989</v>
      </c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</row>
    <row r="28" spans="1:50" s="3" customFormat="1" ht="19.5" thickBot="1" x14ac:dyDescent="0.35">
      <c r="A28" s="142" t="s">
        <v>22</v>
      </c>
      <c r="B28" s="145" t="s">
        <v>418</v>
      </c>
      <c r="C28" s="227">
        <v>26805</v>
      </c>
      <c r="D28" s="136"/>
      <c r="E28" s="222">
        <f t="shared" si="0"/>
        <v>26805</v>
      </c>
      <c r="F28" s="187">
        <f t="shared" si="1"/>
        <v>26805</v>
      </c>
      <c r="G28" s="247">
        <f t="shared" si="2"/>
        <v>0</v>
      </c>
      <c r="H28" s="240"/>
      <c r="I28" s="240"/>
      <c r="J28" s="240"/>
      <c r="K28" s="240"/>
      <c r="L28" s="240"/>
      <c r="M28" s="240"/>
      <c r="N28" s="240"/>
      <c r="O28" s="240">
        <v>26804.77</v>
      </c>
      <c r="P28" s="240"/>
      <c r="Q28" s="240"/>
      <c r="R28" s="281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>
        <v>0.23</v>
      </c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</row>
    <row r="29" spans="1:50" s="3" customFormat="1" ht="19.5" thickBot="1" x14ac:dyDescent="0.35">
      <c r="A29" s="142" t="s">
        <v>23</v>
      </c>
      <c r="B29" s="145" t="s">
        <v>420</v>
      </c>
      <c r="C29" s="227">
        <v>10000</v>
      </c>
      <c r="D29" s="136"/>
      <c r="E29" s="222">
        <f t="shared" si="0"/>
        <v>10000</v>
      </c>
      <c r="F29" s="187">
        <f t="shared" si="1"/>
        <v>10000</v>
      </c>
      <c r="G29" s="247">
        <f t="shared" si="2"/>
        <v>0</v>
      </c>
      <c r="H29" s="240"/>
      <c r="I29" s="240"/>
      <c r="J29" s="240"/>
      <c r="K29" s="240">
        <v>7392</v>
      </c>
      <c r="L29" s="240"/>
      <c r="M29" s="240"/>
      <c r="N29" s="240"/>
      <c r="O29" s="240"/>
      <c r="P29" s="240"/>
      <c r="Q29" s="240"/>
      <c r="R29" s="281"/>
      <c r="S29" s="240">
        <v>2608</v>
      </c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</row>
    <row r="30" spans="1:50" s="3" customFormat="1" ht="19.5" thickBot="1" x14ac:dyDescent="0.35">
      <c r="A30" s="142" t="s">
        <v>24</v>
      </c>
      <c r="B30" s="145" t="s">
        <v>422</v>
      </c>
      <c r="C30" s="227">
        <v>10000</v>
      </c>
      <c r="D30" s="136"/>
      <c r="E30" s="222">
        <f t="shared" si="0"/>
        <v>10000</v>
      </c>
      <c r="F30" s="187">
        <f t="shared" si="1"/>
        <v>10000</v>
      </c>
      <c r="G30" s="247">
        <f t="shared" si="2"/>
        <v>0</v>
      </c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81"/>
      <c r="S30" s="240"/>
      <c r="T30" s="240">
        <v>10000</v>
      </c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</row>
    <row r="31" spans="1:50" s="3" customFormat="1" ht="19.5" thickBot="1" x14ac:dyDescent="0.35">
      <c r="A31" s="142" t="s">
        <v>25</v>
      </c>
      <c r="B31" s="145" t="s">
        <v>423</v>
      </c>
      <c r="C31" s="227">
        <v>10000</v>
      </c>
      <c r="D31" s="136"/>
      <c r="E31" s="222">
        <f t="shared" si="0"/>
        <v>10000</v>
      </c>
      <c r="F31" s="187">
        <f t="shared" si="1"/>
        <v>10000</v>
      </c>
      <c r="G31" s="247">
        <f t="shared" si="2"/>
        <v>0</v>
      </c>
      <c r="H31" s="240"/>
      <c r="I31" s="240"/>
      <c r="J31" s="240"/>
      <c r="K31" s="240"/>
      <c r="L31" s="240"/>
      <c r="M31" s="240"/>
      <c r="N31" s="240"/>
      <c r="O31" s="240"/>
      <c r="P31" s="240">
        <v>4494.34</v>
      </c>
      <c r="Q31" s="240"/>
      <c r="R31" s="281"/>
      <c r="S31" s="240">
        <v>5504.07</v>
      </c>
      <c r="T31" s="240"/>
      <c r="U31" s="240"/>
      <c r="V31" s="240">
        <v>1.59</v>
      </c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</row>
    <row r="32" spans="1:50" s="3" customFormat="1" ht="19.5" thickBot="1" x14ac:dyDescent="0.35">
      <c r="A32" s="142" t="s">
        <v>26</v>
      </c>
      <c r="B32" s="145" t="s">
        <v>424</v>
      </c>
      <c r="C32" s="227">
        <v>10000</v>
      </c>
      <c r="D32" s="136"/>
      <c r="E32" s="222">
        <f t="shared" si="0"/>
        <v>10000</v>
      </c>
      <c r="F32" s="187">
        <f t="shared" si="1"/>
        <v>10000</v>
      </c>
      <c r="G32" s="247">
        <f t="shared" si="2"/>
        <v>0</v>
      </c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81">
        <v>10000</v>
      </c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</row>
    <row r="33" spans="1:50" s="3" customFormat="1" ht="19.5" thickBot="1" x14ac:dyDescent="0.35">
      <c r="A33" s="142" t="s">
        <v>27</v>
      </c>
      <c r="B33" s="145" t="s">
        <v>425</v>
      </c>
      <c r="C33" s="227">
        <v>0</v>
      </c>
      <c r="D33" s="136"/>
      <c r="E33" s="222">
        <f t="shared" si="0"/>
        <v>0</v>
      </c>
      <c r="F33" s="187">
        <f t="shared" si="1"/>
        <v>0</v>
      </c>
      <c r="G33" s="247">
        <f t="shared" si="2"/>
        <v>0</v>
      </c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81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</row>
    <row r="34" spans="1:50" s="3" customFormat="1" ht="19.5" thickBot="1" x14ac:dyDescent="0.35">
      <c r="A34" s="142" t="s">
        <v>28</v>
      </c>
      <c r="B34" s="145" t="s">
        <v>426</v>
      </c>
      <c r="C34" s="227">
        <v>38267</v>
      </c>
      <c r="D34" s="136"/>
      <c r="E34" s="222">
        <f t="shared" si="0"/>
        <v>38267</v>
      </c>
      <c r="F34" s="187">
        <f t="shared" si="1"/>
        <v>38267</v>
      </c>
      <c r="G34" s="247">
        <f t="shared" si="2"/>
        <v>0</v>
      </c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81"/>
      <c r="S34" s="240">
        <v>38267</v>
      </c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</row>
    <row r="35" spans="1:50" s="3" customFormat="1" ht="19.5" thickBot="1" x14ac:dyDescent="0.35">
      <c r="A35" s="142" t="s">
        <v>29</v>
      </c>
      <c r="B35" s="145" t="s">
        <v>428</v>
      </c>
      <c r="C35" s="227">
        <v>10000</v>
      </c>
      <c r="D35" s="136"/>
      <c r="E35" s="222">
        <f t="shared" si="0"/>
        <v>10000</v>
      </c>
      <c r="F35" s="187">
        <f t="shared" si="1"/>
        <v>10000</v>
      </c>
      <c r="G35" s="247">
        <f t="shared" si="2"/>
        <v>0</v>
      </c>
      <c r="H35" s="240"/>
      <c r="I35" s="240"/>
      <c r="J35" s="240"/>
      <c r="K35" s="240"/>
      <c r="L35" s="240"/>
      <c r="M35" s="240"/>
      <c r="N35" s="240"/>
      <c r="O35" s="240"/>
      <c r="P35" s="240"/>
      <c r="Q35" s="240">
        <v>5356</v>
      </c>
      <c r="R35" s="281">
        <v>4644</v>
      </c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</row>
    <row r="36" spans="1:50" s="3" customFormat="1" ht="19.5" thickBot="1" x14ac:dyDescent="0.35">
      <c r="A36" s="142" t="s">
        <v>30</v>
      </c>
      <c r="B36" s="145" t="s">
        <v>208</v>
      </c>
      <c r="C36" s="227">
        <v>222125</v>
      </c>
      <c r="D36" s="136"/>
      <c r="E36" s="222">
        <f t="shared" si="0"/>
        <v>222125</v>
      </c>
      <c r="F36" s="187">
        <f t="shared" si="1"/>
        <v>222125</v>
      </c>
      <c r="G36" s="247">
        <f t="shared" si="2"/>
        <v>0</v>
      </c>
      <c r="H36" s="240"/>
      <c r="I36" s="240"/>
      <c r="J36" s="240"/>
      <c r="K36" s="240"/>
      <c r="L36" s="240"/>
      <c r="M36" s="240"/>
      <c r="N36" s="240"/>
      <c r="O36" s="240">
        <v>22022.639999999999</v>
      </c>
      <c r="P36" s="240"/>
      <c r="Q36" s="240"/>
      <c r="R36" s="281"/>
      <c r="S36" s="240">
        <v>67006.39</v>
      </c>
      <c r="T36" s="240"/>
      <c r="U36" s="240"/>
      <c r="V36" s="240"/>
      <c r="W36" s="240">
        <v>50016.21</v>
      </c>
      <c r="X36" s="240"/>
      <c r="Y36" s="240"/>
      <c r="Z36" s="240">
        <v>19198.75</v>
      </c>
      <c r="AA36" s="240"/>
      <c r="AB36" s="240"/>
      <c r="AC36" s="240"/>
      <c r="AD36" s="240">
        <v>18930.89</v>
      </c>
      <c r="AE36" s="240">
        <v>9196.0400000000009</v>
      </c>
      <c r="AF36" s="240"/>
      <c r="AG36" s="240">
        <v>9767.7099999999991</v>
      </c>
      <c r="AH36" s="240">
        <v>3094</v>
      </c>
      <c r="AI36" s="240">
        <v>22892.37</v>
      </c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</row>
    <row r="37" spans="1:50" s="3" customFormat="1" ht="19.5" thickBot="1" x14ac:dyDescent="0.35">
      <c r="A37" s="142" t="s">
        <v>31</v>
      </c>
      <c r="B37" s="145" t="s">
        <v>209</v>
      </c>
      <c r="C37" s="227">
        <v>136302</v>
      </c>
      <c r="D37" s="136"/>
      <c r="E37" s="222">
        <f t="shared" si="0"/>
        <v>136302</v>
      </c>
      <c r="F37" s="187">
        <f t="shared" si="1"/>
        <v>136302</v>
      </c>
      <c r="G37" s="247">
        <f t="shared" si="2"/>
        <v>0</v>
      </c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81">
        <v>3952.04</v>
      </c>
      <c r="S37" s="240">
        <v>24912.28</v>
      </c>
      <c r="T37" s="240"/>
      <c r="U37" s="240"/>
      <c r="V37" s="240">
        <v>3201.56</v>
      </c>
      <c r="W37" s="240">
        <v>16893.560000000001</v>
      </c>
      <c r="X37" s="240">
        <v>7012.45</v>
      </c>
      <c r="Y37" s="240">
        <v>8274.0400000000009</v>
      </c>
      <c r="Z37" s="240">
        <v>5026.41</v>
      </c>
      <c r="AA37" s="240">
        <v>1963.81</v>
      </c>
      <c r="AB37" s="240">
        <v>9175.24</v>
      </c>
      <c r="AC37" s="240">
        <v>5529.17</v>
      </c>
      <c r="AD37" s="240">
        <v>8225.09</v>
      </c>
      <c r="AE37" s="240">
        <v>18181.96</v>
      </c>
      <c r="AF37" s="240">
        <v>23954.39</v>
      </c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50" s="3" customFormat="1" ht="19.5" thickBot="1" x14ac:dyDescent="0.35">
      <c r="A38" s="142" t="s">
        <v>32</v>
      </c>
      <c r="B38" s="145" t="s">
        <v>210</v>
      </c>
      <c r="C38" s="227">
        <v>12540</v>
      </c>
      <c r="D38" s="136"/>
      <c r="E38" s="222">
        <f t="shared" si="0"/>
        <v>12540</v>
      </c>
      <c r="F38" s="187">
        <f t="shared" si="1"/>
        <v>12540</v>
      </c>
      <c r="G38" s="247">
        <f t="shared" si="2"/>
        <v>0</v>
      </c>
      <c r="H38" s="240"/>
      <c r="I38" s="240"/>
      <c r="J38" s="240"/>
      <c r="K38" s="240"/>
      <c r="L38" s="240"/>
      <c r="M38" s="240">
        <v>12538</v>
      </c>
      <c r="N38" s="240"/>
      <c r="O38" s="240"/>
      <c r="P38" s="240"/>
      <c r="Q38" s="240"/>
      <c r="R38" s="281">
        <v>2</v>
      </c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50" s="3" customFormat="1" ht="19.5" thickBot="1" x14ac:dyDescent="0.35">
      <c r="A39" s="142" t="s">
        <v>33</v>
      </c>
      <c r="B39" s="145" t="s">
        <v>211</v>
      </c>
      <c r="C39" s="227">
        <v>11191</v>
      </c>
      <c r="D39" s="136"/>
      <c r="E39" s="222">
        <f t="shared" si="0"/>
        <v>11191</v>
      </c>
      <c r="F39" s="187">
        <f t="shared" si="1"/>
        <v>11191</v>
      </c>
      <c r="G39" s="247">
        <f t="shared" si="2"/>
        <v>0</v>
      </c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81">
        <v>515.26</v>
      </c>
      <c r="S39" s="240">
        <v>5044.2299999999996</v>
      </c>
      <c r="T39" s="240">
        <v>3982.42</v>
      </c>
      <c r="U39" s="240"/>
      <c r="V39" s="240"/>
      <c r="W39" s="240"/>
      <c r="X39" s="240"/>
      <c r="Y39" s="240">
        <f>550.39+1093.39</f>
        <v>1643.7800000000002</v>
      </c>
      <c r="Z39" s="240">
        <v>5.31</v>
      </c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50" s="3" customFormat="1" ht="19.5" thickBot="1" x14ac:dyDescent="0.35">
      <c r="A40" s="142" t="s">
        <v>34</v>
      </c>
      <c r="B40" s="145" t="s">
        <v>212</v>
      </c>
      <c r="C40" s="227">
        <v>10000</v>
      </c>
      <c r="D40" s="136">
        <v>9025</v>
      </c>
      <c r="E40" s="222">
        <v>0</v>
      </c>
      <c r="F40" s="187">
        <f t="shared" si="1"/>
        <v>0</v>
      </c>
      <c r="G40" s="247">
        <f t="shared" si="2"/>
        <v>0</v>
      </c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</row>
    <row r="41" spans="1:50" s="3" customFormat="1" ht="19.5" thickBot="1" x14ac:dyDescent="0.35">
      <c r="A41" s="142" t="s">
        <v>35</v>
      </c>
      <c r="B41" s="145" t="s">
        <v>434</v>
      </c>
      <c r="C41" s="227">
        <v>10000</v>
      </c>
      <c r="D41" s="136">
        <v>9025</v>
      </c>
      <c r="E41" s="222">
        <v>0</v>
      </c>
      <c r="F41" s="187">
        <f t="shared" si="1"/>
        <v>0</v>
      </c>
      <c r="G41" s="247">
        <f t="shared" si="2"/>
        <v>0</v>
      </c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</row>
    <row r="42" spans="1:50" s="3" customFormat="1" ht="19.5" thickBot="1" x14ac:dyDescent="0.35">
      <c r="A42" s="142" t="s">
        <v>36</v>
      </c>
      <c r="B42" s="145" t="s">
        <v>435</v>
      </c>
      <c r="C42" s="227">
        <v>10000</v>
      </c>
      <c r="D42" s="136"/>
      <c r="E42" s="222">
        <f t="shared" si="0"/>
        <v>10000</v>
      </c>
      <c r="F42" s="187">
        <f t="shared" si="1"/>
        <v>10000</v>
      </c>
      <c r="G42" s="247">
        <f t="shared" si="2"/>
        <v>0</v>
      </c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>
        <v>10000</v>
      </c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</row>
    <row r="43" spans="1:50" s="3" customFormat="1" ht="19.5" thickBot="1" x14ac:dyDescent="0.35">
      <c r="A43" s="142" t="s">
        <v>37</v>
      </c>
      <c r="B43" s="145" t="s">
        <v>437</v>
      </c>
      <c r="C43" s="227">
        <v>21963</v>
      </c>
      <c r="D43" s="136"/>
      <c r="E43" s="222">
        <f t="shared" si="0"/>
        <v>21963</v>
      </c>
      <c r="F43" s="187">
        <f t="shared" si="1"/>
        <v>21963</v>
      </c>
      <c r="G43" s="247">
        <f t="shared" si="2"/>
        <v>0</v>
      </c>
      <c r="H43" s="240"/>
      <c r="I43" s="240"/>
      <c r="J43" s="240">
        <v>4137</v>
      </c>
      <c r="K43" s="240"/>
      <c r="L43" s="240"/>
      <c r="M43" s="240">
        <v>5942</v>
      </c>
      <c r="N43" s="240"/>
      <c r="O43" s="240">
        <v>5942</v>
      </c>
      <c r="P43" s="240"/>
      <c r="Q43" s="240">
        <v>5942</v>
      </c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</row>
    <row r="44" spans="1:50" s="3" customFormat="1" ht="19.5" thickBot="1" x14ac:dyDescent="0.35">
      <c r="A44" s="142" t="s">
        <v>38</v>
      </c>
      <c r="B44" s="145" t="s">
        <v>216</v>
      </c>
      <c r="C44" s="227">
        <v>10000</v>
      </c>
      <c r="D44" s="136"/>
      <c r="E44" s="222">
        <f t="shared" si="0"/>
        <v>10000</v>
      </c>
      <c r="F44" s="187">
        <f t="shared" si="1"/>
        <v>10000</v>
      </c>
      <c r="G44" s="247">
        <f t="shared" si="2"/>
        <v>0</v>
      </c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>
        <v>10000</v>
      </c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</row>
    <row r="45" spans="1:50" s="3" customFormat="1" ht="19.5" thickBot="1" x14ac:dyDescent="0.35">
      <c r="A45" s="142" t="s">
        <v>39</v>
      </c>
      <c r="B45" s="145" t="s">
        <v>439</v>
      </c>
      <c r="C45" s="227">
        <v>10975</v>
      </c>
      <c r="D45" s="136"/>
      <c r="E45" s="222">
        <f t="shared" si="0"/>
        <v>10975</v>
      </c>
      <c r="F45" s="187">
        <f t="shared" si="1"/>
        <v>10975</v>
      </c>
      <c r="G45" s="247">
        <f t="shared" si="2"/>
        <v>0</v>
      </c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>
        <v>8877.32</v>
      </c>
      <c r="T45" s="240"/>
      <c r="U45" s="240"/>
      <c r="V45" s="240"/>
      <c r="W45" s="240"/>
      <c r="X45" s="240"/>
      <c r="Y45" s="240">
        <v>666.94</v>
      </c>
      <c r="Z45" s="240"/>
      <c r="AA45" s="240">
        <v>210.23</v>
      </c>
      <c r="AB45" s="240"/>
      <c r="AC45" s="240"/>
      <c r="AD45" s="240">
        <v>1220.51</v>
      </c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</row>
    <row r="46" spans="1:50" s="3" customFormat="1" ht="19.5" thickBot="1" x14ac:dyDescent="0.35">
      <c r="A46" s="142" t="s">
        <v>40</v>
      </c>
      <c r="B46" s="145" t="s">
        <v>218</v>
      </c>
      <c r="C46" s="227">
        <v>11967</v>
      </c>
      <c r="D46" s="136"/>
      <c r="E46" s="222">
        <f t="shared" si="0"/>
        <v>11967</v>
      </c>
      <c r="F46" s="187">
        <f t="shared" si="1"/>
        <v>11967</v>
      </c>
      <c r="G46" s="247">
        <f t="shared" si="2"/>
        <v>0</v>
      </c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>
        <v>11967</v>
      </c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</row>
    <row r="47" spans="1:50" s="3" customFormat="1" ht="19.5" thickBot="1" x14ac:dyDescent="0.35">
      <c r="A47" s="142" t="s">
        <v>41</v>
      </c>
      <c r="B47" s="145" t="s">
        <v>219</v>
      </c>
      <c r="C47" s="227">
        <v>12713</v>
      </c>
      <c r="D47" s="136"/>
      <c r="E47" s="222">
        <f t="shared" si="0"/>
        <v>12713</v>
      </c>
      <c r="F47" s="187">
        <f t="shared" si="1"/>
        <v>12713</v>
      </c>
      <c r="G47" s="247">
        <f t="shared" si="2"/>
        <v>0</v>
      </c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>
        <v>12713</v>
      </c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</row>
    <row r="48" spans="1:50" s="3" customFormat="1" ht="19.5" thickBot="1" x14ac:dyDescent="0.35">
      <c r="A48" s="142" t="s">
        <v>42</v>
      </c>
      <c r="B48" s="145" t="s">
        <v>441</v>
      </c>
      <c r="C48" s="227">
        <v>17308</v>
      </c>
      <c r="D48" s="136"/>
      <c r="E48" s="222">
        <f t="shared" si="0"/>
        <v>17308</v>
      </c>
      <c r="F48" s="187">
        <f t="shared" si="1"/>
        <v>17308</v>
      </c>
      <c r="G48" s="247">
        <f t="shared" si="2"/>
        <v>0</v>
      </c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>
        <v>17308</v>
      </c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</row>
    <row r="49" spans="1:50" s="3" customFormat="1" ht="19.5" thickBot="1" x14ac:dyDescent="0.35">
      <c r="A49" s="142" t="s">
        <v>43</v>
      </c>
      <c r="B49" s="145" t="s">
        <v>443</v>
      </c>
      <c r="C49" s="227">
        <v>10000</v>
      </c>
      <c r="D49" s="136"/>
      <c r="E49" s="222">
        <f t="shared" si="0"/>
        <v>10000</v>
      </c>
      <c r="F49" s="187">
        <f t="shared" si="1"/>
        <v>10000</v>
      </c>
      <c r="G49" s="247">
        <f t="shared" si="2"/>
        <v>0</v>
      </c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>
        <v>10000</v>
      </c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</row>
    <row r="50" spans="1:50" s="3" customFormat="1" ht="19.5" thickBot="1" x14ac:dyDescent="0.35">
      <c r="A50" s="142" t="s">
        <v>44</v>
      </c>
      <c r="B50" s="145" t="s">
        <v>222</v>
      </c>
      <c r="C50" s="227">
        <v>70609</v>
      </c>
      <c r="D50" s="136"/>
      <c r="E50" s="222">
        <f t="shared" si="0"/>
        <v>70609</v>
      </c>
      <c r="F50" s="187">
        <f t="shared" si="1"/>
        <v>70609</v>
      </c>
      <c r="G50" s="247">
        <f t="shared" si="2"/>
        <v>0</v>
      </c>
      <c r="H50" s="240"/>
      <c r="I50" s="240"/>
      <c r="J50" s="240"/>
      <c r="K50" s="240"/>
      <c r="L50" s="240"/>
      <c r="M50" s="240"/>
      <c r="N50" s="240"/>
      <c r="O50" s="240"/>
      <c r="P50" s="240">
        <v>28943.26</v>
      </c>
      <c r="Q50" s="240">
        <v>2516.58</v>
      </c>
      <c r="R50" s="281">
        <v>2616.71</v>
      </c>
      <c r="S50" s="240">
        <v>100.35</v>
      </c>
      <c r="T50" s="240"/>
      <c r="U50" s="240">
        <v>2095.13</v>
      </c>
      <c r="V50" s="240"/>
      <c r="W50" s="240"/>
      <c r="X50" s="240">
        <v>34336.97</v>
      </c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</row>
    <row r="51" spans="1:50" s="3" customFormat="1" ht="19.5" thickBot="1" x14ac:dyDescent="0.35">
      <c r="A51" s="142" t="s">
        <v>45</v>
      </c>
      <c r="B51" s="145" t="s">
        <v>223</v>
      </c>
      <c r="C51" s="227">
        <v>2063187</v>
      </c>
      <c r="D51" s="136"/>
      <c r="E51" s="222">
        <f t="shared" si="0"/>
        <v>2063187</v>
      </c>
      <c r="F51" s="187">
        <f t="shared" si="1"/>
        <v>2063187</v>
      </c>
      <c r="G51" s="247">
        <f t="shared" si="2"/>
        <v>0</v>
      </c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>
        <v>824560.02</v>
      </c>
      <c r="AD51" s="240">
        <v>105930.02</v>
      </c>
      <c r="AE51" s="240"/>
      <c r="AF51" s="240">
        <f>109087.59+379910.49</f>
        <v>488998.07999999996</v>
      </c>
      <c r="AG51" s="240"/>
      <c r="AH51" s="240"/>
      <c r="AI51" s="240">
        <v>643698.88</v>
      </c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</row>
    <row r="52" spans="1:50" s="3" customFormat="1" ht="19.5" thickBot="1" x14ac:dyDescent="0.35">
      <c r="A52" s="142" t="s">
        <v>46</v>
      </c>
      <c r="B52" s="145" t="s">
        <v>603</v>
      </c>
      <c r="C52" s="227">
        <v>10000</v>
      </c>
      <c r="D52" s="136"/>
      <c r="E52" s="222">
        <f t="shared" si="0"/>
        <v>10000</v>
      </c>
      <c r="F52" s="187">
        <f t="shared" si="1"/>
        <v>10000</v>
      </c>
      <c r="G52" s="247">
        <f t="shared" si="2"/>
        <v>0</v>
      </c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>
        <v>8103</v>
      </c>
      <c r="S52" s="240">
        <v>1897</v>
      </c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</row>
    <row r="53" spans="1:50" s="3" customFormat="1" ht="19.5" thickBot="1" x14ac:dyDescent="0.35">
      <c r="A53" s="142" t="s">
        <v>47</v>
      </c>
      <c r="B53" s="145" t="s">
        <v>449</v>
      </c>
      <c r="C53" s="227">
        <v>114732</v>
      </c>
      <c r="D53" s="136"/>
      <c r="E53" s="222">
        <f t="shared" si="0"/>
        <v>114732</v>
      </c>
      <c r="F53" s="187">
        <f t="shared" si="1"/>
        <v>114732.00000000001</v>
      </c>
      <c r="G53" s="247">
        <f t="shared" si="2"/>
        <v>0</v>
      </c>
      <c r="H53" s="240"/>
      <c r="I53" s="240"/>
      <c r="J53" s="240"/>
      <c r="K53" s="240"/>
      <c r="L53" s="240"/>
      <c r="M53" s="240"/>
      <c r="N53" s="240">
        <v>105.5</v>
      </c>
      <c r="O53" s="240">
        <v>17530.43</v>
      </c>
      <c r="P53" s="240">
        <v>1680.21</v>
      </c>
      <c r="Q53" s="240">
        <v>2358.94</v>
      </c>
      <c r="R53" s="240">
        <v>6967.71</v>
      </c>
      <c r="S53" s="240">
        <v>10687.91</v>
      </c>
      <c r="T53" s="240">
        <v>6876.08</v>
      </c>
      <c r="U53" s="240"/>
      <c r="V53" s="240">
        <v>1161.98</v>
      </c>
      <c r="W53" s="240"/>
      <c r="X53" s="240">
        <v>50423.41</v>
      </c>
      <c r="Y53" s="240">
        <v>9295.41</v>
      </c>
      <c r="Z53" s="240"/>
      <c r="AA53" s="240">
        <v>7644.42</v>
      </c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</row>
    <row r="54" spans="1:50" s="3" customFormat="1" ht="19.5" thickBot="1" x14ac:dyDescent="0.35">
      <c r="A54" s="142" t="s">
        <v>48</v>
      </c>
      <c r="B54" s="145" t="s">
        <v>226</v>
      </c>
      <c r="C54" s="227">
        <v>46640</v>
      </c>
      <c r="D54" s="136"/>
      <c r="E54" s="222">
        <f t="shared" si="0"/>
        <v>46640</v>
      </c>
      <c r="F54" s="187">
        <f t="shared" si="1"/>
        <v>46640</v>
      </c>
      <c r="G54" s="247">
        <f t="shared" si="2"/>
        <v>0</v>
      </c>
      <c r="H54" s="240"/>
      <c r="I54" s="240"/>
      <c r="J54" s="240"/>
      <c r="K54" s="240"/>
      <c r="L54" s="240">
        <v>2263</v>
      </c>
      <c r="M54" s="240"/>
      <c r="N54" s="240"/>
      <c r="O54" s="240"/>
      <c r="P54" s="240"/>
      <c r="Q54" s="240"/>
      <c r="R54" s="240">
        <v>1866</v>
      </c>
      <c r="S54" s="240">
        <v>42511</v>
      </c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</row>
    <row r="55" spans="1:50" s="3" customFormat="1" ht="19.5" thickBot="1" x14ac:dyDescent="0.35">
      <c r="A55" s="142" t="s">
        <v>49</v>
      </c>
      <c r="B55" s="145" t="s">
        <v>227</v>
      </c>
      <c r="C55" s="227">
        <v>11219</v>
      </c>
      <c r="D55" s="136"/>
      <c r="E55" s="222">
        <f t="shared" si="0"/>
        <v>11219</v>
      </c>
      <c r="F55" s="187">
        <f t="shared" si="1"/>
        <v>11219</v>
      </c>
      <c r="G55" s="247">
        <f t="shared" si="2"/>
        <v>0</v>
      </c>
      <c r="H55" s="240"/>
      <c r="I55" s="240"/>
      <c r="J55" s="240"/>
      <c r="K55" s="240"/>
      <c r="L55" s="240"/>
      <c r="M55" s="240"/>
      <c r="N55" s="240"/>
      <c r="O55" s="240">
        <v>6325</v>
      </c>
      <c r="P55" s="240"/>
      <c r="Q55" s="240"/>
      <c r="R55" s="240"/>
      <c r="S55" s="240">
        <v>4125</v>
      </c>
      <c r="T55" s="240"/>
      <c r="U55" s="240">
        <v>768.9</v>
      </c>
      <c r="V55" s="240"/>
      <c r="W55" s="240"/>
      <c r="X55" s="240"/>
      <c r="Y55" s="240"/>
      <c r="Z55" s="240"/>
      <c r="AA55" s="240">
        <v>0.1</v>
      </c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</row>
    <row r="56" spans="1:50" s="3" customFormat="1" ht="19.5" thickBot="1" x14ac:dyDescent="0.35">
      <c r="A56" s="142" t="s">
        <v>50</v>
      </c>
      <c r="B56" s="145" t="s">
        <v>228</v>
      </c>
      <c r="C56" s="227">
        <v>10000</v>
      </c>
      <c r="D56" s="136">
        <v>9025</v>
      </c>
      <c r="E56" s="222">
        <v>0</v>
      </c>
      <c r="F56" s="187">
        <f t="shared" si="1"/>
        <v>0</v>
      </c>
      <c r="G56" s="247">
        <f t="shared" si="2"/>
        <v>0</v>
      </c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</row>
    <row r="57" spans="1:50" s="3" customFormat="1" ht="19.5" thickBot="1" x14ac:dyDescent="0.35">
      <c r="A57" s="142" t="s">
        <v>51</v>
      </c>
      <c r="B57" s="145" t="s">
        <v>229</v>
      </c>
      <c r="C57" s="227">
        <v>10000</v>
      </c>
      <c r="D57" s="136"/>
      <c r="E57" s="222">
        <f t="shared" si="0"/>
        <v>10000</v>
      </c>
      <c r="F57" s="187">
        <f t="shared" si="1"/>
        <v>10000</v>
      </c>
      <c r="G57" s="247">
        <f t="shared" si="2"/>
        <v>0</v>
      </c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>
        <v>10000</v>
      </c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240"/>
      <c r="AX57" s="240"/>
    </row>
    <row r="58" spans="1:50" s="3" customFormat="1" ht="19.5" thickBot="1" x14ac:dyDescent="0.35">
      <c r="A58" s="142" t="s">
        <v>52</v>
      </c>
      <c r="B58" s="145" t="s">
        <v>230</v>
      </c>
      <c r="C58" s="227">
        <v>10000</v>
      </c>
      <c r="D58" s="136"/>
      <c r="E58" s="222">
        <f t="shared" si="0"/>
        <v>10000</v>
      </c>
      <c r="F58" s="187">
        <f t="shared" si="1"/>
        <v>10000</v>
      </c>
      <c r="G58" s="247">
        <f t="shared" si="2"/>
        <v>0</v>
      </c>
      <c r="H58" s="240"/>
      <c r="I58" s="240"/>
      <c r="J58" s="240"/>
      <c r="K58" s="240"/>
      <c r="L58" s="240"/>
      <c r="M58" s="240"/>
      <c r="N58" s="240"/>
      <c r="O58" s="240"/>
      <c r="P58" s="240">
        <v>5000</v>
      </c>
      <c r="Q58" s="240"/>
      <c r="R58" s="240">
        <v>2500</v>
      </c>
      <c r="S58" s="240">
        <v>2500</v>
      </c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240"/>
      <c r="AV58" s="240"/>
      <c r="AW58" s="240"/>
      <c r="AX58" s="240"/>
    </row>
    <row r="59" spans="1:50" s="3" customFormat="1" ht="19.5" thickBot="1" x14ac:dyDescent="0.35">
      <c r="A59" s="142" t="s">
        <v>53</v>
      </c>
      <c r="B59" s="145" t="s">
        <v>231</v>
      </c>
      <c r="C59" s="227">
        <v>10000</v>
      </c>
      <c r="D59" s="136">
        <v>9025</v>
      </c>
      <c r="E59" s="222">
        <v>0</v>
      </c>
      <c r="F59" s="187">
        <f t="shared" si="1"/>
        <v>0</v>
      </c>
      <c r="G59" s="247">
        <f t="shared" si="2"/>
        <v>0</v>
      </c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0"/>
    </row>
    <row r="60" spans="1:50" s="3" customFormat="1" ht="19.5" thickBot="1" x14ac:dyDescent="0.35">
      <c r="A60" s="142" t="s">
        <v>54</v>
      </c>
      <c r="B60" s="145" t="s">
        <v>232</v>
      </c>
      <c r="C60" s="227">
        <v>10000</v>
      </c>
      <c r="D60" s="136"/>
      <c r="E60" s="222">
        <f t="shared" si="0"/>
        <v>10000</v>
      </c>
      <c r="F60" s="187">
        <f t="shared" si="1"/>
        <v>10000</v>
      </c>
      <c r="G60" s="247">
        <f t="shared" si="2"/>
        <v>0</v>
      </c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>
        <v>10000</v>
      </c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</row>
    <row r="61" spans="1:50" s="3" customFormat="1" ht="19.5" thickBot="1" x14ac:dyDescent="0.35">
      <c r="A61" s="142" t="s">
        <v>55</v>
      </c>
      <c r="B61" s="145" t="s">
        <v>233</v>
      </c>
      <c r="C61" s="227">
        <v>300239</v>
      </c>
      <c r="D61" s="136"/>
      <c r="E61" s="222">
        <f t="shared" si="0"/>
        <v>300239</v>
      </c>
      <c r="F61" s="187">
        <f t="shared" si="1"/>
        <v>300239</v>
      </c>
      <c r="G61" s="247">
        <f t="shared" si="2"/>
        <v>0</v>
      </c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>
        <f>52058.08+111621.95</f>
        <v>163680.03</v>
      </c>
      <c r="S61" s="240">
        <f>9369.03+28869.03</f>
        <v>38238.06</v>
      </c>
      <c r="T61" s="240"/>
      <c r="U61" s="240"/>
      <c r="V61" s="240"/>
      <c r="W61" s="240"/>
      <c r="X61" s="240"/>
      <c r="Y61" s="240"/>
      <c r="Z61" s="240"/>
      <c r="AA61" s="240"/>
      <c r="AB61" s="240">
        <v>98320.91</v>
      </c>
      <c r="AC61" s="240"/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  <c r="AT61" s="240"/>
      <c r="AU61" s="240"/>
      <c r="AV61" s="240"/>
      <c r="AW61" s="240"/>
      <c r="AX61" s="240"/>
    </row>
    <row r="62" spans="1:50" s="3" customFormat="1" ht="19.5" thickBot="1" x14ac:dyDescent="0.35">
      <c r="A62" s="142" t="s">
        <v>56</v>
      </c>
      <c r="B62" s="145" t="s">
        <v>234</v>
      </c>
      <c r="C62" s="227">
        <v>109101</v>
      </c>
      <c r="D62" s="136"/>
      <c r="E62" s="222">
        <f t="shared" si="0"/>
        <v>109101</v>
      </c>
      <c r="F62" s="187">
        <f t="shared" si="1"/>
        <v>109101</v>
      </c>
      <c r="G62" s="247">
        <f t="shared" si="2"/>
        <v>0</v>
      </c>
      <c r="H62" s="240"/>
      <c r="I62" s="240"/>
      <c r="J62" s="240"/>
      <c r="K62" s="240"/>
      <c r="L62" s="240"/>
      <c r="M62" s="240"/>
      <c r="N62" s="240"/>
      <c r="O62" s="240">
        <v>6203.12</v>
      </c>
      <c r="P62" s="240">
        <v>10563.25</v>
      </c>
      <c r="Q62" s="240">
        <v>14045.55</v>
      </c>
      <c r="R62" s="240"/>
      <c r="S62" s="240">
        <v>6624.35</v>
      </c>
      <c r="T62" s="240"/>
      <c r="U62" s="240"/>
      <c r="V62" s="240"/>
      <c r="W62" s="240">
        <v>39858.46</v>
      </c>
      <c r="X62" s="240"/>
      <c r="Y62" s="240">
        <v>31806.27</v>
      </c>
      <c r="Z62" s="240"/>
      <c r="AA62" s="240"/>
      <c r="AB62" s="240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W62" s="240"/>
      <c r="AX62" s="240"/>
    </row>
    <row r="63" spans="1:50" s="3" customFormat="1" ht="19.5" thickBot="1" x14ac:dyDescent="0.35">
      <c r="A63" s="142" t="s">
        <v>57</v>
      </c>
      <c r="B63" s="145" t="s">
        <v>235</v>
      </c>
      <c r="C63" s="227">
        <v>97142</v>
      </c>
      <c r="D63" s="136"/>
      <c r="E63" s="222">
        <f t="shared" si="0"/>
        <v>97142</v>
      </c>
      <c r="F63" s="187">
        <f t="shared" si="1"/>
        <v>97142</v>
      </c>
      <c r="G63" s="247">
        <f t="shared" si="2"/>
        <v>0</v>
      </c>
      <c r="H63" s="240"/>
      <c r="I63" s="240"/>
      <c r="J63" s="240"/>
      <c r="K63" s="240"/>
      <c r="L63" s="240"/>
      <c r="M63" s="240"/>
      <c r="N63" s="269"/>
      <c r="O63" s="240"/>
      <c r="P63" s="240"/>
      <c r="Q63" s="240"/>
      <c r="R63" s="240"/>
      <c r="S63" s="240">
        <v>27129.4</v>
      </c>
      <c r="T63" s="240"/>
      <c r="U63" s="240"/>
      <c r="V63" s="240"/>
      <c r="W63" s="240">
        <v>2681</v>
      </c>
      <c r="X63" s="240"/>
      <c r="Y63" s="240">
        <f>180.07+12774</f>
        <v>12954.07</v>
      </c>
      <c r="Z63" s="240">
        <v>8272.9500000000007</v>
      </c>
      <c r="AA63" s="240">
        <v>6025.94</v>
      </c>
      <c r="AB63" s="240"/>
      <c r="AC63" s="240">
        <f>11260+4740+7995</f>
        <v>23995</v>
      </c>
      <c r="AD63" s="240">
        <v>5492</v>
      </c>
      <c r="AE63" s="240"/>
      <c r="AF63" s="240">
        <v>10591.64</v>
      </c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  <c r="AU63" s="240"/>
      <c r="AV63" s="240"/>
      <c r="AW63" s="240"/>
      <c r="AX63" s="240"/>
    </row>
    <row r="64" spans="1:50" s="3" customFormat="1" ht="19.5" thickBot="1" x14ac:dyDescent="0.35">
      <c r="A64" s="142" t="s">
        <v>58</v>
      </c>
      <c r="B64" s="145" t="s">
        <v>236</v>
      </c>
      <c r="C64" s="227">
        <v>527164</v>
      </c>
      <c r="D64" s="136"/>
      <c r="E64" s="222">
        <f t="shared" si="0"/>
        <v>527164</v>
      </c>
      <c r="F64" s="187">
        <f t="shared" si="1"/>
        <v>527164</v>
      </c>
      <c r="G64" s="247">
        <f t="shared" si="2"/>
        <v>0</v>
      </c>
      <c r="H64" s="240"/>
      <c r="I64" s="240"/>
      <c r="J64" s="240"/>
      <c r="K64" s="240"/>
      <c r="L64" s="240"/>
      <c r="M64" s="240"/>
      <c r="N64" s="240"/>
      <c r="O64" s="240">
        <v>22355.16</v>
      </c>
      <c r="P64" s="240">
        <v>39257.050000000003</v>
      </c>
      <c r="Q64" s="269">
        <v>32161.68</v>
      </c>
      <c r="R64" s="240">
        <v>26835.84</v>
      </c>
      <c r="S64" s="240">
        <v>71924.289999999994</v>
      </c>
      <c r="T64" s="240"/>
      <c r="U64" s="240">
        <v>215172.63</v>
      </c>
      <c r="V64" s="240">
        <v>67708.149999999994</v>
      </c>
      <c r="W64" s="240"/>
      <c r="X64" s="240">
        <v>41854.36</v>
      </c>
      <c r="Y64" s="240"/>
      <c r="Z64" s="240">
        <v>9894.84</v>
      </c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</row>
    <row r="65" spans="1:50" s="3" customFormat="1" ht="19.5" thickBot="1" x14ac:dyDescent="0.35">
      <c r="A65" s="142" t="s">
        <v>59</v>
      </c>
      <c r="B65" s="145" t="s">
        <v>237</v>
      </c>
      <c r="C65" s="227">
        <v>21008</v>
      </c>
      <c r="D65" s="136"/>
      <c r="E65" s="222">
        <f t="shared" si="0"/>
        <v>21008</v>
      </c>
      <c r="F65" s="187">
        <f t="shared" si="1"/>
        <v>21008</v>
      </c>
      <c r="G65" s="247">
        <f t="shared" si="2"/>
        <v>0</v>
      </c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>
        <v>21008</v>
      </c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40"/>
    </row>
    <row r="66" spans="1:50" s="3" customFormat="1" ht="19.5" thickBot="1" x14ac:dyDescent="0.35">
      <c r="A66" s="142" t="s">
        <v>60</v>
      </c>
      <c r="B66" s="145" t="s">
        <v>238</v>
      </c>
      <c r="C66" s="227">
        <v>12351</v>
      </c>
      <c r="D66" s="136"/>
      <c r="E66" s="222">
        <f t="shared" si="0"/>
        <v>12351</v>
      </c>
      <c r="F66" s="187">
        <f t="shared" si="1"/>
        <v>12351</v>
      </c>
      <c r="G66" s="247">
        <f t="shared" si="2"/>
        <v>0</v>
      </c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>
        <v>9844</v>
      </c>
      <c r="S66" s="240">
        <v>2507</v>
      </c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  <c r="AU66" s="240"/>
      <c r="AV66" s="240"/>
      <c r="AW66" s="240"/>
      <c r="AX66" s="240"/>
    </row>
    <row r="67" spans="1:50" s="3" customFormat="1" ht="19.5" thickBot="1" x14ac:dyDescent="0.35">
      <c r="A67" s="142" t="s">
        <v>61</v>
      </c>
      <c r="B67" s="145" t="s">
        <v>239</v>
      </c>
      <c r="C67" s="227">
        <v>77172</v>
      </c>
      <c r="D67" s="136"/>
      <c r="E67" s="222">
        <f t="shared" si="0"/>
        <v>77172</v>
      </c>
      <c r="F67" s="187">
        <f t="shared" si="1"/>
        <v>77172</v>
      </c>
      <c r="G67" s="247">
        <f t="shared" si="2"/>
        <v>0</v>
      </c>
      <c r="H67" s="240"/>
      <c r="I67" s="240"/>
      <c r="J67" s="240"/>
      <c r="K67" s="240"/>
      <c r="L67" s="240"/>
      <c r="M67" s="240"/>
      <c r="N67" s="240"/>
      <c r="O67" s="240">
        <v>3521.94</v>
      </c>
      <c r="P67" s="240"/>
      <c r="Q67" s="240"/>
      <c r="R67" s="240">
        <v>12783.61</v>
      </c>
      <c r="S67" s="240"/>
      <c r="T67" s="240"/>
      <c r="U67" s="240"/>
      <c r="V67" s="240"/>
      <c r="W67" s="240">
        <v>11297.45</v>
      </c>
      <c r="X67" s="240"/>
      <c r="Y67" s="240">
        <v>19220.240000000002</v>
      </c>
      <c r="Z67" s="240"/>
      <c r="AA67" s="240">
        <v>374.29</v>
      </c>
      <c r="AB67" s="240"/>
      <c r="AC67" s="240"/>
      <c r="AD67" s="240">
        <v>8876.2099999999991</v>
      </c>
      <c r="AE67" s="240">
        <v>21098.26</v>
      </c>
      <c r="AF67" s="240"/>
      <c r="AG67" s="240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  <c r="AT67" s="240"/>
      <c r="AU67" s="240"/>
      <c r="AV67" s="240"/>
      <c r="AW67" s="240"/>
      <c r="AX67" s="240"/>
    </row>
    <row r="68" spans="1:50" s="3" customFormat="1" ht="19.5" thickBot="1" x14ac:dyDescent="0.35">
      <c r="A68" s="142" t="s">
        <v>62</v>
      </c>
      <c r="B68" s="145" t="s">
        <v>240</v>
      </c>
      <c r="C68" s="227">
        <v>13389</v>
      </c>
      <c r="D68" s="136"/>
      <c r="E68" s="222">
        <f t="shared" si="0"/>
        <v>13389</v>
      </c>
      <c r="F68" s="187">
        <f t="shared" si="1"/>
        <v>13389</v>
      </c>
      <c r="G68" s="247">
        <f t="shared" si="2"/>
        <v>0</v>
      </c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>
        <v>13389</v>
      </c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40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</row>
    <row r="69" spans="1:50" s="3" customFormat="1" ht="19.5" thickBot="1" x14ac:dyDescent="0.35">
      <c r="A69" s="142" t="s">
        <v>63</v>
      </c>
      <c r="B69" s="145" t="s">
        <v>456</v>
      </c>
      <c r="C69" s="227">
        <v>10000</v>
      </c>
      <c r="D69" s="136"/>
      <c r="E69" s="222">
        <f t="shared" si="0"/>
        <v>10000</v>
      </c>
      <c r="F69" s="187">
        <f t="shared" si="1"/>
        <v>10000</v>
      </c>
      <c r="G69" s="247">
        <f t="shared" si="2"/>
        <v>0</v>
      </c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>
        <v>3372</v>
      </c>
      <c r="AA69" s="240"/>
      <c r="AB69" s="240"/>
      <c r="AC69" s="240">
        <v>480.3</v>
      </c>
      <c r="AD69" s="240"/>
      <c r="AE69" s="240"/>
      <c r="AF69" s="240"/>
      <c r="AG69" s="240"/>
      <c r="AH69" s="240"/>
      <c r="AI69" s="240">
        <v>347.34</v>
      </c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  <c r="AT69" s="240">
        <v>5800.36</v>
      </c>
      <c r="AU69" s="240"/>
      <c r="AV69" s="240"/>
      <c r="AW69" s="240"/>
      <c r="AX69" s="240"/>
    </row>
    <row r="70" spans="1:50" s="3" customFormat="1" ht="19.5" thickBot="1" x14ac:dyDescent="0.35">
      <c r="A70" s="142" t="s">
        <v>64</v>
      </c>
      <c r="B70" s="145" t="s">
        <v>242</v>
      </c>
      <c r="C70" s="227">
        <v>10000</v>
      </c>
      <c r="D70" s="136"/>
      <c r="E70" s="222">
        <f t="shared" si="0"/>
        <v>10000</v>
      </c>
      <c r="F70" s="187">
        <f t="shared" si="1"/>
        <v>10000</v>
      </c>
      <c r="G70" s="247">
        <f t="shared" si="2"/>
        <v>0</v>
      </c>
      <c r="H70" s="240"/>
      <c r="I70" s="240"/>
      <c r="J70" s="240"/>
      <c r="K70" s="240"/>
      <c r="L70" s="240"/>
      <c r="M70" s="240"/>
      <c r="N70" s="240"/>
      <c r="O70" s="240">
        <v>10000</v>
      </c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  <c r="AT70" s="240"/>
      <c r="AU70" s="240"/>
      <c r="AV70" s="240"/>
      <c r="AW70" s="240"/>
      <c r="AX70" s="240"/>
    </row>
    <row r="71" spans="1:50" s="3" customFormat="1" ht="19.5" thickBot="1" x14ac:dyDescent="0.35">
      <c r="A71" s="142" t="s">
        <v>65</v>
      </c>
      <c r="B71" s="145" t="s">
        <v>243</v>
      </c>
      <c r="C71" s="227">
        <v>26974</v>
      </c>
      <c r="D71" s="136"/>
      <c r="E71" s="222">
        <f t="shared" si="0"/>
        <v>26974</v>
      </c>
      <c r="F71" s="187">
        <f t="shared" si="1"/>
        <v>26974</v>
      </c>
      <c r="G71" s="247">
        <f t="shared" si="2"/>
        <v>0</v>
      </c>
      <c r="H71" s="240"/>
      <c r="I71" s="240"/>
      <c r="J71" s="240"/>
      <c r="K71" s="240"/>
      <c r="L71" s="240"/>
      <c r="M71" s="240"/>
      <c r="N71" s="240"/>
      <c r="O71" s="240">
        <v>11787.16</v>
      </c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>
        <f>11110.94+4075.9</f>
        <v>15186.84</v>
      </c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0"/>
    </row>
    <row r="72" spans="1:50" s="3" customFormat="1" ht="19.5" thickBot="1" x14ac:dyDescent="0.35">
      <c r="A72" s="142" t="s">
        <v>66</v>
      </c>
      <c r="B72" s="145" t="s">
        <v>244</v>
      </c>
      <c r="C72" s="227">
        <v>114454</v>
      </c>
      <c r="D72" s="136"/>
      <c r="E72" s="222">
        <f t="shared" si="0"/>
        <v>114454</v>
      </c>
      <c r="F72" s="187">
        <f t="shared" si="1"/>
        <v>114454</v>
      </c>
      <c r="G72" s="247">
        <f t="shared" si="2"/>
        <v>0</v>
      </c>
      <c r="H72" s="240"/>
      <c r="I72" s="240"/>
      <c r="J72" s="240"/>
      <c r="K72" s="240"/>
      <c r="L72" s="240"/>
      <c r="M72" s="240"/>
      <c r="N72" s="240"/>
      <c r="O72" s="240"/>
      <c r="P72" s="240"/>
      <c r="Q72" s="240">
        <v>18688</v>
      </c>
      <c r="R72" s="240"/>
      <c r="S72" s="240">
        <v>9246</v>
      </c>
      <c r="T72" s="240"/>
      <c r="U72" s="240"/>
      <c r="V72" s="240">
        <v>47160</v>
      </c>
      <c r="W72" s="240"/>
      <c r="X72" s="240">
        <v>22123</v>
      </c>
      <c r="Y72" s="240"/>
      <c r="Z72" s="240"/>
      <c r="AA72" s="240"/>
      <c r="AB72" s="240">
        <v>17237</v>
      </c>
      <c r="AC72" s="240"/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</row>
    <row r="73" spans="1:50" s="3" customFormat="1" ht="19.5" thickBot="1" x14ac:dyDescent="0.35">
      <c r="A73" s="142" t="s">
        <v>67</v>
      </c>
      <c r="B73" s="145" t="s">
        <v>457</v>
      </c>
      <c r="C73" s="227">
        <v>10000</v>
      </c>
      <c r="D73" s="136"/>
      <c r="E73" s="222">
        <f t="shared" si="0"/>
        <v>10000</v>
      </c>
      <c r="F73" s="187">
        <f t="shared" si="1"/>
        <v>10000</v>
      </c>
      <c r="G73" s="247">
        <f t="shared" si="2"/>
        <v>0</v>
      </c>
      <c r="H73" s="240"/>
      <c r="I73" s="240"/>
      <c r="J73" s="240"/>
      <c r="K73" s="240"/>
      <c r="L73" s="240"/>
      <c r="M73" s="240"/>
      <c r="N73" s="240">
        <v>2000</v>
      </c>
      <c r="O73" s="240"/>
      <c r="P73" s="240">
        <v>3611.43</v>
      </c>
      <c r="Q73" s="240"/>
      <c r="R73" s="240">
        <v>3388.57</v>
      </c>
      <c r="S73" s="240"/>
      <c r="T73" s="240"/>
      <c r="U73" s="240"/>
      <c r="V73" s="240"/>
      <c r="W73" s="240"/>
      <c r="X73" s="240"/>
      <c r="Y73" s="240"/>
      <c r="Z73" s="240"/>
      <c r="AA73" s="240"/>
      <c r="AB73" s="240">
        <v>1000</v>
      </c>
      <c r="AC73" s="240"/>
      <c r="AD73" s="240"/>
      <c r="AE73" s="240"/>
      <c r="AF73" s="240"/>
      <c r="AG73" s="240"/>
      <c r="AH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  <c r="AT73" s="240"/>
      <c r="AU73" s="240"/>
      <c r="AV73" s="240"/>
      <c r="AW73" s="240"/>
      <c r="AX73" s="240"/>
    </row>
    <row r="74" spans="1:50" s="3" customFormat="1" ht="19.5" thickBot="1" x14ac:dyDescent="0.35">
      <c r="A74" s="142" t="s">
        <v>68</v>
      </c>
      <c r="B74" s="145" t="s">
        <v>604</v>
      </c>
      <c r="C74" s="227">
        <v>10000</v>
      </c>
      <c r="D74" s="136"/>
      <c r="E74" s="222">
        <f t="shared" si="0"/>
        <v>10000</v>
      </c>
      <c r="F74" s="187">
        <f t="shared" si="1"/>
        <v>10000</v>
      </c>
      <c r="G74" s="247">
        <f t="shared" si="2"/>
        <v>0</v>
      </c>
      <c r="H74" s="240"/>
      <c r="I74" s="240"/>
      <c r="J74" s="240"/>
      <c r="K74" s="240"/>
      <c r="L74" s="240"/>
      <c r="M74" s="240"/>
      <c r="N74" s="240"/>
      <c r="O74" s="240"/>
      <c r="P74" s="240"/>
      <c r="Q74" s="240">
        <v>10000</v>
      </c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  <c r="AT74" s="240"/>
      <c r="AU74" s="240"/>
      <c r="AV74" s="240"/>
      <c r="AW74" s="240"/>
      <c r="AX74" s="240"/>
    </row>
    <row r="75" spans="1:50" s="3" customFormat="1" ht="19.5" thickBot="1" x14ac:dyDescent="0.35">
      <c r="A75" s="142" t="s">
        <v>69</v>
      </c>
      <c r="B75" s="145" t="s">
        <v>459</v>
      </c>
      <c r="C75" s="227">
        <v>65650</v>
      </c>
      <c r="D75" s="136"/>
      <c r="E75" s="222">
        <f t="shared" si="0"/>
        <v>65650</v>
      </c>
      <c r="F75" s="187">
        <f t="shared" si="1"/>
        <v>65650</v>
      </c>
      <c r="G75" s="247">
        <f t="shared" si="2"/>
        <v>0</v>
      </c>
      <c r="H75" s="240"/>
      <c r="I75" s="240"/>
      <c r="J75" s="240"/>
      <c r="K75" s="240"/>
      <c r="L75" s="240"/>
      <c r="M75" s="240"/>
      <c r="N75" s="240"/>
      <c r="O75" s="240"/>
      <c r="P75" s="240">
        <v>16453</v>
      </c>
      <c r="Q75" s="240"/>
      <c r="R75" s="240"/>
      <c r="S75" s="240">
        <v>41394</v>
      </c>
      <c r="T75" s="240">
        <v>7803</v>
      </c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  <c r="AT75" s="240"/>
      <c r="AU75" s="240"/>
      <c r="AV75" s="240"/>
      <c r="AW75" s="240"/>
      <c r="AX75" s="240"/>
    </row>
    <row r="76" spans="1:50" s="3" customFormat="1" ht="19.5" thickBot="1" x14ac:dyDescent="0.35">
      <c r="A76" s="142" t="s">
        <v>70</v>
      </c>
      <c r="B76" s="145" t="s">
        <v>461</v>
      </c>
      <c r="C76" s="227">
        <v>25702</v>
      </c>
      <c r="D76" s="136"/>
      <c r="E76" s="222">
        <f t="shared" si="0"/>
        <v>25702</v>
      </c>
      <c r="F76" s="187">
        <f t="shared" si="1"/>
        <v>25702</v>
      </c>
      <c r="G76" s="247">
        <f t="shared" si="2"/>
        <v>0</v>
      </c>
      <c r="H76" s="240"/>
      <c r="I76" s="240"/>
      <c r="J76" s="240"/>
      <c r="K76" s="240"/>
      <c r="L76" s="240"/>
      <c r="M76" s="240"/>
      <c r="N76" s="240"/>
      <c r="O76" s="240">
        <v>24861.71</v>
      </c>
      <c r="P76" s="240"/>
      <c r="Q76" s="240"/>
      <c r="R76" s="240"/>
      <c r="S76" s="240"/>
      <c r="T76" s="240"/>
      <c r="U76" s="240"/>
      <c r="V76" s="240">
        <v>840.29</v>
      </c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40"/>
      <c r="AT76" s="240"/>
      <c r="AU76" s="240"/>
      <c r="AV76" s="240"/>
      <c r="AW76" s="240"/>
      <c r="AX76" s="240"/>
    </row>
    <row r="77" spans="1:50" s="3" customFormat="1" ht="19.5" thickBot="1" x14ac:dyDescent="0.35">
      <c r="A77" s="142" t="s">
        <v>71</v>
      </c>
      <c r="B77" s="145" t="s">
        <v>462</v>
      </c>
      <c r="C77" s="227">
        <v>10000</v>
      </c>
      <c r="D77" s="136"/>
      <c r="E77" s="222">
        <f t="shared" ref="E77:E140" si="3">C77</f>
        <v>10000</v>
      </c>
      <c r="F77" s="187">
        <f t="shared" ref="F77:F140" si="4">SUM(H77:AT77)</f>
        <v>10000</v>
      </c>
      <c r="G77" s="247">
        <f t="shared" ref="G77:G140" si="5">E77-(F77+AW77+AX77)</f>
        <v>0</v>
      </c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>
        <v>10000</v>
      </c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  <c r="AT77" s="240"/>
      <c r="AU77" s="240"/>
      <c r="AV77" s="240"/>
      <c r="AW77" s="240"/>
      <c r="AX77" s="240"/>
    </row>
    <row r="78" spans="1:50" s="3" customFormat="1" ht="19.5" thickBot="1" x14ac:dyDescent="0.35">
      <c r="A78" s="142" t="s">
        <v>72</v>
      </c>
      <c r="B78" s="145" t="s">
        <v>463</v>
      </c>
      <c r="C78" s="227">
        <v>37047</v>
      </c>
      <c r="D78" s="136"/>
      <c r="E78" s="222">
        <f t="shared" si="3"/>
        <v>37047</v>
      </c>
      <c r="F78" s="187">
        <f t="shared" si="4"/>
        <v>37047</v>
      </c>
      <c r="G78" s="247">
        <f t="shared" si="5"/>
        <v>0</v>
      </c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>
        <v>37047</v>
      </c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40"/>
      <c r="AT78" s="240"/>
      <c r="AU78" s="240"/>
      <c r="AV78" s="240"/>
      <c r="AW78" s="240"/>
      <c r="AX78" s="240"/>
    </row>
    <row r="79" spans="1:50" s="3" customFormat="1" ht="19.5" thickBot="1" x14ac:dyDescent="0.35">
      <c r="A79" s="142" t="s">
        <v>73</v>
      </c>
      <c r="B79" s="145" t="s">
        <v>465</v>
      </c>
      <c r="C79" s="227">
        <v>44472</v>
      </c>
      <c r="D79" s="136"/>
      <c r="E79" s="222">
        <f t="shared" si="3"/>
        <v>44472</v>
      </c>
      <c r="F79" s="187">
        <f t="shared" si="4"/>
        <v>44472</v>
      </c>
      <c r="G79" s="247">
        <f t="shared" si="5"/>
        <v>0</v>
      </c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>
        <v>798.9</v>
      </c>
      <c r="T79" s="240"/>
      <c r="U79" s="240"/>
      <c r="V79" s="240"/>
      <c r="W79" s="240">
        <v>1158</v>
      </c>
      <c r="X79" s="240"/>
      <c r="Y79" s="240">
        <v>16047.55</v>
      </c>
      <c r="Z79" s="240"/>
      <c r="AA79" s="240"/>
      <c r="AB79" s="240"/>
      <c r="AC79" s="240"/>
      <c r="AD79" s="240">
        <v>2749</v>
      </c>
      <c r="AE79" s="240"/>
      <c r="AF79" s="240"/>
      <c r="AG79" s="240"/>
      <c r="AH79" s="240"/>
      <c r="AI79" s="240">
        <v>13620</v>
      </c>
      <c r="AJ79" s="240"/>
      <c r="AK79" s="240"/>
      <c r="AL79" s="240"/>
      <c r="AM79" s="240"/>
      <c r="AN79" s="240"/>
      <c r="AO79" s="240"/>
      <c r="AP79" s="240"/>
      <c r="AQ79" s="240"/>
      <c r="AR79" s="240"/>
      <c r="AS79" s="240"/>
      <c r="AT79" s="240">
        <v>10098.549999999999</v>
      </c>
      <c r="AU79" s="240"/>
      <c r="AV79" s="240"/>
      <c r="AW79" s="240"/>
      <c r="AX79" s="240"/>
    </row>
    <row r="80" spans="1:50" s="3" customFormat="1" ht="19.5" thickBot="1" x14ac:dyDescent="0.35">
      <c r="A80" s="142" t="s">
        <v>74</v>
      </c>
      <c r="B80" s="145" t="s">
        <v>252</v>
      </c>
      <c r="C80" s="227">
        <v>12406</v>
      </c>
      <c r="D80" s="136"/>
      <c r="E80" s="222">
        <f t="shared" si="3"/>
        <v>12406</v>
      </c>
      <c r="F80" s="187">
        <f t="shared" si="4"/>
        <v>12406</v>
      </c>
      <c r="G80" s="247">
        <f t="shared" si="5"/>
        <v>0</v>
      </c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>
        <v>12406</v>
      </c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0"/>
      <c r="AP80" s="240"/>
      <c r="AQ80" s="240"/>
      <c r="AR80" s="240"/>
      <c r="AS80" s="240"/>
      <c r="AT80" s="240"/>
      <c r="AU80" s="240"/>
      <c r="AV80" s="240"/>
      <c r="AW80" s="240"/>
      <c r="AX80" s="240"/>
    </row>
    <row r="81" spans="1:50" s="3" customFormat="1" ht="19.5" thickBot="1" x14ac:dyDescent="0.35">
      <c r="A81" s="142" t="s">
        <v>75</v>
      </c>
      <c r="B81" s="145" t="s">
        <v>466</v>
      </c>
      <c r="C81" s="227">
        <v>10000</v>
      </c>
      <c r="D81" s="136"/>
      <c r="E81" s="222">
        <f t="shared" si="3"/>
        <v>10000</v>
      </c>
      <c r="F81" s="187">
        <f t="shared" si="4"/>
        <v>10000</v>
      </c>
      <c r="G81" s="247">
        <f t="shared" si="5"/>
        <v>0</v>
      </c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240"/>
      <c r="Z81" s="240"/>
      <c r="AA81" s="240"/>
      <c r="AB81" s="240"/>
      <c r="AC81" s="240"/>
      <c r="AD81" s="240"/>
      <c r="AE81" s="240">
        <v>10000</v>
      </c>
      <c r="AF81" s="240"/>
      <c r="AG81" s="240"/>
      <c r="AH81" s="240"/>
      <c r="AI81" s="240"/>
      <c r="AJ81" s="240"/>
      <c r="AK81" s="240"/>
      <c r="AL81" s="240"/>
      <c r="AM81" s="240"/>
      <c r="AN81" s="240"/>
      <c r="AO81" s="240"/>
      <c r="AP81" s="240"/>
      <c r="AQ81" s="240"/>
      <c r="AR81" s="240"/>
      <c r="AS81" s="240"/>
      <c r="AT81" s="240"/>
      <c r="AU81" s="240"/>
      <c r="AV81" s="240"/>
      <c r="AW81" s="240"/>
      <c r="AX81" s="240"/>
    </row>
    <row r="82" spans="1:50" s="3" customFormat="1" ht="19.5" thickBot="1" x14ac:dyDescent="0.35">
      <c r="A82" s="142" t="s">
        <v>76</v>
      </c>
      <c r="B82" s="145" t="s">
        <v>468</v>
      </c>
      <c r="C82" s="227">
        <v>10000</v>
      </c>
      <c r="D82" s="136"/>
      <c r="E82" s="222">
        <f t="shared" si="3"/>
        <v>10000</v>
      </c>
      <c r="F82" s="187">
        <f t="shared" si="4"/>
        <v>10000</v>
      </c>
      <c r="G82" s="247">
        <f t="shared" si="5"/>
        <v>0</v>
      </c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>
        <v>10000</v>
      </c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0"/>
      <c r="AL82" s="240"/>
      <c r="AM82" s="240"/>
      <c r="AN82" s="240"/>
      <c r="AO82" s="240"/>
      <c r="AP82" s="240"/>
      <c r="AQ82" s="240"/>
      <c r="AR82" s="240"/>
      <c r="AS82" s="240"/>
      <c r="AT82" s="240"/>
      <c r="AU82" s="240"/>
      <c r="AV82" s="240"/>
      <c r="AW82" s="240"/>
      <c r="AX82" s="240"/>
    </row>
    <row r="83" spans="1:50" s="3" customFormat="1" ht="19.5" thickBot="1" x14ac:dyDescent="0.35">
      <c r="A83" s="142" t="s">
        <v>77</v>
      </c>
      <c r="B83" s="145" t="s">
        <v>255</v>
      </c>
      <c r="C83" s="227">
        <v>10491</v>
      </c>
      <c r="D83" s="136"/>
      <c r="E83" s="222">
        <f t="shared" si="3"/>
        <v>10491</v>
      </c>
      <c r="F83" s="187">
        <f t="shared" si="4"/>
        <v>10491</v>
      </c>
      <c r="G83" s="247">
        <f t="shared" si="5"/>
        <v>0</v>
      </c>
      <c r="H83" s="240"/>
      <c r="I83" s="240"/>
      <c r="J83" s="240"/>
      <c r="K83" s="240"/>
      <c r="L83" s="240"/>
      <c r="M83" s="240">
        <v>2011.91</v>
      </c>
      <c r="N83" s="240"/>
      <c r="O83" s="240">
        <v>2623.07</v>
      </c>
      <c r="P83" s="240"/>
      <c r="Q83" s="240">
        <v>1748.72</v>
      </c>
      <c r="R83" s="240"/>
      <c r="S83" s="240">
        <v>4107.3</v>
      </c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40"/>
      <c r="AF83" s="240"/>
      <c r="AG83" s="240"/>
      <c r="AH83" s="240"/>
      <c r="AI83" s="240"/>
      <c r="AJ83" s="240"/>
      <c r="AK83" s="240"/>
      <c r="AL83" s="240"/>
      <c r="AM83" s="240"/>
      <c r="AN83" s="240"/>
      <c r="AO83" s="240"/>
      <c r="AP83" s="240"/>
      <c r="AQ83" s="240"/>
      <c r="AR83" s="240"/>
      <c r="AS83" s="240"/>
      <c r="AT83" s="240"/>
      <c r="AU83" s="240"/>
      <c r="AV83" s="240"/>
      <c r="AW83" s="240"/>
      <c r="AX83" s="240"/>
    </row>
    <row r="84" spans="1:50" s="3" customFormat="1" ht="19.5" thickBot="1" x14ac:dyDescent="0.35">
      <c r="A84" s="142" t="s">
        <v>78</v>
      </c>
      <c r="B84" s="145" t="s">
        <v>256</v>
      </c>
      <c r="C84" s="227">
        <v>17594</v>
      </c>
      <c r="D84" s="136"/>
      <c r="E84" s="222">
        <f t="shared" si="3"/>
        <v>17594</v>
      </c>
      <c r="F84" s="187">
        <f t="shared" si="4"/>
        <v>17594</v>
      </c>
      <c r="G84" s="247">
        <f t="shared" si="5"/>
        <v>0</v>
      </c>
      <c r="H84" s="240"/>
      <c r="I84" s="240"/>
      <c r="J84" s="240"/>
      <c r="K84" s="240"/>
      <c r="L84" s="240"/>
      <c r="M84" s="240"/>
      <c r="N84" s="269"/>
      <c r="O84" s="240"/>
      <c r="P84" s="240"/>
      <c r="Q84" s="240"/>
      <c r="R84" s="240"/>
      <c r="S84" s="240">
        <v>17591</v>
      </c>
      <c r="T84" s="240"/>
      <c r="U84" s="240"/>
      <c r="V84" s="240"/>
      <c r="W84" s="240"/>
      <c r="X84" s="240"/>
      <c r="Y84" s="240"/>
      <c r="Z84" s="240"/>
      <c r="AA84" s="240">
        <v>3</v>
      </c>
      <c r="AB84" s="240"/>
      <c r="AC84" s="240"/>
      <c r="AD84" s="240"/>
      <c r="AE84" s="240"/>
      <c r="AF84" s="240"/>
      <c r="AG84" s="240"/>
      <c r="AH84" s="240"/>
      <c r="AI84" s="240"/>
      <c r="AJ84" s="240"/>
      <c r="AK84" s="240"/>
      <c r="AL84" s="240"/>
      <c r="AM84" s="240"/>
      <c r="AN84" s="240"/>
      <c r="AO84" s="240"/>
      <c r="AP84" s="240"/>
      <c r="AQ84" s="240"/>
      <c r="AR84" s="240"/>
      <c r="AS84" s="240"/>
      <c r="AT84" s="240"/>
      <c r="AU84" s="240"/>
      <c r="AV84" s="240"/>
      <c r="AW84" s="240"/>
      <c r="AX84" s="240"/>
    </row>
    <row r="85" spans="1:50" s="3" customFormat="1" ht="19.5" thickBot="1" x14ac:dyDescent="0.35">
      <c r="A85" s="142" t="s">
        <v>79</v>
      </c>
      <c r="B85" s="145" t="s">
        <v>257</v>
      </c>
      <c r="C85" s="227">
        <v>10000</v>
      </c>
      <c r="D85" s="136"/>
      <c r="E85" s="222">
        <f t="shared" si="3"/>
        <v>10000</v>
      </c>
      <c r="F85" s="187">
        <f t="shared" si="4"/>
        <v>10000</v>
      </c>
      <c r="G85" s="247">
        <f t="shared" si="5"/>
        <v>0</v>
      </c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>
        <v>10000</v>
      </c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P85" s="240"/>
      <c r="AQ85" s="240"/>
      <c r="AR85" s="240"/>
      <c r="AS85" s="240"/>
      <c r="AT85" s="240"/>
      <c r="AU85" s="240"/>
      <c r="AV85" s="240"/>
      <c r="AW85" s="240"/>
      <c r="AX85" s="240"/>
    </row>
    <row r="86" spans="1:50" s="3" customFormat="1" ht="19.5" thickBot="1" x14ac:dyDescent="0.35">
      <c r="A86" s="142" t="s">
        <v>80</v>
      </c>
      <c r="B86" s="145" t="s">
        <v>474</v>
      </c>
      <c r="C86" s="227">
        <v>19402</v>
      </c>
      <c r="D86" s="136"/>
      <c r="E86" s="222">
        <f t="shared" si="3"/>
        <v>19402</v>
      </c>
      <c r="F86" s="187">
        <f t="shared" si="4"/>
        <v>16129.480000000001</v>
      </c>
      <c r="G86" s="247">
        <f t="shared" si="5"/>
        <v>3272.5199999999986</v>
      </c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>
        <v>1462.36</v>
      </c>
      <c r="AC86" s="240"/>
      <c r="AD86" s="240"/>
      <c r="AE86" s="240">
        <f>1876.9+2000</f>
        <v>3876.9</v>
      </c>
      <c r="AF86" s="240"/>
      <c r="AG86" s="240"/>
      <c r="AH86" s="240">
        <v>542.39</v>
      </c>
      <c r="AI86" s="240"/>
      <c r="AJ86" s="240"/>
      <c r="AK86" s="240">
        <v>400.6</v>
      </c>
      <c r="AL86" s="240"/>
      <c r="AM86" s="240">
        <v>3422.88</v>
      </c>
      <c r="AN86" s="240"/>
      <c r="AO86" s="240"/>
      <c r="AP86" s="240"/>
      <c r="AQ86" s="240">
        <v>3114</v>
      </c>
      <c r="AR86" s="240">
        <v>500</v>
      </c>
      <c r="AS86" s="240">
        <v>2810.35</v>
      </c>
      <c r="AT86" s="240"/>
      <c r="AU86" s="240"/>
      <c r="AV86" s="240"/>
      <c r="AW86" s="240"/>
      <c r="AX86" s="240"/>
    </row>
    <row r="87" spans="1:50" s="3" customFormat="1" ht="19.5" thickBot="1" x14ac:dyDescent="0.35">
      <c r="A87" s="142" t="s">
        <v>81</v>
      </c>
      <c r="B87" s="145" t="s">
        <v>476</v>
      </c>
      <c r="C87" s="227">
        <v>10000</v>
      </c>
      <c r="D87" s="136"/>
      <c r="E87" s="222">
        <f t="shared" si="3"/>
        <v>10000</v>
      </c>
      <c r="F87" s="187">
        <f t="shared" si="4"/>
        <v>10000</v>
      </c>
      <c r="G87" s="247">
        <f t="shared" si="5"/>
        <v>0</v>
      </c>
      <c r="H87" s="240"/>
      <c r="I87" s="240"/>
      <c r="J87" s="240"/>
      <c r="K87" s="240">
        <v>2318</v>
      </c>
      <c r="L87" s="240">
        <v>813</v>
      </c>
      <c r="M87" s="240">
        <v>874</v>
      </c>
      <c r="N87" s="240">
        <v>813</v>
      </c>
      <c r="O87" s="240">
        <v>813</v>
      </c>
      <c r="P87" s="240">
        <v>813</v>
      </c>
      <c r="Q87" s="240">
        <v>812</v>
      </c>
      <c r="R87" s="240">
        <v>813</v>
      </c>
      <c r="S87" s="240">
        <v>308</v>
      </c>
      <c r="T87" s="240">
        <v>1328</v>
      </c>
      <c r="U87" s="240"/>
      <c r="V87" s="240"/>
      <c r="W87" s="240">
        <v>295</v>
      </c>
      <c r="X87" s="240"/>
      <c r="Y87" s="240"/>
      <c r="Z87" s="240"/>
      <c r="AA87" s="240"/>
      <c r="AB87" s="240"/>
      <c r="AC87" s="240"/>
      <c r="AD87" s="240"/>
      <c r="AE87" s="240"/>
      <c r="AF87" s="240"/>
      <c r="AG87" s="240"/>
      <c r="AH87" s="240"/>
      <c r="AI87" s="240"/>
      <c r="AJ87" s="240"/>
      <c r="AK87" s="240"/>
      <c r="AL87" s="240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</row>
    <row r="88" spans="1:50" s="3" customFormat="1" ht="19.5" thickBot="1" x14ac:dyDescent="0.35">
      <c r="A88" s="142" t="s">
        <v>82</v>
      </c>
      <c r="B88" s="145" t="s">
        <v>260</v>
      </c>
      <c r="C88" s="227">
        <v>10000</v>
      </c>
      <c r="D88" s="136"/>
      <c r="E88" s="222">
        <f t="shared" si="3"/>
        <v>10000</v>
      </c>
      <c r="F88" s="187">
        <f t="shared" si="4"/>
        <v>10000</v>
      </c>
      <c r="G88" s="247">
        <f t="shared" si="5"/>
        <v>0</v>
      </c>
      <c r="H88" s="240"/>
      <c r="I88" s="240"/>
      <c r="J88" s="240"/>
      <c r="K88" s="240"/>
      <c r="L88" s="240"/>
      <c r="M88" s="240"/>
      <c r="N88" s="240"/>
      <c r="O88" s="240"/>
      <c r="P88" s="240"/>
      <c r="Q88" s="269"/>
      <c r="R88" s="240"/>
      <c r="S88" s="240"/>
      <c r="T88" s="240"/>
      <c r="U88" s="240"/>
      <c r="V88" s="240"/>
      <c r="W88" s="240"/>
      <c r="X88" s="240"/>
      <c r="Y88" s="240">
        <v>10000</v>
      </c>
      <c r="Z88" s="240"/>
      <c r="AA88" s="240"/>
      <c r="AB88" s="240"/>
      <c r="AC88" s="240"/>
      <c r="AD88" s="240"/>
      <c r="AE88" s="240"/>
      <c r="AF88" s="240"/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0"/>
      <c r="AR88" s="240"/>
      <c r="AS88" s="240"/>
      <c r="AT88" s="240"/>
      <c r="AU88" s="240"/>
      <c r="AV88" s="240"/>
      <c r="AW88" s="240"/>
      <c r="AX88" s="240"/>
    </row>
    <row r="89" spans="1:50" s="3" customFormat="1" ht="19.5" thickBot="1" x14ac:dyDescent="0.35">
      <c r="A89" s="142" t="s">
        <v>83</v>
      </c>
      <c r="B89" s="145" t="s">
        <v>261</v>
      </c>
      <c r="C89" s="227">
        <v>625702</v>
      </c>
      <c r="D89" s="136"/>
      <c r="E89" s="222">
        <f t="shared" si="3"/>
        <v>625702</v>
      </c>
      <c r="F89" s="187">
        <f t="shared" si="4"/>
        <v>625702</v>
      </c>
      <c r="G89" s="247">
        <f t="shared" si="5"/>
        <v>0</v>
      </c>
      <c r="H89" s="240"/>
      <c r="I89" s="240"/>
      <c r="J89" s="240"/>
      <c r="K89" s="240"/>
      <c r="L89" s="240"/>
      <c r="M89" s="240">
        <v>5493.57</v>
      </c>
      <c r="N89" s="240"/>
      <c r="O89" s="240">
        <v>108190.19</v>
      </c>
      <c r="P89" s="240">
        <v>39586.15</v>
      </c>
      <c r="Q89" s="240">
        <v>56535.839999999997</v>
      </c>
      <c r="R89" s="240">
        <v>45344.32</v>
      </c>
      <c r="S89" s="240">
        <v>43842.38</v>
      </c>
      <c r="T89" s="240">
        <v>53456.45</v>
      </c>
      <c r="U89" s="240"/>
      <c r="V89" s="240">
        <v>73911.94</v>
      </c>
      <c r="W89" s="240"/>
      <c r="X89" s="240"/>
      <c r="Y89" s="240"/>
      <c r="Z89" s="240">
        <v>185985.04</v>
      </c>
      <c r="AA89" s="240">
        <v>13356.12</v>
      </c>
      <c r="AB89" s="240"/>
      <c r="AC89" s="240"/>
      <c r="AD89" s="240"/>
      <c r="AE89" s="240"/>
      <c r="AF89" s="240"/>
      <c r="AG89" s="240"/>
      <c r="AH89" s="240"/>
      <c r="AI89" s="240"/>
      <c r="AJ89" s="240"/>
      <c r="AK89" s="240"/>
      <c r="AL89" s="240"/>
      <c r="AM89" s="240"/>
      <c r="AN89" s="240"/>
      <c r="AO89" s="240"/>
      <c r="AP89" s="240"/>
      <c r="AQ89" s="240"/>
      <c r="AR89" s="240"/>
      <c r="AS89" s="240"/>
      <c r="AT89" s="240"/>
      <c r="AU89" s="240"/>
      <c r="AV89" s="240"/>
      <c r="AW89" s="240"/>
      <c r="AX89" s="240"/>
    </row>
    <row r="90" spans="1:50" s="3" customFormat="1" ht="19.5" thickBot="1" x14ac:dyDescent="0.35">
      <c r="A90" s="142" t="s">
        <v>84</v>
      </c>
      <c r="B90" s="145" t="s">
        <v>479</v>
      </c>
      <c r="C90" s="227">
        <v>10000</v>
      </c>
      <c r="D90" s="136"/>
      <c r="E90" s="222">
        <f t="shared" si="3"/>
        <v>10000</v>
      </c>
      <c r="F90" s="187">
        <f t="shared" si="4"/>
        <v>10000</v>
      </c>
      <c r="G90" s="247">
        <f t="shared" si="5"/>
        <v>0</v>
      </c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>
        <v>10000</v>
      </c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40"/>
      <c r="AE90" s="240"/>
      <c r="AF90" s="240"/>
      <c r="AG90" s="240"/>
      <c r="AH90" s="240"/>
      <c r="AI90" s="240"/>
      <c r="AJ90" s="240"/>
      <c r="AK90" s="240"/>
      <c r="AL90" s="240"/>
      <c r="AM90" s="240"/>
      <c r="AN90" s="240"/>
      <c r="AO90" s="240"/>
      <c r="AP90" s="240"/>
      <c r="AQ90" s="240"/>
      <c r="AR90" s="240"/>
      <c r="AS90" s="240"/>
      <c r="AT90" s="240"/>
      <c r="AU90" s="240"/>
      <c r="AV90" s="240"/>
      <c r="AW90" s="240"/>
      <c r="AX90" s="240"/>
    </row>
    <row r="91" spans="1:50" s="3" customFormat="1" ht="19.5" thickBot="1" x14ac:dyDescent="0.35">
      <c r="A91" s="142" t="s">
        <v>85</v>
      </c>
      <c r="B91" s="145" t="s">
        <v>481</v>
      </c>
      <c r="C91" s="227">
        <v>10000</v>
      </c>
      <c r="D91" s="136"/>
      <c r="E91" s="222">
        <f t="shared" si="3"/>
        <v>10000</v>
      </c>
      <c r="F91" s="187">
        <f t="shared" si="4"/>
        <v>10000</v>
      </c>
      <c r="G91" s="247">
        <f t="shared" si="5"/>
        <v>0</v>
      </c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>
        <v>8000</v>
      </c>
      <c r="Y91" s="240"/>
      <c r="Z91" s="240"/>
      <c r="AA91" s="240"/>
      <c r="AB91" s="240">
        <v>2000</v>
      </c>
      <c r="AC91" s="240"/>
      <c r="AD91" s="240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240"/>
      <c r="AR91" s="240"/>
      <c r="AS91" s="240"/>
      <c r="AT91" s="240"/>
      <c r="AU91" s="240"/>
      <c r="AV91" s="240"/>
      <c r="AW91" s="240"/>
      <c r="AX91" s="240"/>
    </row>
    <row r="92" spans="1:50" s="3" customFormat="1" ht="19.5" thickBot="1" x14ac:dyDescent="0.35">
      <c r="A92" s="142" t="s">
        <v>86</v>
      </c>
      <c r="B92" s="145" t="s">
        <v>264</v>
      </c>
      <c r="C92" s="227">
        <v>10000</v>
      </c>
      <c r="D92" s="136">
        <v>9025</v>
      </c>
      <c r="E92" s="222">
        <v>0</v>
      </c>
      <c r="F92" s="187">
        <f t="shared" si="4"/>
        <v>0</v>
      </c>
      <c r="G92" s="247">
        <f t="shared" si="5"/>
        <v>0</v>
      </c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40"/>
      <c r="AI92" s="240"/>
      <c r="AJ92" s="240"/>
      <c r="AK92" s="240"/>
      <c r="AL92" s="240"/>
      <c r="AM92" s="240"/>
      <c r="AN92" s="240"/>
      <c r="AO92" s="240"/>
      <c r="AP92" s="240"/>
      <c r="AQ92" s="240"/>
      <c r="AR92" s="240"/>
      <c r="AS92" s="240"/>
      <c r="AT92" s="240"/>
      <c r="AU92" s="240"/>
      <c r="AV92" s="240"/>
      <c r="AW92" s="240"/>
      <c r="AX92" s="240"/>
    </row>
    <row r="93" spans="1:50" s="3" customFormat="1" ht="19.5" thickBot="1" x14ac:dyDescent="0.35">
      <c r="A93" s="142" t="s">
        <v>87</v>
      </c>
      <c r="B93" s="145" t="s">
        <v>265</v>
      </c>
      <c r="C93" s="227">
        <v>10000</v>
      </c>
      <c r="D93" s="136">
        <v>9025</v>
      </c>
      <c r="E93" s="222">
        <v>0</v>
      </c>
      <c r="F93" s="187">
        <f t="shared" si="4"/>
        <v>0</v>
      </c>
      <c r="G93" s="247">
        <f t="shared" si="5"/>
        <v>0</v>
      </c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N93" s="240"/>
      <c r="AO93" s="240"/>
      <c r="AP93" s="240"/>
      <c r="AQ93" s="240"/>
      <c r="AR93" s="240"/>
      <c r="AS93" s="240"/>
      <c r="AT93" s="240"/>
      <c r="AU93" s="240"/>
      <c r="AV93" s="240"/>
      <c r="AW93" s="240"/>
      <c r="AX93" s="240"/>
    </row>
    <row r="94" spans="1:50" s="3" customFormat="1" ht="19.5" thickBot="1" x14ac:dyDescent="0.35">
      <c r="A94" s="142" t="s">
        <v>88</v>
      </c>
      <c r="B94" s="145" t="s">
        <v>266</v>
      </c>
      <c r="C94" s="227">
        <v>10000</v>
      </c>
      <c r="D94" s="136">
        <v>9025</v>
      </c>
      <c r="E94" s="222">
        <v>0</v>
      </c>
      <c r="F94" s="187">
        <f t="shared" si="4"/>
        <v>0</v>
      </c>
      <c r="G94" s="247">
        <f t="shared" si="5"/>
        <v>0</v>
      </c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0"/>
      <c r="AE94" s="240"/>
      <c r="AF94" s="240"/>
      <c r="AG94" s="240"/>
      <c r="AH94" s="240"/>
      <c r="AI94" s="240"/>
      <c r="AJ94" s="240"/>
      <c r="AK94" s="240"/>
      <c r="AL94" s="240"/>
      <c r="AM94" s="240"/>
      <c r="AN94" s="240"/>
      <c r="AO94" s="240"/>
      <c r="AP94" s="240"/>
      <c r="AQ94" s="240"/>
      <c r="AR94" s="240"/>
      <c r="AS94" s="240"/>
      <c r="AT94" s="240"/>
      <c r="AU94" s="240"/>
      <c r="AV94" s="240"/>
      <c r="AW94" s="240"/>
      <c r="AX94" s="240"/>
    </row>
    <row r="95" spans="1:50" s="3" customFormat="1" ht="19.5" thickBot="1" x14ac:dyDescent="0.35">
      <c r="A95" s="142" t="s">
        <v>89</v>
      </c>
      <c r="B95" s="145" t="s">
        <v>267</v>
      </c>
      <c r="C95" s="227">
        <v>10000</v>
      </c>
      <c r="D95" s="136">
        <v>9025</v>
      </c>
      <c r="E95" s="222">
        <v>0</v>
      </c>
      <c r="F95" s="187">
        <f t="shared" si="4"/>
        <v>0</v>
      </c>
      <c r="G95" s="247">
        <f t="shared" si="5"/>
        <v>0</v>
      </c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0"/>
      <c r="AG95" s="240"/>
      <c r="AH95" s="240"/>
      <c r="AI95" s="240"/>
      <c r="AJ95" s="240"/>
      <c r="AK95" s="240"/>
      <c r="AL95" s="240"/>
      <c r="AM95" s="240"/>
      <c r="AN95" s="240"/>
      <c r="AO95" s="240"/>
      <c r="AP95" s="240"/>
      <c r="AQ95" s="240"/>
      <c r="AR95" s="240"/>
      <c r="AS95" s="240"/>
      <c r="AT95" s="240"/>
      <c r="AU95" s="240"/>
      <c r="AV95" s="240"/>
      <c r="AW95" s="240"/>
      <c r="AX95" s="240"/>
    </row>
    <row r="96" spans="1:50" s="3" customFormat="1" ht="19.5" thickBot="1" x14ac:dyDescent="0.35">
      <c r="A96" s="142" t="s">
        <v>90</v>
      </c>
      <c r="B96" s="145" t="s">
        <v>483</v>
      </c>
      <c r="C96" s="227">
        <v>12141</v>
      </c>
      <c r="D96" s="136">
        <v>9025</v>
      </c>
      <c r="E96" s="222">
        <v>0</v>
      </c>
      <c r="F96" s="187">
        <f t="shared" si="4"/>
        <v>0</v>
      </c>
      <c r="G96" s="247">
        <f t="shared" si="5"/>
        <v>0</v>
      </c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40"/>
      <c r="AR96" s="240"/>
      <c r="AS96" s="240"/>
      <c r="AT96" s="240"/>
      <c r="AU96" s="240"/>
      <c r="AV96" s="240"/>
      <c r="AW96" s="240"/>
      <c r="AX96" s="240"/>
    </row>
    <row r="97" spans="1:50" s="3" customFormat="1" ht="19.5" thickBot="1" x14ac:dyDescent="0.35">
      <c r="A97" s="142" t="s">
        <v>91</v>
      </c>
      <c r="B97" s="145" t="s">
        <v>269</v>
      </c>
      <c r="C97" s="227">
        <v>18711</v>
      </c>
      <c r="D97" s="136"/>
      <c r="E97" s="222">
        <f t="shared" si="3"/>
        <v>18711</v>
      </c>
      <c r="F97" s="187">
        <f t="shared" si="4"/>
        <v>18711</v>
      </c>
      <c r="G97" s="247">
        <f t="shared" si="5"/>
        <v>0</v>
      </c>
      <c r="H97" s="240"/>
      <c r="I97" s="240"/>
      <c r="J97" s="240"/>
      <c r="K97" s="240"/>
      <c r="L97" s="240"/>
      <c r="M97" s="240">
        <v>4064</v>
      </c>
      <c r="N97" s="240"/>
      <c r="O97" s="240"/>
      <c r="P97" s="240">
        <v>3983</v>
      </c>
      <c r="Q97" s="240"/>
      <c r="R97" s="240">
        <v>3171</v>
      </c>
      <c r="S97" s="240">
        <f>1586+5907</f>
        <v>7493</v>
      </c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40"/>
      <c r="AH97" s="240"/>
      <c r="AI97" s="240"/>
      <c r="AJ97" s="240"/>
      <c r="AK97" s="240"/>
      <c r="AL97" s="240"/>
      <c r="AM97" s="240"/>
      <c r="AN97" s="240"/>
      <c r="AO97" s="240"/>
      <c r="AP97" s="240"/>
      <c r="AQ97" s="240"/>
      <c r="AR97" s="240"/>
      <c r="AS97" s="240"/>
      <c r="AT97" s="240"/>
      <c r="AU97" s="240"/>
      <c r="AV97" s="240"/>
      <c r="AW97" s="240"/>
      <c r="AX97" s="240"/>
    </row>
    <row r="98" spans="1:50" s="3" customFormat="1" ht="19.5" thickBot="1" x14ac:dyDescent="0.35">
      <c r="A98" s="142" t="s">
        <v>92</v>
      </c>
      <c r="B98" s="145" t="s">
        <v>270</v>
      </c>
      <c r="C98" s="227">
        <v>40001</v>
      </c>
      <c r="D98" s="136"/>
      <c r="E98" s="222">
        <f t="shared" si="3"/>
        <v>40001</v>
      </c>
      <c r="F98" s="187">
        <f t="shared" si="4"/>
        <v>40001</v>
      </c>
      <c r="G98" s="247">
        <f t="shared" si="5"/>
        <v>0</v>
      </c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  <c r="S98" s="240"/>
      <c r="T98" s="240"/>
      <c r="U98" s="240">
        <v>34654.199999999997</v>
      </c>
      <c r="V98" s="240"/>
      <c r="W98" s="240"/>
      <c r="X98" s="240"/>
      <c r="Y98" s="240"/>
      <c r="Z98" s="240"/>
      <c r="AA98" s="240"/>
      <c r="AB98" s="240">
        <v>5346.8</v>
      </c>
      <c r="AC98" s="240"/>
      <c r="AD98" s="240"/>
      <c r="AE98" s="240"/>
      <c r="AF98" s="240"/>
      <c r="AG98" s="240"/>
      <c r="AH98" s="240"/>
      <c r="AI98" s="240"/>
      <c r="AJ98" s="240"/>
      <c r="AK98" s="240"/>
      <c r="AL98" s="240"/>
      <c r="AM98" s="240"/>
      <c r="AN98" s="240"/>
      <c r="AO98" s="240"/>
      <c r="AP98" s="240"/>
      <c r="AQ98" s="240"/>
      <c r="AR98" s="240"/>
      <c r="AS98" s="240"/>
      <c r="AT98" s="240"/>
      <c r="AU98" s="240"/>
      <c r="AV98" s="240"/>
      <c r="AW98" s="240"/>
      <c r="AX98" s="240"/>
    </row>
    <row r="99" spans="1:50" s="3" customFormat="1" ht="19.5" thickBot="1" x14ac:dyDescent="0.35">
      <c r="A99" s="142" t="s">
        <v>93</v>
      </c>
      <c r="B99" s="145" t="s">
        <v>271</v>
      </c>
      <c r="C99" s="227">
        <v>10000</v>
      </c>
      <c r="D99" s="136"/>
      <c r="E99" s="222">
        <f t="shared" si="3"/>
        <v>10000</v>
      </c>
      <c r="F99" s="187">
        <f t="shared" si="4"/>
        <v>10000</v>
      </c>
      <c r="G99" s="247">
        <f t="shared" si="5"/>
        <v>0</v>
      </c>
      <c r="H99" s="240"/>
      <c r="I99" s="240"/>
      <c r="J99" s="240"/>
      <c r="K99" s="240"/>
      <c r="L99" s="240"/>
      <c r="M99" s="240"/>
      <c r="N99" s="240"/>
      <c r="O99" s="240"/>
      <c r="P99" s="240">
        <v>9882</v>
      </c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0">
        <v>118</v>
      </c>
      <c r="AE99" s="240"/>
      <c r="AF99" s="240"/>
      <c r="AG99" s="240"/>
      <c r="AH99" s="240"/>
      <c r="AI99" s="240"/>
      <c r="AJ99" s="240"/>
      <c r="AK99" s="240"/>
      <c r="AL99" s="240"/>
      <c r="AM99" s="240"/>
      <c r="AN99" s="240"/>
      <c r="AO99" s="240"/>
      <c r="AP99" s="240"/>
      <c r="AQ99" s="240"/>
      <c r="AR99" s="240"/>
      <c r="AS99" s="240"/>
      <c r="AT99" s="240"/>
      <c r="AU99" s="240"/>
      <c r="AV99" s="240"/>
      <c r="AW99" s="240"/>
      <c r="AX99" s="240"/>
    </row>
    <row r="100" spans="1:50" s="3" customFormat="1" ht="19.5" thickBot="1" x14ac:dyDescent="0.35">
      <c r="A100" s="142" t="s">
        <v>94</v>
      </c>
      <c r="B100" s="145" t="s">
        <v>487</v>
      </c>
      <c r="C100" s="227">
        <v>10085</v>
      </c>
      <c r="D100" s="136"/>
      <c r="E100" s="222">
        <f t="shared" si="3"/>
        <v>10085</v>
      </c>
      <c r="F100" s="187">
        <f t="shared" si="4"/>
        <v>10085</v>
      </c>
      <c r="G100" s="247">
        <f t="shared" si="5"/>
        <v>0</v>
      </c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  <c r="T100" s="240">
        <v>8668</v>
      </c>
      <c r="U100" s="240"/>
      <c r="V100" s="240"/>
      <c r="W100" s="240"/>
      <c r="X100" s="240"/>
      <c r="Y100" s="240"/>
      <c r="Z100" s="240"/>
      <c r="AA100" s="240"/>
      <c r="AB100" s="240">
        <v>1417</v>
      </c>
      <c r="AC100" s="240"/>
      <c r="AD100" s="240"/>
      <c r="AE100" s="240"/>
      <c r="AF100" s="240"/>
      <c r="AG100" s="240"/>
      <c r="AH100" s="240"/>
      <c r="AI100" s="240"/>
      <c r="AJ100" s="240"/>
      <c r="AK100" s="240"/>
      <c r="AL100" s="240"/>
      <c r="AM100" s="240"/>
      <c r="AN100" s="240"/>
      <c r="AO100" s="240"/>
      <c r="AP100" s="240"/>
      <c r="AQ100" s="240"/>
      <c r="AR100" s="240"/>
      <c r="AS100" s="240"/>
      <c r="AT100" s="240"/>
      <c r="AU100" s="240"/>
      <c r="AV100" s="240"/>
      <c r="AW100" s="240"/>
      <c r="AX100" s="240"/>
    </row>
    <row r="101" spans="1:50" s="3" customFormat="1" ht="19.5" thickBot="1" x14ac:dyDescent="0.35">
      <c r="A101" s="142" t="s">
        <v>95</v>
      </c>
      <c r="B101" s="145" t="s">
        <v>273</v>
      </c>
      <c r="C101" s="227">
        <v>192555</v>
      </c>
      <c r="D101" s="136"/>
      <c r="E101" s="222">
        <f t="shared" si="3"/>
        <v>192555</v>
      </c>
      <c r="F101" s="187">
        <f t="shared" si="4"/>
        <v>192555</v>
      </c>
      <c r="G101" s="247">
        <f t="shared" si="5"/>
        <v>0</v>
      </c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 t="s">
        <v>382</v>
      </c>
      <c r="V101" s="240"/>
      <c r="W101" s="240"/>
      <c r="X101" s="240">
        <v>4811.5200000000004</v>
      </c>
      <c r="Y101" s="240"/>
      <c r="Z101" s="240"/>
      <c r="AA101" s="240">
        <v>23680.42</v>
      </c>
      <c r="AB101" s="240"/>
      <c r="AC101" s="240"/>
      <c r="AD101" s="240">
        <v>12618.16</v>
      </c>
      <c r="AE101" s="240">
        <v>6684.15</v>
      </c>
      <c r="AF101" s="240"/>
      <c r="AG101" s="240">
        <v>5846</v>
      </c>
      <c r="AH101" s="240"/>
      <c r="AI101" s="240"/>
      <c r="AJ101" s="240">
        <v>25721.75</v>
      </c>
      <c r="AK101" s="240"/>
      <c r="AL101" s="240"/>
      <c r="AM101" s="240">
        <f>14040.71+16256.95</f>
        <v>30297.66</v>
      </c>
      <c r="AN101" s="240"/>
      <c r="AO101" s="240"/>
      <c r="AP101" s="240">
        <v>42955.02</v>
      </c>
      <c r="AQ101" s="240">
        <v>30082.39</v>
      </c>
      <c r="AR101" s="240"/>
      <c r="AS101" s="240">
        <v>9857.93</v>
      </c>
      <c r="AT101" s="240"/>
      <c r="AU101" s="240"/>
      <c r="AV101" s="240"/>
      <c r="AW101" s="240"/>
      <c r="AX101" s="240"/>
    </row>
    <row r="102" spans="1:50" s="3" customFormat="1" ht="19.5" thickBot="1" x14ac:dyDescent="0.35">
      <c r="A102" s="142" t="s">
        <v>96</v>
      </c>
      <c r="B102" s="145" t="s">
        <v>489</v>
      </c>
      <c r="C102" s="227">
        <v>115266</v>
      </c>
      <c r="D102" s="136"/>
      <c r="E102" s="222">
        <f t="shared" si="3"/>
        <v>115266</v>
      </c>
      <c r="F102" s="187">
        <f t="shared" si="4"/>
        <v>115266</v>
      </c>
      <c r="G102" s="247">
        <f t="shared" si="5"/>
        <v>0</v>
      </c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  <c r="Y102" s="240"/>
      <c r="Z102" s="240"/>
      <c r="AA102" s="240">
        <v>9050.2999999999993</v>
      </c>
      <c r="AB102" s="240"/>
      <c r="AC102" s="240">
        <v>17094.669999999998</v>
      </c>
      <c r="AD102" s="240">
        <v>19770.86</v>
      </c>
      <c r="AE102" s="240"/>
      <c r="AF102" s="240">
        <v>64673.32</v>
      </c>
      <c r="AG102" s="240"/>
      <c r="AH102" s="240"/>
      <c r="AI102" s="240">
        <v>4676.8500000000004</v>
      </c>
      <c r="AJ102" s="240"/>
      <c r="AK102" s="240"/>
      <c r="AL102" s="240"/>
      <c r="AM102" s="240"/>
      <c r="AN102" s="240"/>
      <c r="AO102" s="240"/>
      <c r="AP102" s="240"/>
      <c r="AQ102" s="240"/>
      <c r="AR102" s="240"/>
      <c r="AS102" s="240"/>
      <c r="AT102" s="240"/>
      <c r="AU102" s="240"/>
      <c r="AV102" s="240"/>
      <c r="AW102" s="240"/>
      <c r="AX102" s="240"/>
    </row>
    <row r="103" spans="1:50" s="3" customFormat="1" ht="19.5" thickBot="1" x14ac:dyDescent="0.35">
      <c r="A103" s="142" t="s">
        <v>97</v>
      </c>
      <c r="B103" s="145" t="s">
        <v>490</v>
      </c>
      <c r="C103" s="227">
        <v>20973</v>
      </c>
      <c r="D103" s="136"/>
      <c r="E103" s="222">
        <f t="shared" si="3"/>
        <v>20973</v>
      </c>
      <c r="F103" s="187">
        <f t="shared" si="4"/>
        <v>0</v>
      </c>
      <c r="G103" s="247">
        <f t="shared" si="5"/>
        <v>20973</v>
      </c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40"/>
      <c r="AH103" s="240"/>
      <c r="AI103" s="240"/>
      <c r="AJ103" s="240"/>
      <c r="AK103" s="240"/>
      <c r="AL103" s="240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</row>
    <row r="104" spans="1:50" s="3" customFormat="1" ht="19.5" thickBot="1" x14ac:dyDescent="0.35">
      <c r="A104" s="142" t="s">
        <v>98</v>
      </c>
      <c r="B104" s="145" t="s">
        <v>276</v>
      </c>
      <c r="C104" s="227">
        <v>26222</v>
      </c>
      <c r="D104" s="136"/>
      <c r="E104" s="222">
        <f t="shared" si="3"/>
        <v>26222</v>
      </c>
      <c r="F104" s="187">
        <f t="shared" si="4"/>
        <v>26222</v>
      </c>
      <c r="G104" s="247">
        <f t="shared" si="5"/>
        <v>0</v>
      </c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>
        <v>21092</v>
      </c>
      <c r="T104" s="240">
        <v>1783</v>
      </c>
      <c r="U104" s="240"/>
      <c r="V104" s="240"/>
      <c r="W104" s="240"/>
      <c r="X104" s="240"/>
      <c r="Y104" s="240"/>
      <c r="Z104" s="240"/>
      <c r="AA104" s="240"/>
      <c r="AB104" s="240"/>
      <c r="AC104" s="240">
        <v>3347</v>
      </c>
      <c r="AD104" s="240"/>
      <c r="AE104" s="240"/>
      <c r="AF104" s="240"/>
      <c r="AG104" s="240"/>
      <c r="AH104" s="240"/>
      <c r="AI104" s="240"/>
      <c r="AJ104" s="240"/>
      <c r="AK104" s="240"/>
      <c r="AL104" s="240"/>
      <c r="AM104" s="240"/>
      <c r="AN104" s="240"/>
      <c r="AO104" s="240"/>
      <c r="AP104" s="240"/>
      <c r="AQ104" s="240"/>
      <c r="AR104" s="240"/>
      <c r="AS104" s="240"/>
      <c r="AT104" s="240"/>
      <c r="AU104" s="240"/>
      <c r="AV104" s="240"/>
      <c r="AW104" s="240"/>
      <c r="AX104" s="240"/>
    </row>
    <row r="105" spans="1:50" s="3" customFormat="1" ht="19.5" thickBot="1" x14ac:dyDescent="0.35">
      <c r="A105" s="142" t="s">
        <v>99</v>
      </c>
      <c r="B105" s="145" t="s">
        <v>277</v>
      </c>
      <c r="C105" s="227">
        <v>10000</v>
      </c>
      <c r="D105" s="136"/>
      <c r="E105" s="222">
        <f t="shared" si="3"/>
        <v>10000</v>
      </c>
      <c r="F105" s="187">
        <f t="shared" si="4"/>
        <v>10000</v>
      </c>
      <c r="G105" s="247">
        <f t="shared" si="5"/>
        <v>0</v>
      </c>
      <c r="H105" s="240"/>
      <c r="I105" s="240"/>
      <c r="J105" s="240"/>
      <c r="K105" s="240"/>
      <c r="L105" s="240"/>
      <c r="M105" s="240"/>
      <c r="N105" s="240"/>
      <c r="O105" s="240"/>
      <c r="P105" s="240"/>
      <c r="Q105" s="240">
        <v>10000</v>
      </c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40"/>
      <c r="AH105" s="240"/>
      <c r="AI105" s="240"/>
      <c r="AJ105" s="240"/>
      <c r="AK105" s="240"/>
      <c r="AL105" s="240"/>
      <c r="AM105" s="240"/>
      <c r="AN105" s="240"/>
      <c r="AO105" s="240"/>
      <c r="AP105" s="240"/>
      <c r="AQ105" s="240"/>
      <c r="AR105" s="240"/>
      <c r="AS105" s="240"/>
      <c r="AT105" s="240"/>
      <c r="AU105" s="240"/>
      <c r="AV105" s="240"/>
      <c r="AW105" s="240"/>
      <c r="AX105" s="240"/>
    </row>
    <row r="106" spans="1:50" s="3" customFormat="1" ht="19.5" thickBot="1" x14ac:dyDescent="0.35">
      <c r="A106" s="142" t="s">
        <v>100</v>
      </c>
      <c r="B106" s="145" t="s">
        <v>278</v>
      </c>
      <c r="C106" s="227">
        <v>10000</v>
      </c>
      <c r="D106" s="136"/>
      <c r="E106" s="222">
        <f t="shared" si="3"/>
        <v>10000</v>
      </c>
      <c r="F106" s="187">
        <f t="shared" si="4"/>
        <v>10000</v>
      </c>
      <c r="G106" s="247">
        <f t="shared" si="5"/>
        <v>0</v>
      </c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>
        <f>6996+3000</f>
        <v>9996</v>
      </c>
      <c r="T106" s="240"/>
      <c r="U106" s="240"/>
      <c r="V106" s="240"/>
      <c r="W106" s="240"/>
      <c r="X106" s="240"/>
      <c r="Y106" s="240"/>
      <c r="Z106" s="240"/>
      <c r="AA106" s="240"/>
      <c r="AB106" s="240">
        <v>4</v>
      </c>
      <c r="AC106" s="240"/>
      <c r="AD106" s="240"/>
      <c r="AE106" s="240"/>
      <c r="AF106" s="240"/>
      <c r="AG106" s="240"/>
      <c r="AH106" s="240"/>
      <c r="AI106" s="240"/>
      <c r="AJ106" s="240"/>
      <c r="AK106" s="240"/>
      <c r="AL106" s="240"/>
      <c r="AM106" s="240"/>
      <c r="AN106" s="240"/>
      <c r="AO106" s="240"/>
      <c r="AP106" s="240"/>
      <c r="AQ106" s="240"/>
      <c r="AR106" s="240"/>
      <c r="AS106" s="240"/>
      <c r="AT106" s="240"/>
      <c r="AU106" s="240"/>
      <c r="AV106" s="240"/>
      <c r="AW106" s="240"/>
      <c r="AX106" s="240"/>
    </row>
    <row r="107" spans="1:50" s="3" customFormat="1" ht="19.5" thickBot="1" x14ac:dyDescent="0.35">
      <c r="A107" s="142" t="s">
        <v>101</v>
      </c>
      <c r="B107" s="145" t="s">
        <v>492</v>
      </c>
      <c r="C107" s="227">
        <v>10000</v>
      </c>
      <c r="D107" s="136"/>
      <c r="E107" s="222">
        <f t="shared" si="3"/>
        <v>10000</v>
      </c>
      <c r="F107" s="187">
        <f t="shared" si="4"/>
        <v>10000</v>
      </c>
      <c r="G107" s="247">
        <f t="shared" si="5"/>
        <v>0</v>
      </c>
      <c r="H107" s="240"/>
      <c r="I107" s="240"/>
      <c r="J107" s="240"/>
      <c r="K107" s="240"/>
      <c r="L107" s="240"/>
      <c r="M107" s="240"/>
      <c r="N107" s="240">
        <v>10000</v>
      </c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  <c r="AI107" s="240"/>
      <c r="AJ107" s="240"/>
      <c r="AK107" s="240"/>
      <c r="AL107" s="240"/>
      <c r="AM107" s="240"/>
      <c r="AN107" s="240"/>
      <c r="AO107" s="240"/>
      <c r="AP107" s="240"/>
      <c r="AQ107" s="240"/>
      <c r="AR107" s="240"/>
      <c r="AS107" s="240"/>
      <c r="AT107" s="240"/>
      <c r="AU107" s="240"/>
      <c r="AV107" s="240"/>
      <c r="AW107" s="240"/>
      <c r="AX107" s="240"/>
    </row>
    <row r="108" spans="1:50" s="3" customFormat="1" ht="19.5" thickBot="1" x14ac:dyDescent="0.35">
      <c r="A108" s="142" t="s">
        <v>102</v>
      </c>
      <c r="B108" s="145" t="s">
        <v>280</v>
      </c>
      <c r="C108" s="227">
        <v>10000</v>
      </c>
      <c r="D108" s="136"/>
      <c r="E108" s="222">
        <f t="shared" si="3"/>
        <v>10000</v>
      </c>
      <c r="F108" s="187">
        <f t="shared" si="4"/>
        <v>10000</v>
      </c>
      <c r="G108" s="247">
        <f t="shared" si="5"/>
        <v>0</v>
      </c>
      <c r="H108" s="240"/>
      <c r="I108" s="240"/>
      <c r="J108" s="240"/>
      <c r="K108" s="240"/>
      <c r="L108" s="240">
        <v>1665.47</v>
      </c>
      <c r="M108" s="240">
        <v>1348.05</v>
      </c>
      <c r="N108" s="240">
        <v>1353.89</v>
      </c>
      <c r="O108" s="240"/>
      <c r="P108" s="240">
        <f>1353.89*2</f>
        <v>2707.78</v>
      </c>
      <c r="Q108" s="240">
        <v>1353.89</v>
      </c>
      <c r="R108" s="240">
        <v>1353.89</v>
      </c>
      <c r="S108" s="240">
        <v>217.03</v>
      </c>
      <c r="T108" s="240"/>
      <c r="U108" s="240"/>
      <c r="V108" s="240"/>
      <c r="W108" s="240"/>
      <c r="X108" s="240"/>
      <c r="Y108" s="240"/>
      <c r="Z108" s="240"/>
      <c r="AA108" s="240"/>
      <c r="AB108" s="240"/>
      <c r="AC108" s="240"/>
      <c r="AD108" s="240"/>
      <c r="AE108" s="240"/>
      <c r="AF108" s="240"/>
      <c r="AG108" s="240"/>
      <c r="AH108" s="240"/>
      <c r="AI108" s="240"/>
      <c r="AJ108" s="240"/>
      <c r="AK108" s="240"/>
      <c r="AL108" s="240"/>
      <c r="AM108" s="240"/>
      <c r="AN108" s="240"/>
      <c r="AO108" s="240"/>
      <c r="AP108" s="240"/>
      <c r="AQ108" s="240"/>
      <c r="AR108" s="240"/>
      <c r="AS108" s="240"/>
      <c r="AT108" s="240"/>
      <c r="AU108" s="240"/>
      <c r="AV108" s="240"/>
      <c r="AW108" s="240"/>
      <c r="AX108" s="240"/>
    </row>
    <row r="109" spans="1:50" s="3" customFormat="1" ht="19.5" thickBot="1" x14ac:dyDescent="0.35">
      <c r="A109" s="142" t="s">
        <v>103</v>
      </c>
      <c r="B109" s="145" t="s">
        <v>281</v>
      </c>
      <c r="C109" s="227">
        <v>10000</v>
      </c>
      <c r="D109" s="136"/>
      <c r="E109" s="222">
        <f t="shared" si="3"/>
        <v>10000</v>
      </c>
      <c r="F109" s="187">
        <f t="shared" si="4"/>
        <v>10000</v>
      </c>
      <c r="G109" s="247">
        <f t="shared" si="5"/>
        <v>0</v>
      </c>
      <c r="H109" s="240"/>
      <c r="I109" s="240"/>
      <c r="J109" s="240"/>
      <c r="K109" s="240"/>
      <c r="L109" s="240"/>
      <c r="M109" s="240"/>
      <c r="N109" s="240">
        <v>10000</v>
      </c>
      <c r="O109" s="240"/>
      <c r="P109" s="240"/>
      <c r="Q109" s="240"/>
      <c r="R109" s="240"/>
      <c r="S109" s="240"/>
      <c r="T109" s="240"/>
      <c r="U109" s="240"/>
      <c r="V109" s="240"/>
      <c r="W109" s="240"/>
      <c r="X109" s="240"/>
      <c r="Y109" s="240"/>
      <c r="Z109" s="240"/>
      <c r="AA109" s="240"/>
      <c r="AB109" s="240"/>
      <c r="AC109" s="240"/>
      <c r="AD109" s="240"/>
      <c r="AE109" s="240"/>
      <c r="AF109" s="240"/>
      <c r="AG109" s="240"/>
      <c r="AH109" s="240"/>
      <c r="AI109" s="240"/>
      <c r="AJ109" s="240"/>
      <c r="AK109" s="240"/>
      <c r="AL109" s="240"/>
      <c r="AM109" s="240"/>
      <c r="AN109" s="240"/>
      <c r="AO109" s="240"/>
      <c r="AP109" s="240"/>
      <c r="AQ109" s="240"/>
      <c r="AR109" s="240"/>
      <c r="AS109" s="240"/>
      <c r="AT109" s="240"/>
      <c r="AU109" s="240"/>
      <c r="AV109" s="240"/>
      <c r="AW109" s="240"/>
      <c r="AX109" s="240"/>
    </row>
    <row r="110" spans="1:50" s="3" customFormat="1" ht="19.5" thickBot="1" x14ac:dyDescent="0.35">
      <c r="A110" s="142" t="s">
        <v>104</v>
      </c>
      <c r="B110" s="145" t="s">
        <v>282</v>
      </c>
      <c r="C110" s="227">
        <v>10000</v>
      </c>
      <c r="D110" s="136">
        <v>9025</v>
      </c>
      <c r="E110" s="222">
        <v>0</v>
      </c>
      <c r="F110" s="187">
        <f t="shared" si="4"/>
        <v>0</v>
      </c>
      <c r="G110" s="247">
        <f t="shared" si="5"/>
        <v>0</v>
      </c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240"/>
      <c r="U110" s="240"/>
      <c r="V110" s="240"/>
      <c r="W110" s="240"/>
      <c r="X110" s="240"/>
      <c r="Y110" s="240"/>
      <c r="Z110" s="240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0"/>
      <c r="AK110" s="240"/>
      <c r="AL110" s="240"/>
      <c r="AM110" s="240"/>
      <c r="AN110" s="240"/>
      <c r="AO110" s="240"/>
      <c r="AP110" s="240"/>
      <c r="AQ110" s="240"/>
      <c r="AR110" s="240"/>
      <c r="AS110" s="240"/>
      <c r="AT110" s="240"/>
      <c r="AU110" s="240"/>
      <c r="AV110" s="240"/>
      <c r="AW110" s="240"/>
      <c r="AX110" s="240"/>
    </row>
    <row r="111" spans="1:50" s="3" customFormat="1" ht="19.5" thickBot="1" x14ac:dyDescent="0.35">
      <c r="A111" s="142" t="s">
        <v>105</v>
      </c>
      <c r="B111" s="145" t="s">
        <v>494</v>
      </c>
      <c r="C111" s="227">
        <v>10000</v>
      </c>
      <c r="D111" s="136">
        <v>9025</v>
      </c>
      <c r="E111" s="222">
        <v>0</v>
      </c>
      <c r="F111" s="187">
        <f t="shared" si="4"/>
        <v>0</v>
      </c>
      <c r="G111" s="247">
        <f t="shared" si="5"/>
        <v>0</v>
      </c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240"/>
      <c r="Y111" s="240"/>
      <c r="Z111" s="240"/>
      <c r="AA111" s="240"/>
      <c r="AB111" s="240"/>
      <c r="AC111" s="240"/>
      <c r="AD111" s="240"/>
      <c r="AE111" s="240"/>
      <c r="AF111" s="240"/>
      <c r="AG111" s="240"/>
      <c r="AH111" s="240"/>
      <c r="AI111" s="240"/>
      <c r="AJ111" s="240"/>
      <c r="AK111" s="240"/>
      <c r="AL111" s="240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</row>
    <row r="112" spans="1:50" s="3" customFormat="1" ht="19.5" thickBot="1" x14ac:dyDescent="0.35">
      <c r="A112" s="142" t="s">
        <v>106</v>
      </c>
      <c r="B112" s="145" t="s">
        <v>495</v>
      </c>
      <c r="C112" s="227">
        <v>10000</v>
      </c>
      <c r="D112" s="136">
        <v>9025</v>
      </c>
      <c r="E112" s="222">
        <v>0</v>
      </c>
      <c r="F112" s="187">
        <f t="shared" si="4"/>
        <v>0</v>
      </c>
      <c r="G112" s="247">
        <f t="shared" si="5"/>
        <v>0</v>
      </c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240"/>
      <c r="Y112" s="240"/>
      <c r="Z112" s="240"/>
      <c r="AA112" s="240"/>
      <c r="AB112" s="240"/>
      <c r="AC112" s="240"/>
      <c r="AD112" s="240"/>
      <c r="AE112" s="240"/>
      <c r="AF112" s="240"/>
      <c r="AG112" s="240"/>
      <c r="AH112" s="240"/>
      <c r="AI112" s="240"/>
      <c r="AJ112" s="240"/>
      <c r="AK112" s="240"/>
      <c r="AL112" s="240"/>
      <c r="AM112" s="240"/>
      <c r="AN112" s="240"/>
      <c r="AO112" s="240"/>
      <c r="AP112" s="240"/>
      <c r="AQ112" s="240"/>
      <c r="AR112" s="240"/>
      <c r="AS112" s="240"/>
      <c r="AT112" s="240"/>
      <c r="AU112" s="240"/>
      <c r="AV112" s="240"/>
      <c r="AW112" s="240"/>
      <c r="AX112" s="240"/>
    </row>
    <row r="113" spans="1:50" s="3" customFormat="1" ht="19.5" thickBot="1" x14ac:dyDescent="0.35">
      <c r="A113" s="142" t="s">
        <v>107</v>
      </c>
      <c r="B113" s="145" t="s">
        <v>496</v>
      </c>
      <c r="C113" s="227">
        <v>30977</v>
      </c>
      <c r="D113" s="136">
        <v>9035</v>
      </c>
      <c r="E113" s="222">
        <v>0</v>
      </c>
      <c r="F113" s="187">
        <f t="shared" si="4"/>
        <v>0</v>
      </c>
      <c r="G113" s="247">
        <f t="shared" si="5"/>
        <v>0</v>
      </c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240"/>
      <c r="Y113" s="240"/>
      <c r="Z113" s="240"/>
      <c r="AA113" s="240"/>
      <c r="AB113" s="240"/>
      <c r="AC113" s="240"/>
      <c r="AD113" s="240"/>
      <c r="AE113" s="240"/>
      <c r="AF113" s="240"/>
      <c r="AG113" s="240"/>
      <c r="AH113" s="240"/>
      <c r="AI113" s="240"/>
      <c r="AJ113" s="240"/>
      <c r="AK113" s="240"/>
      <c r="AL113" s="240"/>
      <c r="AM113" s="240"/>
      <c r="AN113" s="240"/>
      <c r="AO113" s="240"/>
      <c r="AP113" s="240"/>
      <c r="AQ113" s="240"/>
      <c r="AR113" s="240"/>
      <c r="AS113" s="240"/>
      <c r="AT113" s="240"/>
      <c r="AU113" s="240"/>
      <c r="AV113" s="240"/>
      <c r="AW113" s="240"/>
      <c r="AX113" s="240"/>
    </row>
    <row r="114" spans="1:50" s="3" customFormat="1" ht="18" customHeight="1" thickBot="1" x14ac:dyDescent="0.35">
      <c r="A114" s="142" t="s">
        <v>108</v>
      </c>
      <c r="B114" s="145" t="s">
        <v>498</v>
      </c>
      <c r="C114" s="227">
        <v>10000</v>
      </c>
      <c r="D114" s="136">
        <v>9040</v>
      </c>
      <c r="E114" s="222">
        <v>0</v>
      </c>
      <c r="F114" s="187">
        <f t="shared" si="4"/>
        <v>0</v>
      </c>
      <c r="G114" s="247">
        <f t="shared" si="5"/>
        <v>0</v>
      </c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240"/>
      <c r="Y114" s="240"/>
      <c r="Z114" s="240"/>
      <c r="AA114" s="240"/>
      <c r="AB114" s="240"/>
      <c r="AC114" s="240"/>
      <c r="AD114" s="240"/>
      <c r="AE114" s="240"/>
      <c r="AF114" s="240"/>
      <c r="AG114" s="240"/>
      <c r="AH114" s="240"/>
      <c r="AI114" s="240"/>
      <c r="AJ114" s="240"/>
      <c r="AK114" s="240"/>
      <c r="AL114" s="240"/>
      <c r="AM114" s="240"/>
      <c r="AN114" s="240"/>
      <c r="AO114" s="240"/>
      <c r="AP114" s="240"/>
      <c r="AQ114" s="240"/>
      <c r="AR114" s="240"/>
      <c r="AS114" s="240"/>
      <c r="AT114" s="240"/>
      <c r="AU114" s="240"/>
      <c r="AV114" s="240"/>
      <c r="AW114" s="240"/>
      <c r="AX114" s="240"/>
    </row>
    <row r="115" spans="1:50" s="3" customFormat="1" ht="18" customHeight="1" thickBot="1" x14ac:dyDescent="0.35">
      <c r="A115" s="142" t="s">
        <v>109</v>
      </c>
      <c r="B115" s="145" t="s">
        <v>499</v>
      </c>
      <c r="C115" s="227">
        <v>10000</v>
      </c>
      <c r="D115" s="136">
        <v>9040</v>
      </c>
      <c r="E115" s="222">
        <v>0</v>
      </c>
      <c r="F115" s="187">
        <f t="shared" si="4"/>
        <v>0</v>
      </c>
      <c r="G115" s="247">
        <f t="shared" si="5"/>
        <v>0</v>
      </c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240"/>
      <c r="Y115" s="240"/>
      <c r="Z115" s="240"/>
      <c r="AA115" s="240"/>
      <c r="AB115" s="240"/>
      <c r="AC115" s="240"/>
      <c r="AD115" s="240"/>
      <c r="AE115" s="240"/>
      <c r="AF115" s="240"/>
      <c r="AG115" s="240"/>
      <c r="AH115" s="240"/>
      <c r="AI115" s="240"/>
      <c r="AJ115" s="240"/>
      <c r="AK115" s="240"/>
      <c r="AL115" s="240"/>
      <c r="AM115" s="240"/>
      <c r="AN115" s="240"/>
      <c r="AO115" s="240"/>
      <c r="AP115" s="240"/>
      <c r="AQ115" s="240"/>
      <c r="AR115" s="240"/>
      <c r="AS115" s="240"/>
      <c r="AT115" s="240"/>
      <c r="AU115" s="240"/>
      <c r="AV115" s="240"/>
      <c r="AW115" s="240"/>
      <c r="AX115" s="240"/>
    </row>
    <row r="116" spans="1:50" s="3" customFormat="1" ht="18" customHeight="1" thickBot="1" x14ac:dyDescent="0.35">
      <c r="A116" s="142" t="s">
        <v>110</v>
      </c>
      <c r="B116" s="145" t="s">
        <v>500</v>
      </c>
      <c r="C116" s="227">
        <v>10000</v>
      </c>
      <c r="D116" s="136">
        <v>9040</v>
      </c>
      <c r="E116" s="222">
        <v>0</v>
      </c>
      <c r="F116" s="187">
        <f t="shared" si="4"/>
        <v>0</v>
      </c>
      <c r="G116" s="247">
        <f t="shared" si="5"/>
        <v>0</v>
      </c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240"/>
      <c r="AG116" s="240"/>
      <c r="AH116" s="240"/>
      <c r="AI116" s="240"/>
      <c r="AJ116" s="240"/>
      <c r="AK116" s="240"/>
      <c r="AL116" s="240"/>
      <c r="AM116" s="240"/>
      <c r="AN116" s="240"/>
      <c r="AO116" s="240"/>
      <c r="AP116" s="240"/>
      <c r="AQ116" s="240"/>
      <c r="AR116" s="240"/>
      <c r="AS116" s="240"/>
      <c r="AT116" s="240"/>
      <c r="AU116" s="240"/>
      <c r="AV116" s="240"/>
      <c r="AW116" s="240"/>
      <c r="AX116" s="240"/>
    </row>
    <row r="117" spans="1:50" s="3" customFormat="1" ht="18" customHeight="1" thickBot="1" x14ac:dyDescent="0.35">
      <c r="A117" s="142" t="s">
        <v>111</v>
      </c>
      <c r="B117" s="145" t="s">
        <v>501</v>
      </c>
      <c r="C117" s="227">
        <v>10000</v>
      </c>
      <c r="D117" s="136"/>
      <c r="E117" s="222">
        <f t="shared" si="3"/>
        <v>10000</v>
      </c>
      <c r="F117" s="187">
        <f t="shared" si="4"/>
        <v>10000</v>
      </c>
      <c r="G117" s="247">
        <f t="shared" si="5"/>
        <v>0</v>
      </c>
      <c r="H117" s="240"/>
      <c r="I117" s="240"/>
      <c r="J117" s="240"/>
      <c r="K117" s="240"/>
      <c r="L117" s="240"/>
      <c r="M117" s="240"/>
      <c r="N117" s="240"/>
      <c r="O117" s="240">
        <v>10000</v>
      </c>
      <c r="P117" s="240"/>
      <c r="Q117" s="240"/>
      <c r="R117" s="240"/>
      <c r="S117" s="240"/>
      <c r="T117" s="240"/>
      <c r="U117" s="240"/>
      <c r="V117" s="240"/>
      <c r="W117" s="240"/>
      <c r="X117" s="240"/>
      <c r="Y117" s="240"/>
      <c r="Z117" s="240"/>
      <c r="AA117" s="240"/>
      <c r="AB117" s="240"/>
      <c r="AC117" s="240"/>
      <c r="AD117" s="240"/>
      <c r="AE117" s="240"/>
      <c r="AF117" s="240"/>
      <c r="AG117" s="240"/>
      <c r="AH117" s="240"/>
      <c r="AI117" s="240"/>
      <c r="AJ117" s="240"/>
      <c r="AK117" s="240"/>
      <c r="AL117" s="240"/>
      <c r="AM117" s="240"/>
      <c r="AN117" s="240"/>
      <c r="AO117" s="240"/>
      <c r="AP117" s="240"/>
      <c r="AQ117" s="240"/>
      <c r="AR117" s="240"/>
      <c r="AS117" s="240"/>
      <c r="AT117" s="240"/>
      <c r="AU117" s="240"/>
      <c r="AV117" s="240"/>
      <c r="AW117" s="240"/>
      <c r="AX117" s="240"/>
    </row>
    <row r="118" spans="1:50" s="3" customFormat="1" ht="18" customHeight="1" thickBot="1" x14ac:dyDescent="0.35">
      <c r="A118" s="142" t="s">
        <v>112</v>
      </c>
      <c r="B118" s="145" t="s">
        <v>290</v>
      </c>
      <c r="C118" s="227">
        <v>10000</v>
      </c>
      <c r="D118" s="136"/>
      <c r="E118" s="222">
        <f t="shared" si="3"/>
        <v>10000</v>
      </c>
      <c r="F118" s="187">
        <f t="shared" si="4"/>
        <v>10000</v>
      </c>
      <c r="G118" s="247">
        <f t="shared" si="5"/>
        <v>0</v>
      </c>
      <c r="H118" s="240"/>
      <c r="I118" s="240"/>
      <c r="J118" s="240"/>
      <c r="K118" s="240"/>
      <c r="L118" s="240"/>
      <c r="M118" s="240"/>
      <c r="N118" s="240">
        <v>9250</v>
      </c>
      <c r="O118" s="240"/>
      <c r="P118" s="240"/>
      <c r="Q118" s="240"/>
      <c r="R118" s="240"/>
      <c r="S118" s="240"/>
      <c r="T118" s="240">
        <v>750</v>
      </c>
      <c r="U118" s="240"/>
      <c r="V118" s="240"/>
      <c r="W118" s="240"/>
      <c r="X118" s="240"/>
      <c r="Y118" s="240"/>
      <c r="Z118" s="240"/>
      <c r="AA118" s="240"/>
      <c r="AB118" s="240"/>
      <c r="AC118" s="240"/>
      <c r="AD118" s="240"/>
      <c r="AE118" s="240"/>
      <c r="AF118" s="240"/>
      <c r="AG118" s="240"/>
      <c r="AH118" s="240"/>
      <c r="AI118" s="240"/>
      <c r="AJ118" s="240"/>
      <c r="AK118" s="240"/>
      <c r="AL118" s="240"/>
      <c r="AM118" s="240"/>
      <c r="AN118" s="240"/>
      <c r="AO118" s="240"/>
      <c r="AP118" s="240"/>
      <c r="AQ118" s="240"/>
      <c r="AR118" s="240"/>
      <c r="AS118" s="240"/>
      <c r="AT118" s="240"/>
      <c r="AU118" s="240"/>
      <c r="AV118" s="240"/>
      <c r="AW118" s="240"/>
      <c r="AX118" s="240"/>
    </row>
    <row r="119" spans="1:50" s="3" customFormat="1" ht="18" customHeight="1" thickBot="1" x14ac:dyDescent="0.35">
      <c r="A119" s="142" t="s">
        <v>113</v>
      </c>
      <c r="B119" s="145" t="s">
        <v>291</v>
      </c>
      <c r="C119" s="227">
        <v>303487</v>
      </c>
      <c r="D119" s="136"/>
      <c r="E119" s="222">
        <f t="shared" si="3"/>
        <v>303487</v>
      </c>
      <c r="F119" s="187">
        <f t="shared" si="4"/>
        <v>303486.99999999994</v>
      </c>
      <c r="G119" s="247">
        <f t="shared" si="5"/>
        <v>0</v>
      </c>
      <c r="H119" s="240"/>
      <c r="I119" s="240"/>
      <c r="J119" s="240"/>
      <c r="K119" s="240"/>
      <c r="L119" s="240"/>
      <c r="M119" s="240"/>
      <c r="N119" s="240">
        <v>132509.71</v>
      </c>
      <c r="O119" s="240"/>
      <c r="P119" s="240">
        <v>38421.06</v>
      </c>
      <c r="Q119" s="240">
        <v>10660.49</v>
      </c>
      <c r="R119" s="240">
        <v>13678.33</v>
      </c>
      <c r="S119" s="240">
        <v>32550.71</v>
      </c>
      <c r="T119" s="240"/>
      <c r="U119" s="240"/>
      <c r="V119" s="240"/>
      <c r="W119" s="240">
        <v>36496.720000000001</v>
      </c>
      <c r="X119" s="240"/>
      <c r="Y119" s="240"/>
      <c r="Z119" s="240">
        <v>39169.980000000003</v>
      </c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</row>
    <row r="120" spans="1:50" s="3" customFormat="1" ht="18" customHeight="1" thickBot="1" x14ac:dyDescent="0.35">
      <c r="A120" s="142" t="s">
        <v>114</v>
      </c>
      <c r="B120" s="145" t="s">
        <v>503</v>
      </c>
      <c r="C120" s="227">
        <v>10000</v>
      </c>
      <c r="D120" s="136"/>
      <c r="E120" s="222">
        <f t="shared" si="3"/>
        <v>10000</v>
      </c>
      <c r="F120" s="187">
        <f t="shared" si="4"/>
        <v>10000</v>
      </c>
      <c r="G120" s="247">
        <f t="shared" si="5"/>
        <v>0</v>
      </c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>
        <v>10000</v>
      </c>
      <c r="S120" s="240"/>
      <c r="T120" s="240"/>
      <c r="U120" s="240"/>
      <c r="V120" s="240"/>
      <c r="W120" s="240"/>
      <c r="X120" s="240"/>
      <c r="Y120" s="240"/>
      <c r="Z120" s="240"/>
      <c r="AA120" s="240"/>
      <c r="AB120" s="240"/>
      <c r="AC120" s="240"/>
      <c r="AD120" s="240"/>
      <c r="AE120" s="240"/>
      <c r="AF120" s="240"/>
      <c r="AG120" s="240"/>
      <c r="AH120" s="240"/>
      <c r="AI120" s="240"/>
      <c r="AJ120" s="240"/>
      <c r="AK120" s="240"/>
      <c r="AL120" s="240"/>
      <c r="AM120" s="240"/>
      <c r="AN120" s="240"/>
      <c r="AO120" s="240"/>
      <c r="AP120" s="240"/>
      <c r="AQ120" s="240"/>
      <c r="AR120" s="240"/>
      <c r="AS120" s="240"/>
      <c r="AT120" s="240"/>
      <c r="AU120" s="240"/>
      <c r="AV120" s="240"/>
      <c r="AW120" s="240"/>
      <c r="AX120" s="240"/>
    </row>
    <row r="121" spans="1:50" s="3" customFormat="1" ht="18" customHeight="1" thickBot="1" x14ac:dyDescent="0.35">
      <c r="A121" s="142" t="s">
        <v>115</v>
      </c>
      <c r="B121" s="145" t="s">
        <v>605</v>
      </c>
      <c r="C121" s="227">
        <v>23819</v>
      </c>
      <c r="D121" s="136"/>
      <c r="E121" s="222">
        <f t="shared" si="3"/>
        <v>23819</v>
      </c>
      <c r="F121" s="187">
        <f t="shared" si="4"/>
        <v>23819</v>
      </c>
      <c r="G121" s="247">
        <f t="shared" si="5"/>
        <v>0</v>
      </c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>
        <v>23819</v>
      </c>
      <c r="T121" s="240"/>
      <c r="U121" s="240"/>
      <c r="V121" s="240"/>
      <c r="W121" s="240"/>
      <c r="X121" s="240"/>
      <c r="Y121" s="240"/>
      <c r="Z121" s="240"/>
      <c r="AA121" s="240"/>
      <c r="AB121" s="240"/>
      <c r="AC121" s="240"/>
      <c r="AD121" s="240"/>
      <c r="AE121" s="240"/>
      <c r="AF121" s="240"/>
      <c r="AG121" s="240"/>
      <c r="AH121" s="240"/>
      <c r="AI121" s="240"/>
      <c r="AJ121" s="240"/>
      <c r="AK121" s="240"/>
      <c r="AL121" s="240"/>
      <c r="AM121" s="240"/>
      <c r="AN121" s="240"/>
      <c r="AO121" s="240"/>
      <c r="AP121" s="240"/>
      <c r="AQ121" s="240"/>
      <c r="AR121" s="240"/>
      <c r="AS121" s="240"/>
      <c r="AT121" s="240"/>
      <c r="AU121" s="240"/>
      <c r="AV121" s="240"/>
      <c r="AW121" s="240"/>
      <c r="AX121" s="240"/>
    </row>
    <row r="122" spans="1:50" s="3" customFormat="1" ht="18" customHeight="1" thickBot="1" x14ac:dyDescent="0.35">
      <c r="A122" s="142" t="s">
        <v>116</v>
      </c>
      <c r="B122" s="145" t="s">
        <v>507</v>
      </c>
      <c r="C122" s="227">
        <v>64416</v>
      </c>
      <c r="D122" s="136"/>
      <c r="E122" s="222">
        <f t="shared" si="3"/>
        <v>64416</v>
      </c>
      <c r="F122" s="187">
        <f t="shared" si="4"/>
        <v>64415.999999999993</v>
      </c>
      <c r="G122" s="247">
        <f t="shared" si="5"/>
        <v>0</v>
      </c>
      <c r="H122" s="240"/>
      <c r="I122" s="240"/>
      <c r="J122" s="240"/>
      <c r="K122" s="240"/>
      <c r="L122" s="240"/>
      <c r="M122" s="240">
        <v>2176.2399999999998</v>
      </c>
      <c r="N122" s="240"/>
      <c r="O122" s="240"/>
      <c r="P122" s="240"/>
      <c r="Q122" s="240">
        <v>3068.11</v>
      </c>
      <c r="R122" s="240"/>
      <c r="S122" s="240">
        <v>10845.74</v>
      </c>
      <c r="T122" s="240">
        <v>19317.61</v>
      </c>
      <c r="U122" s="240"/>
      <c r="V122" s="240"/>
      <c r="W122" s="240"/>
      <c r="X122" s="240">
        <v>20090.849999999999</v>
      </c>
      <c r="Y122" s="240">
        <v>47.85</v>
      </c>
      <c r="Z122" s="240"/>
      <c r="AA122" s="240"/>
      <c r="AB122" s="240"/>
      <c r="AC122" s="240">
        <v>131.27000000000001</v>
      </c>
      <c r="AD122" s="240">
        <v>848.28</v>
      </c>
      <c r="AE122" s="240">
        <v>7890.05</v>
      </c>
      <c r="AF122" s="240"/>
      <c r="AG122" s="240"/>
      <c r="AH122" s="240"/>
      <c r="AI122" s="240"/>
      <c r="AJ122" s="240"/>
      <c r="AK122" s="240"/>
      <c r="AL122" s="240"/>
      <c r="AM122" s="240"/>
      <c r="AN122" s="240"/>
      <c r="AO122" s="240"/>
      <c r="AP122" s="240"/>
      <c r="AQ122" s="240"/>
      <c r="AR122" s="240"/>
      <c r="AS122" s="240"/>
      <c r="AT122" s="240"/>
      <c r="AU122" s="240"/>
      <c r="AV122" s="240"/>
      <c r="AW122" s="240"/>
      <c r="AX122" s="240"/>
    </row>
    <row r="123" spans="1:50" s="3" customFormat="1" ht="18" customHeight="1" thickBot="1" x14ac:dyDescent="0.35">
      <c r="A123" s="142" t="s">
        <v>117</v>
      </c>
      <c r="B123" s="145" t="s">
        <v>606</v>
      </c>
      <c r="C123" s="227">
        <v>10000</v>
      </c>
      <c r="D123" s="136"/>
      <c r="E123" s="222">
        <f t="shared" si="3"/>
        <v>10000</v>
      </c>
      <c r="F123" s="187">
        <f t="shared" si="4"/>
        <v>10000</v>
      </c>
      <c r="G123" s="247">
        <f t="shared" si="5"/>
        <v>0</v>
      </c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>
        <v>8816</v>
      </c>
      <c r="Y123" s="240"/>
      <c r="Z123" s="240"/>
      <c r="AA123" s="240"/>
      <c r="AB123" s="240"/>
      <c r="AC123" s="240"/>
      <c r="AD123" s="240">
        <v>780</v>
      </c>
      <c r="AE123" s="240"/>
      <c r="AF123" s="240"/>
      <c r="AG123" s="240">
        <v>404</v>
      </c>
      <c r="AH123" s="240"/>
      <c r="AI123" s="240"/>
      <c r="AJ123" s="240"/>
      <c r="AK123" s="240"/>
      <c r="AL123" s="240"/>
      <c r="AM123" s="240"/>
      <c r="AN123" s="240"/>
      <c r="AO123" s="240"/>
      <c r="AP123" s="240"/>
      <c r="AQ123" s="240"/>
      <c r="AR123" s="240"/>
      <c r="AS123" s="240"/>
      <c r="AT123" s="240"/>
      <c r="AU123" s="240"/>
      <c r="AV123" s="240"/>
      <c r="AW123" s="240"/>
      <c r="AX123" s="240"/>
    </row>
    <row r="124" spans="1:50" s="3" customFormat="1" ht="18" customHeight="1" thickBot="1" x14ac:dyDescent="0.35">
      <c r="A124" s="142" t="s">
        <v>118</v>
      </c>
      <c r="B124" s="145" t="s">
        <v>510</v>
      </c>
      <c r="C124" s="227">
        <v>10000</v>
      </c>
      <c r="D124" s="136"/>
      <c r="E124" s="222">
        <f t="shared" si="3"/>
        <v>10000</v>
      </c>
      <c r="F124" s="187">
        <f t="shared" si="4"/>
        <v>10000</v>
      </c>
      <c r="G124" s="247">
        <f t="shared" si="5"/>
        <v>0</v>
      </c>
      <c r="H124" s="240"/>
      <c r="I124" s="240"/>
      <c r="J124" s="240"/>
      <c r="K124" s="240"/>
      <c r="L124" s="240"/>
      <c r="M124" s="240">
        <v>1000</v>
      </c>
      <c r="N124" s="240"/>
      <c r="O124" s="240"/>
      <c r="P124" s="240"/>
      <c r="Q124" s="240"/>
      <c r="R124" s="240">
        <v>9000</v>
      </c>
      <c r="S124" s="240"/>
      <c r="T124" s="240"/>
      <c r="U124" s="240"/>
      <c r="V124" s="240"/>
      <c r="W124" s="240"/>
      <c r="X124" s="240"/>
      <c r="Y124" s="240"/>
      <c r="Z124" s="240"/>
      <c r="AA124" s="240"/>
      <c r="AB124" s="240"/>
      <c r="AC124" s="240"/>
      <c r="AD124" s="240"/>
      <c r="AE124" s="240"/>
      <c r="AF124" s="240"/>
      <c r="AG124" s="240"/>
      <c r="AH124" s="240"/>
      <c r="AI124" s="240"/>
      <c r="AJ124" s="240"/>
      <c r="AK124" s="240"/>
      <c r="AL124" s="240"/>
      <c r="AM124" s="240"/>
      <c r="AN124" s="240"/>
      <c r="AO124" s="240"/>
      <c r="AP124" s="240"/>
      <c r="AQ124" s="240"/>
      <c r="AR124" s="240"/>
      <c r="AS124" s="240"/>
      <c r="AT124" s="240"/>
      <c r="AU124" s="240"/>
      <c r="AV124" s="240"/>
      <c r="AW124" s="240"/>
      <c r="AX124" s="240"/>
    </row>
    <row r="125" spans="1:50" s="3" customFormat="1" ht="18" customHeight="1" thickBot="1" x14ac:dyDescent="0.35">
      <c r="A125" s="142" t="s">
        <v>119</v>
      </c>
      <c r="B125" s="145" t="s">
        <v>511</v>
      </c>
      <c r="C125" s="227">
        <v>90090</v>
      </c>
      <c r="D125" s="136"/>
      <c r="E125" s="222">
        <f t="shared" si="3"/>
        <v>90090</v>
      </c>
      <c r="F125" s="187">
        <f t="shared" si="4"/>
        <v>90090</v>
      </c>
      <c r="G125" s="247">
        <f t="shared" si="5"/>
        <v>0</v>
      </c>
      <c r="H125" s="240"/>
      <c r="I125" s="240"/>
      <c r="J125" s="240"/>
      <c r="K125" s="240"/>
      <c r="L125" s="240"/>
      <c r="M125" s="240"/>
      <c r="N125" s="240">
        <v>32912.769999999997</v>
      </c>
      <c r="O125" s="240"/>
      <c r="P125" s="240"/>
      <c r="Q125" s="240">
        <v>6261.55</v>
      </c>
      <c r="R125" s="240"/>
      <c r="S125" s="240">
        <v>3562.53</v>
      </c>
      <c r="T125" s="240"/>
      <c r="U125" s="240"/>
      <c r="V125" s="240"/>
      <c r="W125" s="240"/>
      <c r="X125" s="240">
        <f>2709.52+31513.63</f>
        <v>34223.15</v>
      </c>
      <c r="Y125" s="240"/>
      <c r="Z125" s="240">
        <v>2025.36</v>
      </c>
      <c r="AA125" s="240"/>
      <c r="AB125" s="240">
        <v>9989</v>
      </c>
      <c r="AC125" s="240"/>
      <c r="AD125" s="240"/>
      <c r="AE125" s="240"/>
      <c r="AF125" s="240">
        <v>1115.6400000000001</v>
      </c>
      <c r="AG125" s="240"/>
      <c r="AH125" s="240"/>
      <c r="AI125" s="240"/>
      <c r="AJ125" s="240"/>
      <c r="AK125" s="240"/>
      <c r="AL125" s="240"/>
      <c r="AM125" s="240"/>
      <c r="AN125" s="240"/>
      <c r="AO125" s="240"/>
      <c r="AP125" s="240"/>
      <c r="AQ125" s="240"/>
      <c r="AR125" s="240"/>
      <c r="AS125" s="240"/>
      <c r="AT125" s="240"/>
      <c r="AU125" s="240"/>
      <c r="AV125" s="240"/>
      <c r="AW125" s="240"/>
      <c r="AX125" s="240"/>
    </row>
    <row r="126" spans="1:50" s="3" customFormat="1" ht="18" customHeight="1" thickBot="1" x14ac:dyDescent="0.35">
      <c r="A126" s="142" t="s">
        <v>120</v>
      </c>
      <c r="B126" s="145" t="s">
        <v>513</v>
      </c>
      <c r="C126" s="227">
        <v>10000</v>
      </c>
      <c r="D126" s="136"/>
      <c r="E126" s="222">
        <f t="shared" si="3"/>
        <v>10000</v>
      </c>
      <c r="F126" s="187">
        <f t="shared" si="4"/>
        <v>10000</v>
      </c>
      <c r="G126" s="247">
        <f t="shared" si="5"/>
        <v>0</v>
      </c>
      <c r="H126" s="240"/>
      <c r="I126" s="240"/>
      <c r="J126" s="240"/>
      <c r="K126" s="240"/>
      <c r="L126" s="240">
        <v>5000</v>
      </c>
      <c r="M126" s="240"/>
      <c r="N126" s="240"/>
      <c r="O126" s="240"/>
      <c r="P126" s="240"/>
      <c r="Q126" s="240"/>
      <c r="R126" s="240"/>
      <c r="S126" s="240">
        <v>5000</v>
      </c>
      <c r="T126" s="240"/>
      <c r="U126" s="240"/>
      <c r="V126" s="240"/>
      <c r="W126" s="240"/>
      <c r="X126" s="240"/>
      <c r="Y126" s="240"/>
      <c r="Z126" s="240"/>
      <c r="AA126" s="240"/>
      <c r="AB126" s="240"/>
      <c r="AC126" s="240"/>
      <c r="AD126" s="240"/>
      <c r="AE126" s="240"/>
      <c r="AF126" s="240"/>
      <c r="AG126" s="240"/>
      <c r="AH126" s="240"/>
      <c r="AI126" s="240"/>
      <c r="AJ126" s="240"/>
      <c r="AK126" s="240"/>
      <c r="AL126" s="240"/>
      <c r="AM126" s="240"/>
      <c r="AN126" s="240"/>
      <c r="AO126" s="240"/>
      <c r="AP126" s="240"/>
      <c r="AQ126" s="240"/>
      <c r="AR126" s="240"/>
      <c r="AS126" s="240"/>
      <c r="AT126" s="240"/>
      <c r="AU126" s="240"/>
      <c r="AV126" s="240"/>
      <c r="AW126" s="240"/>
      <c r="AX126" s="240"/>
    </row>
    <row r="127" spans="1:50" s="3" customFormat="1" ht="18" customHeight="1" thickBot="1" x14ac:dyDescent="0.35">
      <c r="A127" s="142" t="s">
        <v>121</v>
      </c>
      <c r="B127" s="145" t="s">
        <v>514</v>
      </c>
      <c r="C127" s="227">
        <v>13446</v>
      </c>
      <c r="D127" s="136">
        <v>9035</v>
      </c>
      <c r="E127" s="222">
        <v>0</v>
      </c>
      <c r="F127" s="187">
        <f t="shared" si="4"/>
        <v>0</v>
      </c>
      <c r="G127" s="247">
        <f t="shared" si="5"/>
        <v>0</v>
      </c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240"/>
      <c r="Y127" s="240"/>
      <c r="Z127" s="240"/>
      <c r="AA127" s="240"/>
      <c r="AB127" s="240"/>
      <c r="AC127" s="240"/>
      <c r="AD127" s="240"/>
      <c r="AE127" s="240"/>
      <c r="AF127" s="240"/>
      <c r="AG127" s="240"/>
      <c r="AH127" s="240"/>
      <c r="AI127" s="240"/>
      <c r="AJ127" s="240"/>
      <c r="AK127" s="240"/>
      <c r="AL127" s="240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</row>
    <row r="128" spans="1:50" s="3" customFormat="1" ht="18" customHeight="1" thickBot="1" x14ac:dyDescent="0.35">
      <c r="A128" s="142" t="s">
        <v>122</v>
      </c>
      <c r="B128" s="145" t="s">
        <v>516</v>
      </c>
      <c r="C128" s="227">
        <v>38388</v>
      </c>
      <c r="D128" s="136"/>
      <c r="E128" s="222">
        <f t="shared" si="3"/>
        <v>38388</v>
      </c>
      <c r="F128" s="187">
        <f t="shared" si="4"/>
        <v>38388</v>
      </c>
      <c r="G128" s="247">
        <f t="shared" si="5"/>
        <v>0</v>
      </c>
      <c r="H128" s="240"/>
      <c r="I128" s="240"/>
      <c r="J128" s="240"/>
      <c r="K128" s="240">
        <v>5958.29</v>
      </c>
      <c r="L128" s="240">
        <v>1195.3599999999999</v>
      </c>
      <c r="M128" s="240">
        <v>1195.44</v>
      </c>
      <c r="N128" s="240"/>
      <c r="O128" s="240">
        <f>1195.4+1196.78</f>
        <v>2392.1800000000003</v>
      </c>
      <c r="P128" s="240">
        <v>1196.78</v>
      </c>
      <c r="Q128" s="240">
        <v>1196.78</v>
      </c>
      <c r="R128" s="240">
        <v>1196.79</v>
      </c>
      <c r="S128" s="240">
        <v>1196.78</v>
      </c>
      <c r="T128" s="240">
        <v>1196.77</v>
      </c>
      <c r="U128" s="240">
        <v>1201.8399999999999</v>
      </c>
      <c r="V128" s="240">
        <v>1202.07</v>
      </c>
      <c r="W128" s="240"/>
      <c r="X128" s="240">
        <v>19258.919999999998</v>
      </c>
      <c r="Y128" s="24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0"/>
      <c r="AK128" s="240"/>
      <c r="AL128" s="240"/>
      <c r="AM128" s="240"/>
      <c r="AN128" s="240"/>
      <c r="AO128" s="240"/>
      <c r="AP128" s="240"/>
      <c r="AQ128" s="240"/>
      <c r="AR128" s="240"/>
      <c r="AS128" s="240"/>
      <c r="AT128" s="240"/>
      <c r="AU128" s="240"/>
      <c r="AV128" s="240"/>
      <c r="AW128" s="240"/>
      <c r="AX128" s="240"/>
    </row>
    <row r="129" spans="1:50" s="3" customFormat="1" ht="18" customHeight="1" thickBot="1" x14ac:dyDescent="0.35">
      <c r="A129" s="142" t="s">
        <v>123</v>
      </c>
      <c r="B129" s="145" t="s">
        <v>517</v>
      </c>
      <c r="C129" s="227">
        <v>10000</v>
      </c>
      <c r="D129" s="136">
        <v>9035</v>
      </c>
      <c r="E129" s="222">
        <v>0</v>
      </c>
      <c r="F129" s="187">
        <f t="shared" si="4"/>
        <v>0</v>
      </c>
      <c r="G129" s="247">
        <f t="shared" si="5"/>
        <v>0</v>
      </c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  <c r="AA129" s="240"/>
      <c r="AB129" s="240"/>
      <c r="AC129" s="240"/>
      <c r="AD129" s="240"/>
      <c r="AE129" s="240"/>
      <c r="AF129" s="240"/>
      <c r="AG129" s="240"/>
      <c r="AH129" s="240"/>
      <c r="AI129" s="240"/>
      <c r="AJ129" s="240"/>
      <c r="AK129" s="240"/>
      <c r="AL129" s="240"/>
      <c r="AM129" s="240"/>
      <c r="AN129" s="240"/>
      <c r="AO129" s="240"/>
      <c r="AP129" s="240"/>
      <c r="AQ129" s="240"/>
      <c r="AR129" s="240"/>
      <c r="AS129" s="240"/>
      <c r="AT129" s="240"/>
      <c r="AU129" s="240"/>
      <c r="AV129" s="240"/>
      <c r="AW129" s="240"/>
      <c r="AX129" s="240"/>
    </row>
    <row r="130" spans="1:50" s="3" customFormat="1" ht="19.5" thickBot="1" x14ac:dyDescent="0.35">
      <c r="A130" s="142" t="s">
        <v>124</v>
      </c>
      <c r="B130" s="145" t="s">
        <v>518</v>
      </c>
      <c r="C130" s="227">
        <v>10000</v>
      </c>
      <c r="D130" s="136">
        <v>9035</v>
      </c>
      <c r="E130" s="222">
        <v>0</v>
      </c>
      <c r="F130" s="187">
        <f t="shared" si="4"/>
        <v>0</v>
      </c>
      <c r="G130" s="247">
        <f t="shared" si="5"/>
        <v>0</v>
      </c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240"/>
      <c r="AG130" s="240"/>
      <c r="AH130" s="240"/>
      <c r="AI130" s="240"/>
      <c r="AJ130" s="240"/>
      <c r="AK130" s="240"/>
      <c r="AL130" s="240"/>
      <c r="AM130" s="240"/>
      <c r="AN130" s="240"/>
      <c r="AO130" s="240"/>
      <c r="AP130" s="240"/>
      <c r="AQ130" s="240"/>
      <c r="AR130" s="240"/>
      <c r="AS130" s="240"/>
      <c r="AT130" s="240"/>
      <c r="AU130" s="240"/>
      <c r="AV130" s="240"/>
      <c r="AW130" s="240"/>
      <c r="AX130" s="240"/>
    </row>
    <row r="131" spans="1:50" s="3" customFormat="1" ht="19.5" thickBot="1" x14ac:dyDescent="0.35">
      <c r="A131" s="142" t="s">
        <v>125</v>
      </c>
      <c r="B131" s="145" t="s">
        <v>303</v>
      </c>
      <c r="C131" s="227">
        <v>45003</v>
      </c>
      <c r="D131" s="136"/>
      <c r="E131" s="222">
        <f t="shared" si="3"/>
        <v>45003</v>
      </c>
      <c r="F131" s="187">
        <f t="shared" si="4"/>
        <v>45003</v>
      </c>
      <c r="G131" s="247">
        <f t="shared" si="5"/>
        <v>0</v>
      </c>
      <c r="H131" s="240"/>
      <c r="I131" s="240"/>
      <c r="J131" s="240"/>
      <c r="K131" s="240"/>
      <c r="L131" s="240"/>
      <c r="M131" s="240"/>
      <c r="N131" s="240"/>
      <c r="O131" s="240"/>
      <c r="P131" s="240"/>
      <c r="Q131" s="240">
        <v>42803</v>
      </c>
      <c r="R131" s="240"/>
      <c r="S131" s="240">
        <v>2200</v>
      </c>
      <c r="T131" s="240"/>
      <c r="U131" s="240"/>
      <c r="V131" s="240"/>
      <c r="W131" s="240"/>
      <c r="X131" s="240"/>
      <c r="Y131" s="240"/>
      <c r="Z131" s="240"/>
      <c r="AA131" s="240"/>
      <c r="AB131" s="240"/>
      <c r="AC131" s="240"/>
      <c r="AD131" s="240"/>
      <c r="AE131" s="240"/>
      <c r="AF131" s="240"/>
      <c r="AG131" s="240"/>
      <c r="AH131" s="240"/>
      <c r="AI131" s="240"/>
      <c r="AJ131" s="240"/>
      <c r="AK131" s="240"/>
      <c r="AL131" s="240"/>
      <c r="AM131" s="240"/>
      <c r="AN131" s="240"/>
      <c r="AO131" s="240"/>
      <c r="AP131" s="240"/>
      <c r="AQ131" s="240"/>
      <c r="AR131" s="240"/>
      <c r="AS131" s="240"/>
      <c r="AT131" s="240"/>
      <c r="AU131" s="240"/>
      <c r="AV131" s="240"/>
      <c r="AW131" s="240"/>
      <c r="AX131" s="240"/>
    </row>
    <row r="132" spans="1:50" s="3" customFormat="1" ht="19.5" thickBot="1" x14ac:dyDescent="0.35">
      <c r="A132" s="142" t="s">
        <v>126</v>
      </c>
      <c r="B132" s="145" t="s">
        <v>304</v>
      </c>
      <c r="C132" s="227">
        <v>31765</v>
      </c>
      <c r="D132" s="136"/>
      <c r="E132" s="222">
        <f t="shared" si="3"/>
        <v>31765</v>
      </c>
      <c r="F132" s="187">
        <f t="shared" si="4"/>
        <v>31765</v>
      </c>
      <c r="G132" s="247">
        <f t="shared" si="5"/>
        <v>0</v>
      </c>
      <c r="H132" s="240"/>
      <c r="I132" s="240"/>
      <c r="J132" s="240"/>
      <c r="K132" s="240"/>
      <c r="L132" s="240"/>
      <c r="M132" s="240"/>
      <c r="N132" s="240"/>
      <c r="O132" s="240"/>
      <c r="P132" s="240"/>
      <c r="Q132" s="240">
        <v>31765</v>
      </c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0"/>
      <c r="AK132" s="240"/>
      <c r="AL132" s="240"/>
      <c r="AM132" s="240"/>
      <c r="AN132" s="240"/>
      <c r="AO132" s="240"/>
      <c r="AP132" s="240"/>
      <c r="AQ132" s="240"/>
      <c r="AR132" s="240"/>
      <c r="AS132" s="240"/>
      <c r="AT132" s="240"/>
      <c r="AU132" s="240"/>
      <c r="AV132" s="240"/>
      <c r="AW132" s="240"/>
      <c r="AX132" s="240"/>
    </row>
    <row r="133" spans="1:50" s="3" customFormat="1" ht="19.5" thickBot="1" x14ac:dyDescent="0.35">
      <c r="A133" s="142" t="s">
        <v>127</v>
      </c>
      <c r="B133" s="145" t="s">
        <v>305</v>
      </c>
      <c r="C133" s="227">
        <v>10000</v>
      </c>
      <c r="D133" s="136"/>
      <c r="E133" s="222">
        <f t="shared" si="3"/>
        <v>10000</v>
      </c>
      <c r="F133" s="187">
        <f t="shared" si="4"/>
        <v>10000</v>
      </c>
      <c r="G133" s="247">
        <f t="shared" si="5"/>
        <v>0</v>
      </c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>
        <v>10000</v>
      </c>
      <c r="T133" s="240"/>
      <c r="U133" s="240"/>
      <c r="V133" s="240"/>
      <c r="W133" s="240"/>
      <c r="X133" s="240"/>
      <c r="Y133" s="240"/>
      <c r="Z133" s="240"/>
      <c r="AA133" s="240"/>
      <c r="AB133" s="240"/>
      <c r="AC133" s="240"/>
      <c r="AD133" s="240"/>
      <c r="AE133" s="240"/>
      <c r="AF133" s="240"/>
      <c r="AG133" s="240"/>
      <c r="AH133" s="240"/>
      <c r="AI133" s="240"/>
      <c r="AJ133" s="240"/>
      <c r="AK133" s="240"/>
      <c r="AL133" s="240"/>
      <c r="AM133" s="240"/>
      <c r="AN133" s="240"/>
      <c r="AO133" s="240"/>
      <c r="AP133" s="240"/>
      <c r="AQ133" s="240"/>
      <c r="AR133" s="240"/>
      <c r="AS133" s="240"/>
      <c r="AT133" s="240"/>
      <c r="AU133" s="240"/>
      <c r="AV133" s="240"/>
      <c r="AW133" s="240"/>
      <c r="AX133" s="240"/>
    </row>
    <row r="134" spans="1:50" s="3" customFormat="1" ht="19.5" thickBot="1" x14ac:dyDescent="0.35">
      <c r="A134" s="142" t="s">
        <v>128</v>
      </c>
      <c r="B134" s="145" t="s">
        <v>306</v>
      </c>
      <c r="C134" s="227">
        <v>10000</v>
      </c>
      <c r="D134" s="136"/>
      <c r="E134" s="222">
        <f t="shared" si="3"/>
        <v>10000</v>
      </c>
      <c r="F134" s="187">
        <f t="shared" si="4"/>
        <v>10000</v>
      </c>
      <c r="G134" s="247">
        <f t="shared" si="5"/>
        <v>0</v>
      </c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>
        <v>10000</v>
      </c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40"/>
      <c r="AF134" s="240"/>
      <c r="AG134" s="240"/>
      <c r="AH134" s="240"/>
      <c r="AI134" s="240"/>
      <c r="AJ134" s="240"/>
      <c r="AK134" s="240"/>
      <c r="AL134" s="240"/>
      <c r="AM134" s="240"/>
      <c r="AN134" s="240"/>
      <c r="AO134" s="240"/>
      <c r="AP134" s="240"/>
      <c r="AQ134" s="240"/>
      <c r="AR134" s="240"/>
      <c r="AS134" s="240"/>
      <c r="AT134" s="240"/>
      <c r="AU134" s="240"/>
      <c r="AV134" s="240"/>
      <c r="AW134" s="240"/>
      <c r="AX134" s="240"/>
    </row>
    <row r="135" spans="1:50" s="3" customFormat="1" ht="19.5" thickBot="1" x14ac:dyDescent="0.35">
      <c r="A135" s="142" t="s">
        <v>129</v>
      </c>
      <c r="B135" s="145" t="s">
        <v>307</v>
      </c>
      <c r="C135" s="227">
        <v>10000</v>
      </c>
      <c r="D135" s="136"/>
      <c r="E135" s="222">
        <f t="shared" si="3"/>
        <v>10000</v>
      </c>
      <c r="F135" s="187">
        <f t="shared" si="4"/>
        <v>10000</v>
      </c>
      <c r="G135" s="247">
        <f t="shared" si="5"/>
        <v>0</v>
      </c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  <c r="T135" s="240"/>
      <c r="U135" s="240"/>
      <c r="V135" s="240"/>
      <c r="W135" s="240"/>
      <c r="X135" s="240"/>
      <c r="Y135" s="240"/>
      <c r="Z135" s="240"/>
      <c r="AA135" s="240"/>
      <c r="AB135" s="240"/>
      <c r="AC135" s="240"/>
      <c r="AD135" s="240">
        <v>10000</v>
      </c>
      <c r="AE135" s="240"/>
      <c r="AF135" s="240"/>
      <c r="AG135" s="240"/>
      <c r="AH135" s="240"/>
      <c r="AI135" s="240"/>
      <c r="AJ135" s="240"/>
      <c r="AK135" s="240"/>
      <c r="AL135" s="240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40"/>
    </row>
    <row r="136" spans="1:50" s="3" customFormat="1" ht="19.5" thickBot="1" x14ac:dyDescent="0.35">
      <c r="A136" s="142" t="s">
        <v>130</v>
      </c>
      <c r="B136" s="145" t="s">
        <v>308</v>
      </c>
      <c r="C136" s="227">
        <v>10000</v>
      </c>
      <c r="D136" s="136"/>
      <c r="E136" s="222">
        <f t="shared" si="3"/>
        <v>10000</v>
      </c>
      <c r="F136" s="187">
        <f t="shared" si="4"/>
        <v>10000</v>
      </c>
      <c r="G136" s="247">
        <f t="shared" si="5"/>
        <v>0</v>
      </c>
      <c r="H136" s="240"/>
      <c r="I136" s="240"/>
      <c r="J136" s="240"/>
      <c r="K136" s="240">
        <v>1000</v>
      </c>
      <c r="L136" s="240">
        <v>1000</v>
      </c>
      <c r="M136" s="240">
        <v>1000</v>
      </c>
      <c r="N136" s="240">
        <v>1000</v>
      </c>
      <c r="O136" s="240">
        <v>1000</v>
      </c>
      <c r="P136" s="240">
        <v>1000</v>
      </c>
      <c r="Q136" s="240">
        <v>1000</v>
      </c>
      <c r="R136" s="240">
        <v>1000</v>
      </c>
      <c r="S136" s="240">
        <v>2000</v>
      </c>
      <c r="T136" s="240"/>
      <c r="U136" s="240"/>
      <c r="V136" s="240"/>
      <c r="W136" s="240"/>
      <c r="X136" s="240"/>
      <c r="Y136" s="240"/>
      <c r="Z136" s="240"/>
      <c r="AA136" s="240"/>
      <c r="AB136" s="240"/>
      <c r="AC136" s="240"/>
      <c r="AD136" s="240"/>
      <c r="AE136" s="240"/>
      <c r="AF136" s="240"/>
      <c r="AG136" s="240"/>
      <c r="AH136" s="240"/>
      <c r="AI136" s="240"/>
      <c r="AJ136" s="240"/>
      <c r="AK136" s="240"/>
      <c r="AL136" s="240"/>
      <c r="AM136" s="240"/>
      <c r="AN136" s="240"/>
      <c r="AO136" s="240"/>
      <c r="AP136" s="240"/>
      <c r="AQ136" s="240"/>
      <c r="AR136" s="240"/>
      <c r="AS136" s="240"/>
      <c r="AT136" s="240"/>
      <c r="AU136" s="240"/>
      <c r="AV136" s="240"/>
      <c r="AW136" s="240"/>
      <c r="AX136" s="240"/>
    </row>
    <row r="137" spans="1:50" s="3" customFormat="1" ht="19.5" thickBot="1" x14ac:dyDescent="0.35">
      <c r="A137" s="142" t="s">
        <v>131</v>
      </c>
      <c r="B137" s="145" t="s">
        <v>309</v>
      </c>
      <c r="C137" s="227">
        <v>10000</v>
      </c>
      <c r="D137" s="136"/>
      <c r="E137" s="222">
        <f t="shared" si="3"/>
        <v>10000</v>
      </c>
      <c r="F137" s="187">
        <f t="shared" si="4"/>
        <v>10000</v>
      </c>
      <c r="G137" s="247">
        <f t="shared" si="5"/>
        <v>0</v>
      </c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  <c r="S137" s="240"/>
      <c r="T137" s="240"/>
      <c r="U137" s="240"/>
      <c r="V137" s="240"/>
      <c r="W137" s="240"/>
      <c r="X137" s="240"/>
      <c r="Y137" s="240"/>
      <c r="Z137" s="240"/>
      <c r="AA137" s="240"/>
      <c r="AB137" s="240"/>
      <c r="AC137" s="240"/>
      <c r="AD137" s="240"/>
      <c r="AE137" s="240">
        <f>814.51+6155</f>
        <v>6969.51</v>
      </c>
      <c r="AF137" s="240"/>
      <c r="AG137" s="240"/>
      <c r="AH137" s="240"/>
      <c r="AI137" s="240"/>
      <c r="AJ137" s="240"/>
      <c r="AK137" s="240"/>
      <c r="AL137" s="240"/>
      <c r="AM137" s="240"/>
      <c r="AN137" s="240"/>
      <c r="AO137" s="240">
        <v>3030.49</v>
      </c>
      <c r="AP137" s="240"/>
      <c r="AQ137" s="240"/>
      <c r="AR137" s="240"/>
      <c r="AS137" s="240"/>
      <c r="AT137" s="240"/>
      <c r="AU137" s="240"/>
      <c r="AV137" s="240"/>
      <c r="AW137" s="240"/>
      <c r="AX137" s="240"/>
    </row>
    <row r="138" spans="1:50" s="3" customFormat="1" ht="19.5" thickBot="1" x14ac:dyDescent="0.35">
      <c r="A138" s="142" t="s">
        <v>132</v>
      </c>
      <c r="B138" s="145" t="s">
        <v>310</v>
      </c>
      <c r="C138" s="227">
        <v>10000</v>
      </c>
      <c r="D138" s="136"/>
      <c r="E138" s="222">
        <f t="shared" si="3"/>
        <v>10000</v>
      </c>
      <c r="F138" s="187">
        <f t="shared" si="4"/>
        <v>10000</v>
      </c>
      <c r="G138" s="247">
        <f t="shared" si="5"/>
        <v>0</v>
      </c>
      <c r="H138" s="240"/>
      <c r="I138" s="240"/>
      <c r="J138" s="240"/>
      <c r="K138" s="240"/>
      <c r="L138" s="240"/>
      <c r="M138" s="240"/>
      <c r="N138" s="240"/>
      <c r="O138" s="240">
        <v>4116</v>
      </c>
      <c r="P138" s="240"/>
      <c r="Q138" s="240"/>
      <c r="R138" s="240">
        <v>5884</v>
      </c>
      <c r="S138" s="240"/>
      <c r="T138" s="240"/>
      <c r="U138" s="240"/>
      <c r="V138" s="240"/>
      <c r="W138" s="240"/>
      <c r="X138" s="240"/>
      <c r="Y138" s="240"/>
      <c r="Z138" s="240"/>
      <c r="AA138" s="240"/>
      <c r="AB138" s="240"/>
      <c r="AC138" s="240"/>
      <c r="AD138" s="240"/>
      <c r="AE138" s="240"/>
      <c r="AF138" s="240"/>
      <c r="AG138" s="240"/>
      <c r="AH138" s="240"/>
      <c r="AI138" s="240"/>
      <c r="AJ138" s="240"/>
      <c r="AK138" s="240"/>
      <c r="AL138" s="240"/>
      <c r="AM138" s="240"/>
      <c r="AN138" s="240"/>
      <c r="AO138" s="240"/>
      <c r="AP138" s="240"/>
      <c r="AQ138" s="240"/>
      <c r="AR138" s="240"/>
      <c r="AS138" s="240"/>
      <c r="AT138" s="240"/>
      <c r="AU138" s="240"/>
      <c r="AV138" s="240"/>
      <c r="AW138" s="240"/>
      <c r="AX138" s="240"/>
    </row>
    <row r="139" spans="1:50" s="3" customFormat="1" ht="19.5" thickBot="1" x14ac:dyDescent="0.35">
      <c r="A139" s="142" t="s">
        <v>133</v>
      </c>
      <c r="B139" s="145" t="s">
        <v>311</v>
      </c>
      <c r="C139" s="227">
        <v>10000</v>
      </c>
      <c r="D139" s="136"/>
      <c r="E139" s="222">
        <f t="shared" si="3"/>
        <v>10000</v>
      </c>
      <c r="F139" s="187">
        <f t="shared" si="4"/>
        <v>10000</v>
      </c>
      <c r="G139" s="247">
        <f t="shared" si="5"/>
        <v>0</v>
      </c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>
        <v>10000</v>
      </c>
      <c r="U139" s="240"/>
      <c r="V139" s="240"/>
      <c r="W139" s="240"/>
      <c r="X139" s="240"/>
      <c r="Y139" s="240"/>
      <c r="Z139" s="240"/>
      <c r="AA139" s="240"/>
      <c r="AB139" s="240"/>
      <c r="AC139" s="240"/>
      <c r="AD139" s="240"/>
      <c r="AE139" s="240"/>
      <c r="AF139" s="240"/>
      <c r="AG139" s="240"/>
      <c r="AH139" s="240"/>
      <c r="AI139" s="240"/>
      <c r="AJ139" s="240"/>
      <c r="AK139" s="240"/>
      <c r="AL139" s="240"/>
      <c r="AM139" s="240"/>
      <c r="AN139" s="240"/>
      <c r="AO139" s="240"/>
      <c r="AP139" s="240"/>
      <c r="AQ139" s="240"/>
      <c r="AR139" s="240"/>
      <c r="AS139" s="240"/>
      <c r="AT139" s="240"/>
      <c r="AU139" s="240"/>
      <c r="AV139" s="240"/>
      <c r="AW139" s="240"/>
      <c r="AX139" s="240"/>
    </row>
    <row r="140" spans="1:50" s="3" customFormat="1" ht="19.5" thickBot="1" x14ac:dyDescent="0.35">
      <c r="A140" s="142" t="s">
        <v>134</v>
      </c>
      <c r="B140" s="145" t="s">
        <v>522</v>
      </c>
      <c r="C140" s="227">
        <v>10000</v>
      </c>
      <c r="D140" s="136"/>
      <c r="E140" s="222">
        <f t="shared" si="3"/>
        <v>10000</v>
      </c>
      <c r="F140" s="187">
        <f t="shared" si="4"/>
        <v>10000</v>
      </c>
      <c r="G140" s="247">
        <f t="shared" si="5"/>
        <v>0</v>
      </c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>
        <v>500</v>
      </c>
      <c r="T140" s="240"/>
      <c r="U140" s="240"/>
      <c r="V140" s="240"/>
      <c r="W140" s="240"/>
      <c r="X140" s="240"/>
      <c r="Y140" s="240"/>
      <c r="Z140" s="240"/>
      <c r="AA140" s="240"/>
      <c r="AB140" s="240"/>
      <c r="AC140" s="240"/>
      <c r="AD140" s="240"/>
      <c r="AE140" s="240">
        <v>9500</v>
      </c>
      <c r="AF140" s="240"/>
      <c r="AG140" s="240"/>
      <c r="AH140" s="240"/>
      <c r="AI140" s="240"/>
      <c r="AJ140" s="240"/>
      <c r="AK140" s="240"/>
      <c r="AL140" s="240"/>
      <c r="AM140" s="240"/>
      <c r="AN140" s="240"/>
      <c r="AO140" s="240"/>
      <c r="AP140" s="240"/>
      <c r="AQ140" s="240"/>
      <c r="AR140" s="240"/>
      <c r="AS140" s="240"/>
      <c r="AT140" s="240"/>
      <c r="AU140" s="240"/>
      <c r="AV140" s="240"/>
      <c r="AW140" s="240"/>
      <c r="AX140" s="240"/>
    </row>
    <row r="141" spans="1:50" s="3" customFormat="1" ht="19.5" thickBot="1" x14ac:dyDescent="0.35">
      <c r="A141" s="142" t="s">
        <v>135</v>
      </c>
      <c r="B141" s="145" t="s">
        <v>523</v>
      </c>
      <c r="C141" s="227">
        <v>10000</v>
      </c>
      <c r="D141" s="136"/>
      <c r="E141" s="222">
        <f t="shared" ref="E141:E187" si="6">C141</f>
        <v>10000</v>
      </c>
      <c r="F141" s="187">
        <f t="shared" ref="F141:F194" si="7">SUM(H141:AT141)</f>
        <v>10000</v>
      </c>
      <c r="G141" s="247">
        <f t="shared" ref="G141:G194" si="8">E141-(F141+AW141+AX141)</f>
        <v>0</v>
      </c>
      <c r="H141" s="240"/>
      <c r="I141" s="240"/>
      <c r="J141" s="240"/>
      <c r="K141" s="240"/>
      <c r="L141" s="240"/>
      <c r="M141" s="240"/>
      <c r="N141" s="240"/>
      <c r="O141" s="240">
        <v>9850</v>
      </c>
      <c r="P141" s="240"/>
      <c r="Q141" s="240"/>
      <c r="R141" s="240"/>
      <c r="S141" s="240"/>
      <c r="T141" s="240"/>
      <c r="U141" s="240"/>
      <c r="V141" s="240"/>
      <c r="W141" s="240"/>
      <c r="X141" s="240"/>
      <c r="Y141" s="240"/>
      <c r="Z141" s="240">
        <v>150</v>
      </c>
      <c r="AA141" s="240"/>
      <c r="AB141" s="240"/>
      <c r="AC141" s="240"/>
      <c r="AD141" s="240"/>
      <c r="AE141" s="240"/>
      <c r="AF141" s="240"/>
      <c r="AG141" s="240"/>
      <c r="AH141" s="240"/>
      <c r="AI141" s="240"/>
      <c r="AJ141" s="240"/>
      <c r="AK141" s="240"/>
      <c r="AL141" s="240"/>
      <c r="AM141" s="240"/>
      <c r="AN141" s="240"/>
      <c r="AO141" s="240"/>
      <c r="AP141" s="240"/>
      <c r="AQ141" s="240"/>
      <c r="AR141" s="240"/>
      <c r="AS141" s="240"/>
      <c r="AT141" s="240"/>
      <c r="AU141" s="240"/>
      <c r="AV141" s="240"/>
      <c r="AW141" s="240"/>
      <c r="AX141" s="240"/>
    </row>
    <row r="142" spans="1:50" s="3" customFormat="1" ht="19.5" thickBot="1" x14ac:dyDescent="0.35">
      <c r="A142" s="142" t="s">
        <v>136</v>
      </c>
      <c r="B142" s="145" t="s">
        <v>525</v>
      </c>
      <c r="C142" s="227">
        <v>10000</v>
      </c>
      <c r="D142" s="136">
        <v>9040</v>
      </c>
      <c r="E142" s="222">
        <v>0</v>
      </c>
      <c r="F142" s="187">
        <f t="shared" si="7"/>
        <v>0</v>
      </c>
      <c r="G142" s="247">
        <f t="shared" si="8"/>
        <v>0</v>
      </c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240"/>
      <c r="AG142" s="240"/>
      <c r="AH142" s="240"/>
      <c r="AI142" s="240"/>
      <c r="AJ142" s="240"/>
      <c r="AK142" s="240"/>
      <c r="AL142" s="240"/>
      <c r="AM142" s="240"/>
      <c r="AN142" s="240"/>
      <c r="AO142" s="240"/>
      <c r="AP142" s="240"/>
      <c r="AQ142" s="240"/>
      <c r="AR142" s="240"/>
      <c r="AS142" s="240"/>
      <c r="AT142" s="240"/>
      <c r="AU142" s="240"/>
      <c r="AV142" s="240"/>
      <c r="AW142" s="240"/>
      <c r="AX142" s="240"/>
    </row>
    <row r="143" spans="1:50" s="3" customFormat="1" ht="19.5" thickBot="1" x14ac:dyDescent="0.35">
      <c r="A143" s="142" t="s">
        <v>137</v>
      </c>
      <c r="B143" s="145" t="s">
        <v>315</v>
      </c>
      <c r="C143" s="227">
        <v>10000</v>
      </c>
      <c r="D143" s="136"/>
      <c r="E143" s="222">
        <f t="shared" si="6"/>
        <v>10000</v>
      </c>
      <c r="F143" s="187">
        <f t="shared" si="7"/>
        <v>10000</v>
      </c>
      <c r="G143" s="247">
        <f t="shared" si="8"/>
        <v>0</v>
      </c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0"/>
      <c r="AD143" s="240"/>
      <c r="AE143" s="240"/>
      <c r="AF143" s="240"/>
      <c r="AG143" s="240"/>
      <c r="AH143" s="240"/>
      <c r="AI143" s="240"/>
      <c r="AJ143" s="240"/>
      <c r="AK143" s="240"/>
      <c r="AL143" s="240"/>
      <c r="AM143" s="240"/>
      <c r="AN143" s="240"/>
      <c r="AO143" s="240"/>
      <c r="AP143" s="240"/>
      <c r="AQ143" s="240"/>
      <c r="AR143" s="240"/>
      <c r="AS143" s="240"/>
      <c r="AT143" s="240">
        <v>10000</v>
      </c>
      <c r="AU143" s="240"/>
      <c r="AV143" s="240"/>
      <c r="AW143" s="240"/>
      <c r="AX143" s="240"/>
    </row>
    <row r="144" spans="1:50" s="3" customFormat="1" ht="19.5" thickBot="1" x14ac:dyDescent="0.35">
      <c r="A144" s="142" t="s">
        <v>138</v>
      </c>
      <c r="B144" s="145" t="s">
        <v>527</v>
      </c>
      <c r="C144" s="227">
        <v>10000</v>
      </c>
      <c r="D144" s="136"/>
      <c r="E144" s="222">
        <f t="shared" si="6"/>
        <v>10000</v>
      </c>
      <c r="F144" s="187">
        <f t="shared" si="7"/>
        <v>10000</v>
      </c>
      <c r="G144" s="247">
        <f t="shared" si="8"/>
        <v>0</v>
      </c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>
        <v>10000</v>
      </c>
      <c r="Y144" s="240"/>
      <c r="Z144" s="240"/>
      <c r="AA144" s="240"/>
      <c r="AB144" s="240"/>
      <c r="AC144" s="240"/>
      <c r="AD144" s="240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240"/>
      <c r="AQ144" s="240"/>
      <c r="AR144" s="240"/>
      <c r="AS144" s="240"/>
      <c r="AT144" s="240"/>
      <c r="AU144" s="240"/>
      <c r="AV144" s="240"/>
      <c r="AW144" s="240"/>
      <c r="AX144" s="240"/>
    </row>
    <row r="145" spans="1:50" s="3" customFormat="1" ht="19.5" thickBot="1" x14ac:dyDescent="0.35">
      <c r="A145" s="142" t="s">
        <v>139</v>
      </c>
      <c r="B145" s="145" t="s">
        <v>529</v>
      </c>
      <c r="C145" s="227">
        <v>33460</v>
      </c>
      <c r="D145" s="136"/>
      <c r="E145" s="222">
        <f t="shared" si="6"/>
        <v>33460</v>
      </c>
      <c r="F145" s="187">
        <f t="shared" si="7"/>
        <v>33460</v>
      </c>
      <c r="G145" s="247">
        <f t="shared" si="8"/>
        <v>0</v>
      </c>
      <c r="H145" s="240"/>
      <c r="I145" s="240"/>
      <c r="J145" s="240"/>
      <c r="K145" s="240"/>
      <c r="L145" s="240"/>
      <c r="M145" s="240">
        <v>2753</v>
      </c>
      <c r="N145" s="240">
        <f>2754*2</f>
        <v>5508</v>
      </c>
      <c r="O145" s="240">
        <v>4944</v>
      </c>
      <c r="P145" s="240"/>
      <c r="Q145" s="240">
        <v>2754</v>
      </c>
      <c r="R145" s="240">
        <v>2753</v>
      </c>
      <c r="S145" s="240">
        <f>2754*2</f>
        <v>5508</v>
      </c>
      <c r="T145" s="240"/>
      <c r="U145" s="240"/>
      <c r="V145" s="240"/>
      <c r="W145" s="240">
        <v>8292</v>
      </c>
      <c r="X145" s="240">
        <v>948</v>
      </c>
      <c r="Y145" s="240"/>
      <c r="Z145" s="240"/>
      <c r="AA145" s="240"/>
      <c r="AB145" s="240"/>
      <c r="AC145" s="240"/>
      <c r="AD145" s="240"/>
      <c r="AE145" s="240"/>
      <c r="AF145" s="240"/>
      <c r="AG145" s="240"/>
      <c r="AH145" s="240"/>
      <c r="AI145" s="240"/>
      <c r="AJ145" s="240"/>
      <c r="AK145" s="240"/>
      <c r="AL145" s="240"/>
      <c r="AM145" s="240"/>
      <c r="AN145" s="240"/>
      <c r="AO145" s="240"/>
      <c r="AP145" s="240"/>
      <c r="AQ145" s="240"/>
      <c r="AR145" s="240"/>
      <c r="AS145" s="240"/>
      <c r="AT145" s="240"/>
      <c r="AU145" s="240"/>
      <c r="AV145" s="240"/>
      <c r="AW145" s="240"/>
      <c r="AX145" s="240"/>
    </row>
    <row r="146" spans="1:50" s="3" customFormat="1" ht="19.5" thickBot="1" x14ac:dyDescent="0.35">
      <c r="A146" s="142" t="s">
        <v>140</v>
      </c>
      <c r="B146" s="145" t="s">
        <v>530</v>
      </c>
      <c r="C146" s="227">
        <v>10000</v>
      </c>
      <c r="D146" s="136"/>
      <c r="E146" s="222">
        <f t="shared" si="6"/>
        <v>10000</v>
      </c>
      <c r="F146" s="187">
        <f t="shared" si="7"/>
        <v>10000</v>
      </c>
      <c r="G146" s="247">
        <f t="shared" si="8"/>
        <v>0</v>
      </c>
      <c r="H146" s="240"/>
      <c r="I146" s="240"/>
      <c r="J146" s="240"/>
      <c r="K146" s="240"/>
      <c r="L146" s="240"/>
      <c r="M146" s="240"/>
      <c r="N146" s="240"/>
      <c r="O146" s="240">
        <v>10000</v>
      </c>
      <c r="P146" s="240"/>
      <c r="Q146" s="240"/>
      <c r="R146" s="240"/>
      <c r="S146" s="240"/>
      <c r="T146" s="240"/>
      <c r="U146" s="240"/>
      <c r="V146" s="240"/>
      <c r="W146" s="240"/>
      <c r="X146" s="240"/>
      <c r="Y146" s="240"/>
      <c r="Z146" s="240"/>
      <c r="AA146" s="240"/>
      <c r="AB146" s="240"/>
      <c r="AC146" s="240"/>
      <c r="AD146" s="240"/>
      <c r="AE146" s="240"/>
      <c r="AF146" s="240"/>
      <c r="AG146" s="240"/>
      <c r="AH146" s="240"/>
      <c r="AI146" s="240"/>
      <c r="AJ146" s="240"/>
      <c r="AK146" s="240"/>
      <c r="AL146" s="240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</row>
    <row r="147" spans="1:50" s="3" customFormat="1" ht="19.5" thickBot="1" x14ac:dyDescent="0.35">
      <c r="A147" s="142" t="s">
        <v>141</v>
      </c>
      <c r="B147" s="145" t="s">
        <v>531</v>
      </c>
      <c r="C147" s="227">
        <v>10000</v>
      </c>
      <c r="D147" s="136"/>
      <c r="E147" s="222">
        <f t="shared" si="6"/>
        <v>10000</v>
      </c>
      <c r="F147" s="187">
        <f t="shared" si="7"/>
        <v>10000</v>
      </c>
      <c r="G147" s="247">
        <f t="shared" si="8"/>
        <v>0</v>
      </c>
      <c r="H147" s="240"/>
      <c r="I147" s="240"/>
      <c r="J147" s="240"/>
      <c r="K147" s="240"/>
      <c r="L147" s="240"/>
      <c r="M147" s="240"/>
      <c r="N147" s="240"/>
      <c r="O147" s="240">
        <v>6435.54</v>
      </c>
      <c r="P147" s="240"/>
      <c r="Q147" s="240">
        <v>2096.67</v>
      </c>
      <c r="R147" s="240"/>
      <c r="S147" s="240"/>
      <c r="T147" s="240"/>
      <c r="U147" s="240"/>
      <c r="V147" s="240">
        <v>1467.79</v>
      </c>
      <c r="W147" s="240"/>
      <c r="X147" s="240"/>
      <c r="Y147" s="240"/>
      <c r="Z147" s="240"/>
      <c r="AA147" s="240"/>
      <c r="AB147" s="240"/>
      <c r="AC147" s="240"/>
      <c r="AD147" s="240"/>
      <c r="AE147" s="240"/>
      <c r="AF147" s="240"/>
      <c r="AG147" s="240"/>
      <c r="AH147" s="240"/>
      <c r="AI147" s="240"/>
      <c r="AJ147" s="240"/>
      <c r="AK147" s="240"/>
      <c r="AL147" s="240"/>
      <c r="AM147" s="240"/>
      <c r="AN147" s="240"/>
      <c r="AO147" s="240"/>
      <c r="AP147" s="240"/>
      <c r="AQ147" s="240"/>
      <c r="AR147" s="240"/>
      <c r="AS147" s="240"/>
      <c r="AT147" s="240"/>
      <c r="AU147" s="240"/>
      <c r="AV147" s="240"/>
      <c r="AW147" s="240"/>
      <c r="AX147" s="240"/>
    </row>
    <row r="148" spans="1:50" s="3" customFormat="1" ht="19.5" thickBot="1" x14ac:dyDescent="0.35">
      <c r="A148" s="142" t="s">
        <v>142</v>
      </c>
      <c r="B148" s="145" t="s">
        <v>320</v>
      </c>
      <c r="C148" s="227">
        <v>417912</v>
      </c>
      <c r="D148" s="136"/>
      <c r="E148" s="222">
        <f t="shared" si="6"/>
        <v>417912</v>
      </c>
      <c r="F148" s="187">
        <f t="shared" si="7"/>
        <v>417912</v>
      </c>
      <c r="G148" s="247">
        <f t="shared" si="8"/>
        <v>0</v>
      </c>
      <c r="H148" s="240"/>
      <c r="I148" s="240"/>
      <c r="J148" s="240"/>
      <c r="K148" s="240"/>
      <c r="L148" s="240"/>
      <c r="M148" s="240"/>
      <c r="N148" s="240"/>
      <c r="O148" s="240">
        <v>24334.92</v>
      </c>
      <c r="P148" s="240">
        <v>39691.199999999997</v>
      </c>
      <c r="Q148" s="240">
        <v>44993.84</v>
      </c>
      <c r="R148" s="240">
        <v>28664.89</v>
      </c>
      <c r="S148" s="240">
        <v>28932.07</v>
      </c>
      <c r="T148" s="240"/>
      <c r="U148" s="240"/>
      <c r="V148" s="240">
        <v>73222.490000000005</v>
      </c>
      <c r="W148" s="240">
        <v>830.25</v>
      </c>
      <c r="X148" s="240">
        <v>64158.18</v>
      </c>
      <c r="Y148" s="240">
        <v>19752.78</v>
      </c>
      <c r="Z148" s="240">
        <v>18835.57</v>
      </c>
      <c r="AA148" s="240">
        <v>21927.57</v>
      </c>
      <c r="AB148" s="240">
        <v>24109.87</v>
      </c>
      <c r="AC148" s="240">
        <v>28458.37</v>
      </c>
      <c r="AD148" s="240"/>
      <c r="AE148" s="240"/>
      <c r="AF148" s="240"/>
      <c r="AG148" s="240"/>
      <c r="AH148" s="240"/>
      <c r="AI148" s="240"/>
      <c r="AJ148" s="240"/>
      <c r="AK148" s="240"/>
      <c r="AL148" s="240"/>
      <c r="AM148" s="240"/>
      <c r="AN148" s="240"/>
      <c r="AO148" s="240"/>
      <c r="AP148" s="240"/>
      <c r="AQ148" s="240"/>
      <c r="AR148" s="240"/>
      <c r="AS148" s="240"/>
      <c r="AT148" s="240"/>
      <c r="AU148" s="240"/>
      <c r="AV148" s="240"/>
      <c r="AW148" s="240"/>
      <c r="AX148" s="240"/>
    </row>
    <row r="149" spans="1:50" s="3" customFormat="1" ht="18" customHeight="1" thickBot="1" x14ac:dyDescent="0.35">
      <c r="A149" s="142" t="s">
        <v>143</v>
      </c>
      <c r="B149" s="145" t="s">
        <v>533</v>
      </c>
      <c r="C149" s="227">
        <v>77438</v>
      </c>
      <c r="D149" s="136"/>
      <c r="E149" s="222">
        <f t="shared" si="6"/>
        <v>77438</v>
      </c>
      <c r="F149" s="187">
        <f t="shared" si="7"/>
        <v>77438.000000000015</v>
      </c>
      <c r="G149" s="247">
        <f t="shared" si="8"/>
        <v>0</v>
      </c>
      <c r="H149" s="240"/>
      <c r="I149" s="240"/>
      <c r="J149" s="240"/>
      <c r="K149" s="240"/>
      <c r="L149" s="240"/>
      <c r="M149" s="240"/>
      <c r="N149" s="240"/>
      <c r="O149" s="240">
        <v>24844.75</v>
      </c>
      <c r="P149" s="240"/>
      <c r="Q149" s="240"/>
      <c r="R149" s="240"/>
      <c r="S149" s="240">
        <v>15093.92</v>
      </c>
      <c r="T149" s="240"/>
      <c r="U149" s="240">
        <v>25422.959999999999</v>
      </c>
      <c r="V149" s="240"/>
      <c r="W149" s="240"/>
      <c r="X149" s="240"/>
      <c r="Y149" s="240">
        <v>1223.5</v>
      </c>
      <c r="Z149" s="240"/>
      <c r="AA149" s="240">
        <v>9660.16</v>
      </c>
      <c r="AB149" s="240"/>
      <c r="AC149" s="240">
        <v>1192.71</v>
      </c>
      <c r="AD149" s="240"/>
      <c r="AE149" s="240"/>
      <c r="AF149" s="240"/>
      <c r="AG149" s="240"/>
      <c r="AH149" s="240"/>
      <c r="AI149" s="240"/>
      <c r="AJ149" s="240"/>
      <c r="AK149" s="240"/>
      <c r="AL149" s="240"/>
      <c r="AM149" s="240"/>
      <c r="AN149" s="240"/>
      <c r="AO149" s="240"/>
      <c r="AP149" s="240"/>
      <c r="AQ149" s="240"/>
      <c r="AR149" s="240"/>
      <c r="AS149" s="240"/>
      <c r="AT149" s="240"/>
      <c r="AU149" s="240"/>
      <c r="AV149" s="240"/>
      <c r="AW149" s="240"/>
      <c r="AX149" s="240"/>
    </row>
    <row r="150" spans="1:50" s="3" customFormat="1" ht="19.5" thickBot="1" x14ac:dyDescent="0.35">
      <c r="A150" s="142" t="s">
        <v>144</v>
      </c>
      <c r="B150" s="145" t="s">
        <v>322</v>
      </c>
      <c r="C150" s="227">
        <v>10000</v>
      </c>
      <c r="D150" s="136"/>
      <c r="E150" s="222">
        <f t="shared" si="6"/>
        <v>10000</v>
      </c>
      <c r="F150" s="187">
        <f t="shared" si="7"/>
        <v>10000</v>
      </c>
      <c r="G150" s="247">
        <f t="shared" si="8"/>
        <v>0</v>
      </c>
      <c r="H150" s="240"/>
      <c r="I150" s="240"/>
      <c r="J150" s="240"/>
      <c r="K150" s="240"/>
      <c r="L150" s="240">
        <v>7619.3</v>
      </c>
      <c r="M150" s="240"/>
      <c r="N150" s="240"/>
      <c r="O150" s="240">
        <v>2380.6999999999998</v>
      </c>
      <c r="P150" s="240"/>
      <c r="Q150" s="240"/>
      <c r="R150" s="240"/>
      <c r="S150" s="240"/>
      <c r="T150" s="240"/>
      <c r="U150" s="240"/>
      <c r="V150" s="240"/>
      <c r="W150" s="240"/>
      <c r="X150" s="240"/>
      <c r="Y150" s="240"/>
      <c r="Z150" s="240"/>
      <c r="AA150" s="240"/>
      <c r="AB150" s="240"/>
      <c r="AC150" s="240"/>
      <c r="AD150" s="240"/>
      <c r="AE150" s="240"/>
      <c r="AF150" s="240"/>
      <c r="AG150" s="240"/>
      <c r="AH150" s="240"/>
      <c r="AI150" s="240"/>
      <c r="AJ150" s="240"/>
      <c r="AK150" s="240"/>
      <c r="AL150" s="240"/>
      <c r="AM150" s="240"/>
      <c r="AN150" s="240"/>
      <c r="AO150" s="240"/>
      <c r="AP150" s="240"/>
      <c r="AQ150" s="240"/>
      <c r="AR150" s="240"/>
      <c r="AS150" s="240"/>
      <c r="AT150" s="240"/>
      <c r="AU150" s="240"/>
      <c r="AV150" s="240"/>
      <c r="AW150" s="240"/>
      <c r="AX150" s="240"/>
    </row>
    <row r="151" spans="1:50" s="3" customFormat="1" ht="19.5" thickBot="1" x14ac:dyDescent="0.35">
      <c r="A151" s="142" t="s">
        <v>145</v>
      </c>
      <c r="B151" s="145" t="s">
        <v>536</v>
      </c>
      <c r="C151" s="227">
        <v>10000</v>
      </c>
      <c r="D151" s="136"/>
      <c r="E151" s="222">
        <f t="shared" si="6"/>
        <v>10000</v>
      </c>
      <c r="F151" s="187">
        <f t="shared" si="7"/>
        <v>10000</v>
      </c>
      <c r="G151" s="247">
        <f t="shared" si="8"/>
        <v>0</v>
      </c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240"/>
      <c r="U151" s="240"/>
      <c r="V151" s="240"/>
      <c r="W151" s="240">
        <v>10000</v>
      </c>
      <c r="X151" s="240"/>
      <c r="Y151" s="240"/>
      <c r="Z151" s="240"/>
      <c r="AA151" s="240"/>
      <c r="AB151" s="240"/>
      <c r="AC151" s="240"/>
      <c r="AD151" s="240"/>
      <c r="AE151" s="240"/>
      <c r="AF151" s="240"/>
      <c r="AG151" s="240"/>
      <c r="AH151" s="240"/>
      <c r="AI151" s="240"/>
      <c r="AJ151" s="240"/>
      <c r="AK151" s="240"/>
      <c r="AL151" s="240"/>
      <c r="AM151" s="240"/>
      <c r="AN151" s="240"/>
      <c r="AO151" s="240"/>
      <c r="AP151" s="240"/>
      <c r="AQ151" s="240"/>
      <c r="AR151" s="240"/>
      <c r="AS151" s="240"/>
      <c r="AT151" s="240"/>
      <c r="AU151" s="240"/>
      <c r="AV151" s="240"/>
      <c r="AW151" s="240"/>
      <c r="AX151" s="240"/>
    </row>
    <row r="152" spans="1:50" s="3" customFormat="1" ht="19.5" thickBot="1" x14ac:dyDescent="0.35">
      <c r="A152" s="142" t="s">
        <v>146</v>
      </c>
      <c r="B152" s="145" t="s">
        <v>324</v>
      </c>
      <c r="C152" s="227">
        <v>17820</v>
      </c>
      <c r="D152" s="136"/>
      <c r="E152" s="222">
        <f t="shared" si="6"/>
        <v>17820</v>
      </c>
      <c r="F152" s="187">
        <f t="shared" si="7"/>
        <v>17820</v>
      </c>
      <c r="G152" s="247">
        <f t="shared" si="8"/>
        <v>0</v>
      </c>
      <c r="H152" s="240"/>
      <c r="I152" s="240"/>
      <c r="J152" s="240"/>
      <c r="K152" s="240"/>
      <c r="L152" s="240"/>
      <c r="M152" s="240"/>
      <c r="N152" s="240"/>
      <c r="O152" s="240"/>
      <c r="P152" s="240">
        <v>1938.1</v>
      </c>
      <c r="Q152" s="240"/>
      <c r="R152" s="240"/>
      <c r="S152" s="240">
        <v>7936.54</v>
      </c>
      <c r="T152" s="240"/>
      <c r="U152" s="240"/>
      <c r="V152" s="240"/>
      <c r="W152" s="240">
        <v>5375.99</v>
      </c>
      <c r="X152" s="240"/>
      <c r="Y152" s="240"/>
      <c r="Z152" s="240"/>
      <c r="AA152" s="240"/>
      <c r="AB152" s="240">
        <v>2569.37</v>
      </c>
      <c r="AC152" s="240"/>
      <c r="AD152" s="240"/>
      <c r="AE152" s="240"/>
      <c r="AF152" s="240"/>
      <c r="AG152" s="240"/>
      <c r="AH152" s="240"/>
      <c r="AI152" s="240"/>
      <c r="AJ152" s="240"/>
      <c r="AK152" s="240"/>
      <c r="AL152" s="240"/>
      <c r="AM152" s="240"/>
      <c r="AN152" s="240"/>
      <c r="AO152" s="240"/>
      <c r="AP152" s="240"/>
      <c r="AQ152" s="240"/>
      <c r="AR152" s="240"/>
      <c r="AS152" s="240"/>
      <c r="AT152" s="240"/>
      <c r="AU152" s="240"/>
      <c r="AV152" s="240"/>
      <c r="AW152" s="240"/>
      <c r="AX152" s="240"/>
    </row>
    <row r="153" spans="1:50" s="3" customFormat="1" ht="19.5" thickBot="1" x14ac:dyDescent="0.35">
      <c r="A153" s="142" t="s">
        <v>147</v>
      </c>
      <c r="B153" s="145" t="s">
        <v>325</v>
      </c>
      <c r="C153" s="227">
        <v>20905</v>
      </c>
      <c r="D153" s="136"/>
      <c r="E153" s="222">
        <f t="shared" si="6"/>
        <v>20905</v>
      </c>
      <c r="F153" s="187">
        <f t="shared" si="7"/>
        <v>20905</v>
      </c>
      <c r="G153" s="247">
        <f t="shared" si="8"/>
        <v>0</v>
      </c>
      <c r="H153" s="240"/>
      <c r="I153" s="240"/>
      <c r="J153" s="240"/>
      <c r="K153" s="240"/>
      <c r="L153" s="240"/>
      <c r="M153" s="240">
        <v>543</v>
      </c>
      <c r="N153" s="240">
        <v>3889</v>
      </c>
      <c r="O153" s="240">
        <v>385</v>
      </c>
      <c r="P153" s="240">
        <v>393</v>
      </c>
      <c r="Q153" s="240">
        <v>393</v>
      </c>
      <c r="R153" s="240">
        <v>394</v>
      </c>
      <c r="S153" s="240">
        <v>8317</v>
      </c>
      <c r="T153" s="240">
        <v>381</v>
      </c>
      <c r="U153" s="240"/>
      <c r="V153" s="240">
        <v>800</v>
      </c>
      <c r="W153" s="240">
        <v>1035</v>
      </c>
      <c r="X153" s="240"/>
      <c r="Y153" s="240"/>
      <c r="Z153" s="240">
        <v>2663</v>
      </c>
      <c r="AA153" s="240"/>
      <c r="AB153" s="240"/>
      <c r="AC153" s="240">
        <v>370</v>
      </c>
      <c r="AD153" s="240">
        <v>460</v>
      </c>
      <c r="AE153" s="240">
        <v>882</v>
      </c>
      <c r="AF153" s="240"/>
      <c r="AG153" s="240"/>
      <c r="AH153" s="240"/>
      <c r="AI153" s="240"/>
      <c r="AJ153" s="240"/>
      <c r="AK153" s="240"/>
      <c r="AL153" s="240"/>
      <c r="AM153" s="240"/>
      <c r="AN153" s="240"/>
      <c r="AO153" s="240"/>
      <c r="AP153" s="240"/>
      <c r="AQ153" s="240"/>
      <c r="AR153" s="240"/>
      <c r="AS153" s="240"/>
      <c r="AT153" s="240"/>
      <c r="AU153" s="240"/>
      <c r="AV153" s="240"/>
      <c r="AW153" s="240"/>
      <c r="AX153" s="240"/>
    </row>
    <row r="154" spans="1:50" s="3" customFormat="1" ht="19.5" thickBot="1" x14ac:dyDescent="0.35">
      <c r="A154" s="142" t="s">
        <v>148</v>
      </c>
      <c r="B154" s="145" t="s">
        <v>538</v>
      </c>
      <c r="C154" s="227">
        <v>10000</v>
      </c>
      <c r="D154" s="136"/>
      <c r="E154" s="222">
        <f t="shared" si="6"/>
        <v>10000</v>
      </c>
      <c r="F154" s="187">
        <f t="shared" si="7"/>
        <v>10000</v>
      </c>
      <c r="G154" s="247">
        <f t="shared" si="8"/>
        <v>0</v>
      </c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  <c r="R154" s="240"/>
      <c r="S154" s="240">
        <v>8254</v>
      </c>
      <c r="T154" s="240"/>
      <c r="U154" s="240"/>
      <c r="V154" s="240"/>
      <c r="W154" s="240"/>
      <c r="X154" s="240"/>
      <c r="Y154" s="240"/>
      <c r="Z154" s="240"/>
      <c r="AA154" s="240"/>
      <c r="AB154" s="240"/>
      <c r="AC154" s="240"/>
      <c r="AD154" s="240"/>
      <c r="AE154" s="240">
        <v>1746</v>
      </c>
      <c r="AF154" s="240"/>
      <c r="AG154" s="240"/>
      <c r="AH154" s="240"/>
      <c r="AI154" s="240"/>
      <c r="AJ154" s="240"/>
      <c r="AK154" s="240"/>
      <c r="AL154" s="240"/>
      <c r="AM154" s="240"/>
      <c r="AN154" s="240"/>
      <c r="AO154" s="240"/>
      <c r="AP154" s="240"/>
      <c r="AQ154" s="240"/>
      <c r="AR154" s="240"/>
      <c r="AS154" s="240"/>
      <c r="AT154" s="240"/>
      <c r="AU154" s="240"/>
      <c r="AV154" s="240"/>
      <c r="AW154" s="240"/>
      <c r="AX154" s="240"/>
    </row>
    <row r="155" spans="1:50" s="3" customFormat="1" ht="19.5" thickBot="1" x14ac:dyDescent="0.35">
      <c r="A155" s="142" t="s">
        <v>149</v>
      </c>
      <c r="B155" s="145" t="s">
        <v>539</v>
      </c>
      <c r="C155" s="227">
        <v>10000</v>
      </c>
      <c r="D155" s="136"/>
      <c r="E155" s="222">
        <f t="shared" si="6"/>
        <v>10000</v>
      </c>
      <c r="F155" s="187">
        <f t="shared" si="7"/>
        <v>10000</v>
      </c>
      <c r="G155" s="247">
        <f t="shared" si="8"/>
        <v>0</v>
      </c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  <c r="R155" s="240"/>
      <c r="S155" s="240">
        <v>10000</v>
      </c>
      <c r="T155" s="240"/>
      <c r="U155" s="240"/>
      <c r="V155" s="240"/>
      <c r="W155" s="240"/>
      <c r="X155" s="240"/>
      <c r="Y155" s="240"/>
      <c r="Z155" s="240"/>
      <c r="AA155" s="240"/>
      <c r="AB155" s="240"/>
      <c r="AC155" s="240"/>
      <c r="AD155" s="240"/>
      <c r="AE155" s="240"/>
      <c r="AF155" s="240"/>
      <c r="AG155" s="240"/>
      <c r="AH155" s="240"/>
      <c r="AI155" s="240"/>
      <c r="AJ155" s="240"/>
      <c r="AK155" s="240"/>
      <c r="AL155" s="240"/>
      <c r="AM155" s="240"/>
      <c r="AN155" s="240"/>
      <c r="AO155" s="240"/>
      <c r="AP155" s="240"/>
      <c r="AQ155" s="240"/>
      <c r="AR155" s="240"/>
      <c r="AS155" s="240"/>
      <c r="AT155" s="240"/>
      <c r="AU155" s="240"/>
      <c r="AV155" s="240"/>
      <c r="AW155" s="240"/>
      <c r="AX155" s="240"/>
    </row>
    <row r="156" spans="1:50" s="3" customFormat="1" ht="19.5" thickBot="1" x14ac:dyDescent="0.35">
      <c r="A156" s="142" t="s">
        <v>150</v>
      </c>
      <c r="B156" s="145" t="s">
        <v>541</v>
      </c>
      <c r="C156" s="227">
        <v>10000</v>
      </c>
      <c r="D156" s="136"/>
      <c r="E156" s="222">
        <f t="shared" si="6"/>
        <v>10000</v>
      </c>
      <c r="F156" s="187">
        <f t="shared" si="7"/>
        <v>10000</v>
      </c>
      <c r="G156" s="247">
        <f t="shared" si="8"/>
        <v>0</v>
      </c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  <c r="R156" s="240"/>
      <c r="S156" s="240">
        <v>10000</v>
      </c>
      <c r="T156" s="240"/>
      <c r="U156" s="240"/>
      <c r="V156" s="240"/>
      <c r="W156" s="240"/>
      <c r="X156" s="240"/>
      <c r="Y156" s="240"/>
      <c r="Z156" s="240"/>
      <c r="AA156" s="240"/>
      <c r="AB156" s="240"/>
      <c r="AC156" s="240"/>
      <c r="AD156" s="240"/>
      <c r="AE156" s="240"/>
      <c r="AF156" s="240"/>
      <c r="AG156" s="240"/>
      <c r="AH156" s="240"/>
      <c r="AI156" s="240"/>
      <c r="AJ156" s="240"/>
      <c r="AK156" s="240"/>
      <c r="AL156" s="240"/>
      <c r="AM156" s="240"/>
      <c r="AN156" s="240"/>
      <c r="AO156" s="240"/>
      <c r="AP156" s="240"/>
      <c r="AQ156" s="240"/>
      <c r="AR156" s="240"/>
      <c r="AS156" s="240"/>
      <c r="AT156" s="240"/>
      <c r="AU156" s="240"/>
      <c r="AV156" s="240"/>
      <c r="AW156" s="240"/>
      <c r="AX156" s="240"/>
    </row>
    <row r="157" spans="1:50" s="3" customFormat="1" ht="19.5" thickBot="1" x14ac:dyDescent="0.35">
      <c r="A157" s="142" t="s">
        <v>151</v>
      </c>
      <c r="B157" s="145" t="s">
        <v>329</v>
      </c>
      <c r="C157" s="227">
        <v>10000</v>
      </c>
      <c r="D157" s="136"/>
      <c r="E157" s="222">
        <f t="shared" si="6"/>
        <v>10000</v>
      </c>
      <c r="F157" s="187">
        <f t="shared" si="7"/>
        <v>10000</v>
      </c>
      <c r="G157" s="247">
        <f t="shared" si="8"/>
        <v>0</v>
      </c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  <c r="R157" s="240"/>
      <c r="S157" s="240"/>
      <c r="T157" s="240"/>
      <c r="U157" s="240"/>
      <c r="V157" s="240"/>
      <c r="W157" s="240"/>
      <c r="X157" s="240"/>
      <c r="Y157" s="240"/>
      <c r="Z157" s="240"/>
      <c r="AA157" s="240"/>
      <c r="AB157" s="240"/>
      <c r="AC157" s="240"/>
      <c r="AD157" s="240">
        <v>10000</v>
      </c>
      <c r="AE157" s="240"/>
      <c r="AF157" s="240"/>
      <c r="AG157" s="240"/>
      <c r="AH157" s="240"/>
      <c r="AI157" s="240"/>
      <c r="AJ157" s="240"/>
      <c r="AK157" s="240"/>
      <c r="AL157" s="240"/>
      <c r="AM157" s="240"/>
      <c r="AN157" s="240"/>
      <c r="AO157" s="240"/>
      <c r="AP157" s="240"/>
      <c r="AQ157" s="240"/>
      <c r="AR157" s="240"/>
      <c r="AS157" s="240"/>
      <c r="AT157" s="240"/>
      <c r="AU157" s="240"/>
      <c r="AV157" s="240"/>
      <c r="AW157" s="240"/>
      <c r="AX157" s="240"/>
    </row>
    <row r="158" spans="1:50" s="3" customFormat="1" ht="19.5" thickBot="1" x14ac:dyDescent="0.35">
      <c r="A158" s="142" t="s">
        <v>152</v>
      </c>
      <c r="B158" s="145" t="s">
        <v>330</v>
      </c>
      <c r="C158" s="227">
        <v>10000</v>
      </c>
      <c r="D158" s="136"/>
      <c r="E158" s="222">
        <f t="shared" si="6"/>
        <v>10000</v>
      </c>
      <c r="F158" s="187">
        <f t="shared" si="7"/>
        <v>10000</v>
      </c>
      <c r="G158" s="247">
        <f t="shared" si="8"/>
        <v>0</v>
      </c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  <c r="R158" s="240"/>
      <c r="S158" s="240"/>
      <c r="T158" s="240"/>
      <c r="U158" s="240">
        <v>10000</v>
      </c>
      <c r="V158" s="240"/>
      <c r="W158" s="240"/>
      <c r="X158" s="240"/>
      <c r="Y158" s="240"/>
      <c r="Z158" s="240"/>
      <c r="AA158" s="240"/>
      <c r="AB158" s="240"/>
      <c r="AC158" s="240"/>
      <c r="AD158" s="240"/>
      <c r="AE158" s="240"/>
      <c r="AF158" s="240"/>
      <c r="AG158" s="240"/>
      <c r="AH158" s="240"/>
      <c r="AI158" s="240"/>
      <c r="AJ158" s="240"/>
      <c r="AK158" s="240"/>
      <c r="AL158" s="240"/>
      <c r="AM158" s="240"/>
      <c r="AN158" s="240"/>
      <c r="AO158" s="240"/>
      <c r="AP158" s="240"/>
      <c r="AQ158" s="240"/>
      <c r="AR158" s="240"/>
      <c r="AS158" s="240"/>
      <c r="AT158" s="240"/>
      <c r="AU158" s="240"/>
      <c r="AV158" s="240"/>
      <c r="AW158" s="240"/>
      <c r="AX158" s="240"/>
    </row>
    <row r="159" spans="1:50" s="3" customFormat="1" ht="19.5" thickBot="1" x14ac:dyDescent="0.35">
      <c r="A159" s="142" t="s">
        <v>153</v>
      </c>
      <c r="B159" s="145" t="s">
        <v>331</v>
      </c>
      <c r="C159" s="227">
        <v>10000</v>
      </c>
      <c r="D159" s="136"/>
      <c r="E159" s="222">
        <f t="shared" si="6"/>
        <v>10000</v>
      </c>
      <c r="F159" s="187">
        <f t="shared" si="7"/>
        <v>10000</v>
      </c>
      <c r="G159" s="247">
        <f t="shared" si="8"/>
        <v>0</v>
      </c>
      <c r="H159" s="240"/>
      <c r="I159" s="240"/>
      <c r="J159" s="240"/>
      <c r="K159" s="240"/>
      <c r="L159" s="240"/>
      <c r="M159" s="240">
        <v>1120.5</v>
      </c>
      <c r="N159" s="240"/>
      <c r="O159" s="240">
        <v>2891.71</v>
      </c>
      <c r="P159" s="240">
        <v>230.08</v>
      </c>
      <c r="Q159" s="240">
        <v>226.65</v>
      </c>
      <c r="R159" s="240">
        <v>613.29</v>
      </c>
      <c r="S159" s="240">
        <v>2561.3200000000002</v>
      </c>
      <c r="T159" s="240">
        <v>102.13</v>
      </c>
      <c r="U159" s="240">
        <v>498.69</v>
      </c>
      <c r="V159" s="240"/>
      <c r="W159" s="240"/>
      <c r="X159" s="240">
        <v>121.74</v>
      </c>
      <c r="Y159" s="240"/>
      <c r="Z159" s="240">
        <v>888.2</v>
      </c>
      <c r="AA159" s="240">
        <v>26.38</v>
      </c>
      <c r="AB159" s="240">
        <v>549.01</v>
      </c>
      <c r="AC159" s="240">
        <v>93.58</v>
      </c>
      <c r="AD159" s="240">
        <v>30.36</v>
      </c>
      <c r="AE159" s="240">
        <v>46.36</v>
      </c>
      <c r="AF159" s="240"/>
      <c r="AG159" s="240"/>
      <c r="AH159" s="240"/>
      <c r="AI159" s="240"/>
      <c r="AJ159" s="240"/>
      <c r="AK159" s="240"/>
      <c r="AL159" s="240"/>
      <c r="AM159" s="240"/>
      <c r="AN159" s="240"/>
      <c r="AO159" s="240"/>
      <c r="AP159" s="240"/>
      <c r="AQ159" s="240"/>
      <c r="AR159" s="240"/>
      <c r="AS159" s="240"/>
      <c r="AT159" s="240"/>
      <c r="AU159" s="240"/>
      <c r="AV159" s="240"/>
      <c r="AW159" s="240"/>
      <c r="AX159" s="240"/>
    </row>
    <row r="160" spans="1:50" s="3" customFormat="1" ht="19.5" thickBot="1" x14ac:dyDescent="0.35">
      <c r="A160" s="142" t="s">
        <v>154</v>
      </c>
      <c r="B160" s="145" t="s">
        <v>545</v>
      </c>
      <c r="C160" s="227">
        <v>29673</v>
      </c>
      <c r="D160" s="136"/>
      <c r="E160" s="222">
        <f t="shared" si="6"/>
        <v>29673</v>
      </c>
      <c r="F160" s="187">
        <f t="shared" si="7"/>
        <v>29673</v>
      </c>
      <c r="G160" s="247">
        <f t="shared" si="8"/>
        <v>0</v>
      </c>
      <c r="H160" s="240"/>
      <c r="I160" s="240"/>
      <c r="J160" s="240"/>
      <c r="K160" s="240"/>
      <c r="L160" s="240"/>
      <c r="M160" s="240"/>
      <c r="N160" s="240"/>
      <c r="O160" s="240"/>
      <c r="P160" s="240"/>
      <c r="Q160" s="240">
        <v>10000</v>
      </c>
      <c r="R160" s="240"/>
      <c r="S160" s="240">
        <v>19673</v>
      </c>
      <c r="T160" s="240"/>
      <c r="U160" s="240"/>
      <c r="V160" s="240"/>
      <c r="W160" s="240"/>
      <c r="X160" s="240"/>
      <c r="Y160" s="240"/>
      <c r="Z160" s="240"/>
      <c r="AA160" s="240"/>
      <c r="AB160" s="240"/>
      <c r="AC160" s="240"/>
      <c r="AD160" s="240"/>
      <c r="AE160" s="240"/>
      <c r="AF160" s="240"/>
      <c r="AG160" s="240"/>
      <c r="AH160" s="240"/>
      <c r="AI160" s="240"/>
      <c r="AJ160" s="240"/>
      <c r="AK160" s="240"/>
      <c r="AL160" s="240"/>
      <c r="AM160" s="240"/>
      <c r="AN160" s="240"/>
      <c r="AO160" s="240"/>
      <c r="AP160" s="240"/>
      <c r="AQ160" s="240"/>
      <c r="AR160" s="240"/>
      <c r="AS160" s="240"/>
      <c r="AT160" s="240"/>
      <c r="AU160" s="240"/>
      <c r="AV160" s="240"/>
      <c r="AW160" s="240"/>
      <c r="AX160" s="240"/>
    </row>
    <row r="161" spans="1:50" s="3" customFormat="1" ht="19.5" thickBot="1" x14ac:dyDescent="0.35">
      <c r="A161" s="142" t="s">
        <v>155</v>
      </c>
      <c r="B161" s="145" t="s">
        <v>333</v>
      </c>
      <c r="C161" s="227">
        <v>10000</v>
      </c>
      <c r="D161" s="136"/>
      <c r="E161" s="222">
        <f t="shared" si="6"/>
        <v>10000</v>
      </c>
      <c r="F161" s="187">
        <f t="shared" si="7"/>
        <v>10000</v>
      </c>
      <c r="G161" s="247">
        <f t="shared" si="8"/>
        <v>0</v>
      </c>
      <c r="H161" s="240"/>
      <c r="I161" s="240"/>
      <c r="J161" s="240"/>
      <c r="K161" s="240"/>
      <c r="L161" s="240"/>
      <c r="M161" s="240"/>
      <c r="N161" s="240"/>
      <c r="O161" s="240"/>
      <c r="P161" s="240">
        <v>10000</v>
      </c>
      <c r="Q161" s="240"/>
      <c r="R161" s="240"/>
      <c r="S161" s="240"/>
      <c r="T161" s="240"/>
      <c r="U161" s="240"/>
      <c r="V161" s="240"/>
      <c r="W161" s="240"/>
      <c r="X161" s="240"/>
      <c r="Y161" s="240"/>
      <c r="Z161" s="240"/>
      <c r="AA161" s="240"/>
      <c r="AB161" s="240"/>
      <c r="AC161" s="240"/>
      <c r="AD161" s="240"/>
      <c r="AE161" s="240"/>
      <c r="AF161" s="240"/>
      <c r="AG161" s="240"/>
      <c r="AH161" s="240"/>
      <c r="AI161" s="240"/>
      <c r="AJ161" s="240"/>
      <c r="AK161" s="240"/>
      <c r="AL161" s="240"/>
      <c r="AM161" s="240"/>
      <c r="AN161" s="240"/>
      <c r="AO161" s="240"/>
      <c r="AP161" s="240"/>
      <c r="AQ161" s="240"/>
      <c r="AR161" s="240"/>
      <c r="AS161" s="240"/>
      <c r="AT161" s="240"/>
      <c r="AU161" s="240"/>
      <c r="AV161" s="240"/>
      <c r="AW161" s="240"/>
      <c r="AX161" s="240"/>
    </row>
    <row r="162" spans="1:50" s="3" customFormat="1" ht="19.5" thickBot="1" x14ac:dyDescent="0.35">
      <c r="A162" s="142" t="s">
        <v>156</v>
      </c>
      <c r="B162" s="145" t="s">
        <v>334</v>
      </c>
      <c r="C162" s="227">
        <v>10000</v>
      </c>
      <c r="D162" s="136"/>
      <c r="E162" s="222">
        <f t="shared" si="6"/>
        <v>10000</v>
      </c>
      <c r="F162" s="187">
        <f t="shared" si="7"/>
        <v>10000</v>
      </c>
      <c r="G162" s="247">
        <f t="shared" si="8"/>
        <v>0</v>
      </c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  <c r="R162" s="240"/>
      <c r="S162" s="240">
        <v>10000</v>
      </c>
      <c r="T162" s="240"/>
      <c r="U162" s="240"/>
      <c r="V162" s="240"/>
      <c r="W162" s="240"/>
      <c r="X162" s="240"/>
      <c r="Y162" s="240"/>
      <c r="Z162" s="240"/>
      <c r="AA162" s="240"/>
      <c r="AB162" s="240"/>
      <c r="AC162" s="240"/>
      <c r="AD162" s="240"/>
      <c r="AE162" s="240"/>
      <c r="AF162" s="240"/>
      <c r="AG162" s="240"/>
      <c r="AH162" s="240"/>
      <c r="AI162" s="240"/>
      <c r="AJ162" s="240"/>
      <c r="AK162" s="240"/>
      <c r="AL162" s="240"/>
      <c r="AM162" s="240"/>
      <c r="AN162" s="240"/>
      <c r="AO162" s="240"/>
      <c r="AP162" s="240"/>
      <c r="AQ162" s="240"/>
      <c r="AR162" s="240"/>
      <c r="AS162" s="240"/>
      <c r="AT162" s="240"/>
      <c r="AU162" s="240"/>
      <c r="AV162" s="240"/>
      <c r="AW162" s="240"/>
      <c r="AX162" s="240"/>
    </row>
    <row r="163" spans="1:50" s="3" customFormat="1" ht="19.5" thickBot="1" x14ac:dyDescent="0.35">
      <c r="A163" s="142" t="s">
        <v>157</v>
      </c>
      <c r="B163" s="145" t="s">
        <v>335</v>
      </c>
      <c r="C163" s="227">
        <v>10000</v>
      </c>
      <c r="D163" s="136"/>
      <c r="E163" s="222">
        <f t="shared" si="6"/>
        <v>10000</v>
      </c>
      <c r="F163" s="187">
        <f t="shared" si="7"/>
        <v>10000</v>
      </c>
      <c r="G163" s="247">
        <f t="shared" si="8"/>
        <v>0</v>
      </c>
      <c r="H163" s="240"/>
      <c r="I163" s="240"/>
      <c r="J163" s="240"/>
      <c r="K163" s="240"/>
      <c r="L163" s="240"/>
      <c r="M163" s="240"/>
      <c r="N163" s="240"/>
      <c r="O163" s="240">
        <v>10000</v>
      </c>
      <c r="P163" s="240"/>
      <c r="Q163" s="240"/>
      <c r="R163" s="240"/>
      <c r="S163" s="240"/>
      <c r="T163" s="240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0"/>
      <c r="AG163" s="240"/>
      <c r="AH163" s="240"/>
      <c r="AI163" s="240"/>
      <c r="AJ163" s="240"/>
      <c r="AK163" s="240"/>
      <c r="AL163" s="240"/>
      <c r="AM163" s="240"/>
      <c r="AN163" s="240"/>
      <c r="AO163" s="240"/>
      <c r="AP163" s="240"/>
      <c r="AQ163" s="240"/>
      <c r="AR163" s="240"/>
      <c r="AS163" s="240"/>
      <c r="AT163" s="240"/>
      <c r="AU163" s="240"/>
      <c r="AV163" s="240"/>
      <c r="AW163" s="240"/>
      <c r="AX163" s="240"/>
    </row>
    <row r="164" spans="1:50" s="3" customFormat="1" ht="19.5" thickBot="1" x14ac:dyDescent="0.35">
      <c r="A164" s="142" t="s">
        <v>158</v>
      </c>
      <c r="B164" s="145" t="s">
        <v>548</v>
      </c>
      <c r="C164" s="227">
        <v>10000</v>
      </c>
      <c r="D164" s="136">
        <v>9040</v>
      </c>
      <c r="E164" s="222">
        <v>0</v>
      </c>
      <c r="F164" s="187">
        <f t="shared" si="7"/>
        <v>0</v>
      </c>
      <c r="G164" s="247">
        <f t="shared" si="8"/>
        <v>0</v>
      </c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  <c r="R164" s="240"/>
      <c r="S164" s="240"/>
      <c r="T164" s="240"/>
      <c r="U164" s="240"/>
      <c r="V164" s="240"/>
      <c r="W164" s="240"/>
      <c r="X164" s="240"/>
      <c r="Y164" s="240"/>
      <c r="Z164" s="240"/>
      <c r="AA164" s="240"/>
      <c r="AB164" s="240"/>
      <c r="AC164" s="240"/>
      <c r="AD164" s="240"/>
      <c r="AE164" s="240"/>
      <c r="AF164" s="240"/>
      <c r="AG164" s="240"/>
      <c r="AH164" s="240"/>
      <c r="AI164" s="240"/>
      <c r="AJ164" s="240"/>
      <c r="AK164" s="240"/>
      <c r="AL164" s="240"/>
      <c r="AM164" s="240"/>
      <c r="AN164" s="240"/>
      <c r="AO164" s="240"/>
      <c r="AP164" s="240"/>
      <c r="AQ164" s="240"/>
      <c r="AR164" s="240"/>
      <c r="AS164" s="240"/>
      <c r="AT164" s="240"/>
      <c r="AU164" s="240"/>
      <c r="AV164" s="240"/>
      <c r="AW164" s="240"/>
      <c r="AX164" s="240"/>
    </row>
    <row r="165" spans="1:50" s="3" customFormat="1" ht="19.5" thickBot="1" x14ac:dyDescent="0.35">
      <c r="A165" s="142" t="s">
        <v>159</v>
      </c>
      <c r="B165" s="145" t="s">
        <v>397</v>
      </c>
      <c r="C165" s="227">
        <v>10000</v>
      </c>
      <c r="D165" s="136">
        <v>9040</v>
      </c>
      <c r="E165" s="222">
        <v>0</v>
      </c>
      <c r="F165" s="187">
        <f t="shared" si="7"/>
        <v>0</v>
      </c>
      <c r="G165" s="247">
        <f t="shared" si="8"/>
        <v>0</v>
      </c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  <c r="R165" s="240"/>
      <c r="S165" s="240"/>
      <c r="T165" s="240"/>
      <c r="U165" s="240"/>
      <c r="V165" s="240"/>
      <c r="W165" s="240"/>
      <c r="X165" s="240"/>
      <c r="Y165" s="240"/>
      <c r="Z165" s="240"/>
      <c r="AA165" s="240"/>
      <c r="AB165" s="240"/>
      <c r="AC165" s="240"/>
      <c r="AD165" s="240"/>
      <c r="AE165" s="240"/>
      <c r="AF165" s="240"/>
      <c r="AG165" s="240"/>
      <c r="AH165" s="240"/>
      <c r="AI165" s="240"/>
      <c r="AJ165" s="240"/>
      <c r="AK165" s="240"/>
      <c r="AL165" s="240"/>
      <c r="AM165" s="240"/>
      <c r="AN165" s="240"/>
      <c r="AO165" s="240"/>
      <c r="AP165" s="240"/>
      <c r="AQ165" s="240"/>
      <c r="AR165" s="240"/>
      <c r="AS165" s="240"/>
      <c r="AT165" s="240"/>
      <c r="AU165" s="240"/>
      <c r="AV165" s="240"/>
      <c r="AW165" s="240"/>
      <c r="AX165" s="240"/>
    </row>
    <row r="166" spans="1:50" s="3" customFormat="1" ht="19.5" thickBot="1" x14ac:dyDescent="0.35">
      <c r="A166" s="142" t="s">
        <v>160</v>
      </c>
      <c r="B166" s="145" t="s">
        <v>551</v>
      </c>
      <c r="C166" s="227">
        <v>17935</v>
      </c>
      <c r="D166" s="136"/>
      <c r="E166" s="222">
        <f t="shared" si="6"/>
        <v>17935</v>
      </c>
      <c r="F166" s="187">
        <f t="shared" si="7"/>
        <v>17935</v>
      </c>
      <c r="G166" s="247">
        <f t="shared" si="8"/>
        <v>0</v>
      </c>
      <c r="H166" s="240"/>
      <c r="I166" s="240"/>
      <c r="J166" s="240"/>
      <c r="K166" s="240"/>
      <c r="L166" s="240"/>
      <c r="M166" s="240"/>
      <c r="N166" s="240">
        <v>383.94</v>
      </c>
      <c r="O166" s="240"/>
      <c r="P166" s="240"/>
      <c r="Q166" s="240"/>
      <c r="R166" s="240"/>
      <c r="S166" s="240">
        <v>389</v>
      </c>
      <c r="T166" s="240">
        <v>229.6</v>
      </c>
      <c r="U166" s="240">
        <v>273.67</v>
      </c>
      <c r="V166" s="240"/>
      <c r="W166" s="240"/>
      <c r="X166" s="240"/>
      <c r="Y166" s="240">
        <v>11000</v>
      </c>
      <c r="Z166" s="240"/>
      <c r="AA166" s="240">
        <v>3094</v>
      </c>
      <c r="AB166" s="240"/>
      <c r="AC166" s="240"/>
      <c r="AD166" s="240"/>
      <c r="AE166" s="240">
        <v>1971.3</v>
      </c>
      <c r="AF166" s="240">
        <v>593.49</v>
      </c>
      <c r="AG166" s="240"/>
      <c r="AH166" s="240"/>
      <c r="AI166" s="240"/>
      <c r="AJ166" s="240"/>
      <c r="AK166" s="240"/>
      <c r="AL166" s="240"/>
      <c r="AM166" s="240"/>
      <c r="AN166" s="240"/>
      <c r="AO166" s="240"/>
      <c r="AP166" s="240"/>
      <c r="AQ166" s="240"/>
      <c r="AR166" s="240"/>
      <c r="AS166" s="240"/>
      <c r="AT166" s="240"/>
      <c r="AU166" s="240"/>
      <c r="AV166" s="240"/>
      <c r="AW166" s="240"/>
      <c r="AX166" s="240"/>
    </row>
    <row r="167" spans="1:50" s="3" customFormat="1" ht="19.5" thickBot="1" x14ac:dyDescent="0.35">
      <c r="A167" s="142" t="s">
        <v>161</v>
      </c>
      <c r="B167" s="145" t="s">
        <v>553</v>
      </c>
      <c r="C167" s="227">
        <v>10000</v>
      </c>
      <c r="D167" s="136"/>
      <c r="E167" s="222">
        <f t="shared" si="6"/>
        <v>10000</v>
      </c>
      <c r="F167" s="187">
        <f t="shared" si="7"/>
        <v>10000</v>
      </c>
      <c r="G167" s="247">
        <f t="shared" si="8"/>
        <v>0</v>
      </c>
      <c r="H167" s="240"/>
      <c r="I167" s="240"/>
      <c r="J167" s="240"/>
      <c r="K167" s="240"/>
      <c r="L167" s="240"/>
      <c r="M167" s="240"/>
      <c r="N167" s="240"/>
      <c r="O167" s="240">
        <v>5008</v>
      </c>
      <c r="P167" s="240"/>
      <c r="Q167" s="240"/>
      <c r="R167" s="240"/>
      <c r="S167" s="240"/>
      <c r="T167" s="240"/>
      <c r="U167" s="240"/>
      <c r="V167" s="240"/>
      <c r="W167" s="240"/>
      <c r="X167" s="240"/>
      <c r="Y167" s="240"/>
      <c r="Z167" s="240"/>
      <c r="AA167" s="240"/>
      <c r="AB167" s="240">
        <f>16+4976</f>
        <v>4992</v>
      </c>
      <c r="AC167" s="240"/>
      <c r="AD167" s="240"/>
      <c r="AE167" s="240"/>
      <c r="AF167" s="240"/>
      <c r="AG167" s="240"/>
      <c r="AH167" s="240"/>
      <c r="AI167" s="240"/>
      <c r="AJ167" s="240"/>
      <c r="AK167" s="240"/>
      <c r="AL167" s="240"/>
      <c r="AM167" s="240"/>
      <c r="AN167" s="240"/>
      <c r="AO167" s="240"/>
      <c r="AP167" s="240"/>
      <c r="AQ167" s="240"/>
      <c r="AR167" s="240"/>
      <c r="AS167" s="240"/>
      <c r="AT167" s="240"/>
      <c r="AU167" s="240"/>
      <c r="AV167" s="240"/>
      <c r="AW167" s="240"/>
      <c r="AX167" s="240"/>
    </row>
    <row r="168" spans="1:50" s="3" customFormat="1" ht="19.5" thickBot="1" x14ac:dyDescent="0.35">
      <c r="A168" s="142" t="s">
        <v>162</v>
      </c>
      <c r="B168" s="145" t="s">
        <v>555</v>
      </c>
      <c r="C168" s="227">
        <v>19997</v>
      </c>
      <c r="D168" s="136"/>
      <c r="E168" s="222">
        <f t="shared" si="6"/>
        <v>19997</v>
      </c>
      <c r="F168" s="187">
        <f t="shared" si="7"/>
        <v>19997</v>
      </c>
      <c r="G168" s="247">
        <f t="shared" si="8"/>
        <v>0</v>
      </c>
      <c r="H168" s="240"/>
      <c r="I168" s="240"/>
      <c r="J168" s="240"/>
      <c r="K168" s="240"/>
      <c r="L168" s="240"/>
      <c r="M168" s="240"/>
      <c r="N168" s="240"/>
      <c r="O168" s="240"/>
      <c r="P168" s="240"/>
      <c r="Q168" s="240">
        <v>19997</v>
      </c>
      <c r="R168" s="240"/>
      <c r="S168" s="240"/>
      <c r="T168" s="240"/>
      <c r="U168" s="240"/>
      <c r="V168" s="240"/>
      <c r="W168" s="240"/>
      <c r="X168" s="240"/>
      <c r="Y168" s="240"/>
      <c r="Z168" s="240"/>
      <c r="AA168" s="240"/>
      <c r="AB168" s="240"/>
      <c r="AC168" s="240"/>
      <c r="AD168" s="240"/>
      <c r="AE168" s="240"/>
      <c r="AF168" s="240"/>
      <c r="AG168" s="240"/>
      <c r="AH168" s="240"/>
      <c r="AI168" s="240"/>
      <c r="AJ168" s="240"/>
      <c r="AK168" s="240"/>
      <c r="AL168" s="240"/>
      <c r="AM168" s="240"/>
      <c r="AN168" s="240"/>
      <c r="AO168" s="240"/>
      <c r="AP168" s="240"/>
      <c r="AQ168" s="240"/>
      <c r="AR168" s="240"/>
      <c r="AS168" s="240"/>
      <c r="AT168" s="240"/>
      <c r="AU168" s="240"/>
      <c r="AV168" s="240"/>
      <c r="AW168" s="240"/>
      <c r="AX168" s="240"/>
    </row>
    <row r="169" spans="1:50" s="3" customFormat="1" ht="19.5" thickBot="1" x14ac:dyDescent="0.35">
      <c r="A169" s="142" t="s">
        <v>163</v>
      </c>
      <c r="B169" s="145" t="s">
        <v>340</v>
      </c>
      <c r="C169" s="227">
        <v>10000</v>
      </c>
      <c r="D169" s="136">
        <v>9040</v>
      </c>
      <c r="E169" s="222">
        <v>0</v>
      </c>
      <c r="F169" s="187">
        <f t="shared" si="7"/>
        <v>0</v>
      </c>
      <c r="G169" s="247">
        <f t="shared" si="8"/>
        <v>0</v>
      </c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  <c r="R169" s="240"/>
      <c r="S169" s="240"/>
      <c r="T169" s="240"/>
      <c r="U169" s="240"/>
      <c r="V169" s="240"/>
      <c r="W169" s="240"/>
      <c r="X169" s="240"/>
      <c r="Y169" s="240"/>
      <c r="Z169" s="240"/>
      <c r="AA169" s="240"/>
      <c r="AB169" s="240"/>
      <c r="AC169" s="240"/>
      <c r="AD169" s="240"/>
      <c r="AE169" s="240"/>
      <c r="AF169" s="240"/>
      <c r="AG169" s="240"/>
      <c r="AH169" s="240"/>
      <c r="AI169" s="240"/>
      <c r="AJ169" s="240"/>
      <c r="AK169" s="240"/>
      <c r="AL169" s="240"/>
      <c r="AM169" s="240"/>
      <c r="AN169" s="240"/>
      <c r="AO169" s="240"/>
      <c r="AP169" s="240"/>
      <c r="AQ169" s="240"/>
      <c r="AR169" s="240"/>
      <c r="AS169" s="240"/>
      <c r="AT169" s="240"/>
      <c r="AU169" s="240"/>
      <c r="AV169" s="240"/>
      <c r="AW169" s="240"/>
      <c r="AX169" s="240"/>
    </row>
    <row r="170" spans="1:50" s="3" customFormat="1" ht="19.5" thickBot="1" x14ac:dyDescent="0.35">
      <c r="A170" s="142" t="s">
        <v>164</v>
      </c>
      <c r="B170" s="145" t="s">
        <v>341</v>
      </c>
      <c r="C170" s="227">
        <v>10000</v>
      </c>
      <c r="D170" s="136">
        <v>9025</v>
      </c>
      <c r="E170" s="222">
        <v>0</v>
      </c>
      <c r="F170" s="187">
        <f t="shared" si="7"/>
        <v>0</v>
      </c>
      <c r="G170" s="247">
        <f t="shared" si="8"/>
        <v>0</v>
      </c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  <c r="R170" s="240"/>
      <c r="S170" s="240"/>
      <c r="T170" s="240"/>
      <c r="U170" s="240"/>
      <c r="V170" s="240"/>
      <c r="W170" s="240"/>
      <c r="X170" s="240"/>
      <c r="Y170" s="240"/>
      <c r="Z170" s="240"/>
      <c r="AA170" s="240"/>
      <c r="AB170" s="240"/>
      <c r="AC170" s="240"/>
      <c r="AD170" s="240"/>
      <c r="AE170" s="240"/>
      <c r="AF170" s="240"/>
      <c r="AG170" s="240"/>
      <c r="AH170" s="240"/>
      <c r="AI170" s="240"/>
      <c r="AJ170" s="240"/>
      <c r="AK170" s="240"/>
      <c r="AL170" s="240"/>
      <c r="AM170" s="240"/>
      <c r="AN170" s="240"/>
      <c r="AO170" s="240"/>
      <c r="AP170" s="240"/>
      <c r="AQ170" s="240"/>
      <c r="AR170" s="240"/>
      <c r="AS170" s="240"/>
      <c r="AT170" s="240"/>
      <c r="AU170" s="240"/>
      <c r="AV170" s="240"/>
      <c r="AW170" s="240"/>
      <c r="AX170" s="240"/>
    </row>
    <row r="171" spans="1:50" s="3" customFormat="1" ht="19.5" thickBot="1" x14ac:dyDescent="0.35">
      <c r="A171" s="142" t="s">
        <v>165</v>
      </c>
      <c r="B171" s="145" t="s">
        <v>342</v>
      </c>
      <c r="C171" s="227">
        <v>10000</v>
      </c>
      <c r="D171" s="136">
        <v>9040</v>
      </c>
      <c r="E171" s="222">
        <v>0</v>
      </c>
      <c r="F171" s="187">
        <f t="shared" si="7"/>
        <v>0</v>
      </c>
      <c r="G171" s="247">
        <f t="shared" si="8"/>
        <v>0</v>
      </c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  <c r="R171" s="240"/>
      <c r="S171" s="240"/>
      <c r="T171" s="240"/>
      <c r="U171" s="240"/>
      <c r="V171" s="240"/>
      <c r="W171" s="240"/>
      <c r="X171" s="240"/>
      <c r="Y171" s="240"/>
      <c r="Z171" s="240"/>
      <c r="AA171" s="240"/>
      <c r="AB171" s="240"/>
      <c r="AC171" s="240"/>
      <c r="AD171" s="240"/>
      <c r="AE171" s="240"/>
      <c r="AF171" s="240"/>
      <c r="AG171" s="240"/>
      <c r="AH171" s="240"/>
      <c r="AI171" s="240"/>
      <c r="AJ171" s="240"/>
      <c r="AK171" s="240"/>
      <c r="AL171" s="240"/>
      <c r="AM171" s="240"/>
      <c r="AN171" s="240"/>
      <c r="AO171" s="240"/>
      <c r="AP171" s="240"/>
      <c r="AQ171" s="240"/>
      <c r="AR171" s="240"/>
      <c r="AS171" s="240"/>
      <c r="AT171" s="240"/>
      <c r="AU171" s="240"/>
      <c r="AV171" s="240"/>
      <c r="AW171" s="240"/>
      <c r="AX171" s="240"/>
    </row>
    <row r="172" spans="1:50" s="3" customFormat="1" ht="19.5" thickBot="1" x14ac:dyDescent="0.35">
      <c r="A172" s="142" t="s">
        <v>166</v>
      </c>
      <c r="B172" s="145" t="s">
        <v>343</v>
      </c>
      <c r="C172" s="227">
        <v>10000</v>
      </c>
      <c r="D172" s="136">
        <v>9040</v>
      </c>
      <c r="E172" s="222">
        <v>0</v>
      </c>
      <c r="F172" s="187">
        <f t="shared" si="7"/>
        <v>0</v>
      </c>
      <c r="G172" s="247">
        <f t="shared" si="8"/>
        <v>0</v>
      </c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  <c r="R172" s="240"/>
      <c r="S172" s="240"/>
      <c r="T172" s="240"/>
      <c r="U172" s="240"/>
      <c r="V172" s="240"/>
      <c r="W172" s="240"/>
      <c r="X172" s="240"/>
      <c r="Y172" s="240"/>
      <c r="Z172" s="240"/>
      <c r="AA172" s="240"/>
      <c r="AB172" s="240"/>
      <c r="AC172" s="240"/>
      <c r="AD172" s="240"/>
      <c r="AE172" s="240"/>
      <c r="AF172" s="240"/>
      <c r="AG172" s="240"/>
      <c r="AH172" s="240"/>
      <c r="AI172" s="240"/>
      <c r="AJ172" s="240"/>
      <c r="AK172" s="240"/>
      <c r="AL172" s="240"/>
      <c r="AM172" s="240"/>
      <c r="AN172" s="240"/>
      <c r="AO172" s="240"/>
      <c r="AP172" s="240"/>
      <c r="AQ172" s="240"/>
      <c r="AR172" s="240"/>
      <c r="AS172" s="240"/>
      <c r="AT172" s="240"/>
      <c r="AU172" s="240"/>
      <c r="AV172" s="240"/>
      <c r="AW172" s="240"/>
      <c r="AX172" s="240"/>
    </row>
    <row r="173" spans="1:50" s="3" customFormat="1" ht="19.5" thickBot="1" x14ac:dyDescent="0.35">
      <c r="A173" s="142" t="s">
        <v>167</v>
      </c>
      <c r="B173" s="145" t="s">
        <v>344</v>
      </c>
      <c r="C173" s="227">
        <v>10000</v>
      </c>
      <c r="D173" s="136">
        <v>9025</v>
      </c>
      <c r="E173" s="222">
        <v>0</v>
      </c>
      <c r="F173" s="187">
        <f t="shared" si="7"/>
        <v>0</v>
      </c>
      <c r="G173" s="247">
        <f t="shared" si="8"/>
        <v>0</v>
      </c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  <c r="R173" s="240"/>
      <c r="S173" s="240"/>
      <c r="T173" s="240"/>
      <c r="U173" s="240"/>
      <c r="V173" s="240"/>
      <c r="W173" s="240"/>
      <c r="X173" s="240"/>
      <c r="Y173" s="240"/>
      <c r="Z173" s="240"/>
      <c r="AA173" s="240"/>
      <c r="AB173" s="240"/>
      <c r="AC173" s="240"/>
      <c r="AD173" s="240"/>
      <c r="AE173" s="240"/>
      <c r="AF173" s="240"/>
      <c r="AG173" s="240"/>
      <c r="AH173" s="240"/>
      <c r="AI173" s="240"/>
      <c r="AJ173" s="240"/>
      <c r="AK173" s="240"/>
      <c r="AL173" s="240"/>
      <c r="AM173" s="240"/>
      <c r="AN173" s="240"/>
      <c r="AO173" s="240"/>
      <c r="AP173" s="240"/>
      <c r="AQ173" s="240"/>
      <c r="AR173" s="240"/>
      <c r="AS173" s="240"/>
      <c r="AT173" s="240"/>
      <c r="AU173" s="240"/>
      <c r="AV173" s="240"/>
      <c r="AW173" s="240"/>
      <c r="AX173" s="240"/>
    </row>
    <row r="174" spans="1:50" s="3" customFormat="1" ht="19.5" thickBot="1" x14ac:dyDescent="0.35">
      <c r="A174" s="142" t="s">
        <v>168</v>
      </c>
      <c r="B174" s="145" t="s">
        <v>557</v>
      </c>
      <c r="C174" s="227">
        <v>22495</v>
      </c>
      <c r="D174" s="136">
        <v>9035</v>
      </c>
      <c r="E174" s="222">
        <v>0</v>
      </c>
      <c r="F174" s="187">
        <f t="shared" si="7"/>
        <v>0</v>
      </c>
      <c r="G174" s="247">
        <f t="shared" si="8"/>
        <v>0</v>
      </c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  <c r="R174" s="240"/>
      <c r="S174" s="240"/>
      <c r="T174" s="240"/>
      <c r="U174" s="240"/>
      <c r="V174" s="240"/>
      <c r="W174" s="240"/>
      <c r="X174" s="240"/>
      <c r="Y174" s="240"/>
      <c r="Z174" s="240"/>
      <c r="AA174" s="240"/>
      <c r="AB174" s="240"/>
      <c r="AC174" s="240"/>
      <c r="AD174" s="240"/>
      <c r="AE174" s="240"/>
      <c r="AF174" s="240"/>
      <c r="AG174" s="240"/>
      <c r="AH174" s="240"/>
      <c r="AI174" s="240"/>
      <c r="AJ174" s="240"/>
      <c r="AK174" s="240"/>
      <c r="AL174" s="240"/>
      <c r="AM174" s="240"/>
      <c r="AN174" s="240"/>
      <c r="AO174" s="240"/>
      <c r="AP174" s="240"/>
      <c r="AQ174" s="240"/>
      <c r="AR174" s="240"/>
      <c r="AS174" s="240"/>
      <c r="AT174" s="240"/>
      <c r="AU174" s="240"/>
      <c r="AV174" s="240"/>
      <c r="AW174" s="240"/>
      <c r="AX174" s="240"/>
    </row>
    <row r="175" spans="1:50" s="3" customFormat="1" ht="18" customHeight="1" thickBot="1" x14ac:dyDescent="0.35">
      <c r="A175" s="142" t="s">
        <v>169</v>
      </c>
      <c r="B175" s="145" t="s">
        <v>559</v>
      </c>
      <c r="C175" s="227">
        <v>10255</v>
      </c>
      <c r="D175" s="136"/>
      <c r="E175" s="222">
        <f t="shared" si="6"/>
        <v>10255</v>
      </c>
      <c r="F175" s="187">
        <f t="shared" si="7"/>
        <v>10255</v>
      </c>
      <c r="G175" s="247">
        <f t="shared" si="8"/>
        <v>0</v>
      </c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  <c r="R175" s="240"/>
      <c r="S175" s="240"/>
      <c r="T175" s="240"/>
      <c r="U175" s="240"/>
      <c r="V175" s="240">
        <v>3000</v>
      </c>
      <c r="W175" s="240"/>
      <c r="X175" s="240"/>
      <c r="Y175" s="240"/>
      <c r="Z175" s="240"/>
      <c r="AA175" s="240"/>
      <c r="AB175" s="240"/>
      <c r="AC175" s="240"/>
      <c r="AD175" s="240"/>
      <c r="AE175" s="240"/>
      <c r="AF175" s="240">
        <v>7255</v>
      </c>
      <c r="AG175" s="240"/>
      <c r="AH175" s="240"/>
      <c r="AI175" s="240"/>
      <c r="AJ175" s="240"/>
      <c r="AK175" s="240"/>
      <c r="AL175" s="240"/>
      <c r="AM175" s="240"/>
      <c r="AN175" s="240"/>
      <c r="AO175" s="240"/>
      <c r="AP175" s="240"/>
      <c r="AQ175" s="240"/>
      <c r="AR175" s="240"/>
      <c r="AS175" s="240"/>
      <c r="AT175" s="240"/>
      <c r="AU175" s="240"/>
      <c r="AV175" s="240"/>
      <c r="AW175" s="240"/>
      <c r="AX175" s="240"/>
    </row>
    <row r="176" spans="1:50" s="3" customFormat="1" ht="18" customHeight="1" thickBot="1" x14ac:dyDescent="0.35">
      <c r="A176" s="142" t="s">
        <v>170</v>
      </c>
      <c r="B176" s="145" t="s">
        <v>398</v>
      </c>
      <c r="C176" s="227">
        <v>35163</v>
      </c>
      <c r="D176" s="136"/>
      <c r="E176" s="222">
        <f t="shared" si="6"/>
        <v>35163</v>
      </c>
      <c r="F176" s="187">
        <f t="shared" si="7"/>
        <v>35163</v>
      </c>
      <c r="G176" s="247">
        <f t="shared" si="8"/>
        <v>0</v>
      </c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  <c r="R176" s="240"/>
      <c r="S176" s="240"/>
      <c r="T176" s="240"/>
      <c r="U176" s="240"/>
      <c r="V176" s="240"/>
      <c r="W176" s="240">
        <v>35163</v>
      </c>
      <c r="X176" s="240"/>
      <c r="Y176" s="240"/>
      <c r="Z176" s="240"/>
      <c r="AA176" s="240"/>
      <c r="AB176" s="240"/>
      <c r="AC176" s="240"/>
      <c r="AD176" s="240"/>
      <c r="AE176" s="240"/>
      <c r="AF176" s="240"/>
      <c r="AG176" s="240"/>
      <c r="AH176" s="240"/>
      <c r="AI176" s="240"/>
      <c r="AJ176" s="240"/>
      <c r="AK176" s="240"/>
      <c r="AL176" s="240"/>
      <c r="AM176" s="240"/>
      <c r="AN176" s="240"/>
      <c r="AO176" s="240"/>
      <c r="AP176" s="240"/>
      <c r="AQ176" s="240"/>
      <c r="AR176" s="240"/>
      <c r="AS176" s="240"/>
      <c r="AT176" s="240"/>
      <c r="AU176" s="240"/>
      <c r="AV176" s="240"/>
      <c r="AW176" s="240"/>
      <c r="AX176" s="240"/>
    </row>
    <row r="177" spans="1:50" s="3" customFormat="1" ht="18" customHeight="1" thickBot="1" x14ac:dyDescent="0.35">
      <c r="A177" s="142" t="s">
        <v>171</v>
      </c>
      <c r="B177" s="145" t="s">
        <v>560</v>
      </c>
      <c r="C177" s="227">
        <v>18791</v>
      </c>
      <c r="D177" s="136"/>
      <c r="E177" s="222">
        <f t="shared" si="6"/>
        <v>18791</v>
      </c>
      <c r="F177" s="187">
        <f t="shared" si="7"/>
        <v>18791</v>
      </c>
      <c r="G177" s="247">
        <f t="shared" si="8"/>
        <v>0</v>
      </c>
      <c r="H177" s="240"/>
      <c r="I177" s="240"/>
      <c r="J177" s="240"/>
      <c r="K177" s="240">
        <v>9308</v>
      </c>
      <c r="L177" s="240"/>
      <c r="M177" s="240"/>
      <c r="N177" s="240"/>
      <c r="O177" s="240"/>
      <c r="P177" s="240"/>
      <c r="Q177" s="240"/>
      <c r="R177" s="240"/>
      <c r="S177" s="240">
        <v>5000.6099999999997</v>
      </c>
      <c r="T177" s="240">
        <v>4482.3900000000003</v>
      </c>
      <c r="U177" s="240"/>
      <c r="V177" s="240"/>
      <c r="W177" s="240"/>
      <c r="X177" s="240"/>
      <c r="Y177" s="240"/>
      <c r="Z177" s="240"/>
      <c r="AA177" s="240"/>
      <c r="AB177" s="240"/>
      <c r="AC177" s="240"/>
      <c r="AD177" s="240"/>
      <c r="AE177" s="240"/>
      <c r="AF177" s="240"/>
      <c r="AG177" s="240"/>
      <c r="AH177" s="240"/>
      <c r="AI177" s="240"/>
      <c r="AJ177" s="240"/>
      <c r="AK177" s="240"/>
      <c r="AL177" s="240"/>
      <c r="AM177" s="240"/>
      <c r="AN177" s="240"/>
      <c r="AO177" s="240"/>
      <c r="AP177" s="240"/>
      <c r="AQ177" s="240"/>
      <c r="AR177" s="240"/>
      <c r="AS177" s="240"/>
      <c r="AT177" s="240"/>
      <c r="AU177" s="240"/>
      <c r="AV177" s="240"/>
      <c r="AW177" s="240"/>
      <c r="AX177" s="240"/>
    </row>
    <row r="178" spans="1:50" s="3" customFormat="1" ht="18" customHeight="1" thickBot="1" x14ac:dyDescent="0.35">
      <c r="A178" s="142" t="s">
        <v>172</v>
      </c>
      <c r="B178" s="145" t="s">
        <v>561</v>
      </c>
      <c r="C178" s="227">
        <v>16206</v>
      </c>
      <c r="D178" s="136"/>
      <c r="E178" s="222">
        <f t="shared" si="6"/>
        <v>16206</v>
      </c>
      <c r="F178" s="187">
        <f t="shared" si="7"/>
        <v>16206</v>
      </c>
      <c r="G178" s="247">
        <f t="shared" si="8"/>
        <v>0</v>
      </c>
      <c r="H178" s="240"/>
      <c r="I178" s="240"/>
      <c r="J178" s="240"/>
      <c r="K178" s="240"/>
      <c r="L178" s="240"/>
      <c r="M178" s="240">
        <v>4193</v>
      </c>
      <c r="N178" s="240"/>
      <c r="O178" s="240"/>
      <c r="P178" s="240">
        <v>7188</v>
      </c>
      <c r="Q178" s="240"/>
      <c r="R178" s="240"/>
      <c r="S178" s="240"/>
      <c r="T178" s="240"/>
      <c r="U178" s="240"/>
      <c r="V178" s="240"/>
      <c r="W178" s="240">
        <v>4825</v>
      </c>
      <c r="X178" s="240"/>
      <c r="Y178" s="240"/>
      <c r="Z178" s="240"/>
      <c r="AA178" s="240"/>
      <c r="AB178" s="240"/>
      <c r="AC178" s="240"/>
      <c r="AD178" s="240"/>
      <c r="AE178" s="240"/>
      <c r="AF178" s="240"/>
      <c r="AG178" s="240"/>
      <c r="AH178" s="240"/>
      <c r="AI178" s="240"/>
      <c r="AJ178" s="240"/>
      <c r="AK178" s="240"/>
      <c r="AL178" s="240"/>
      <c r="AM178" s="240"/>
      <c r="AN178" s="240"/>
      <c r="AO178" s="240"/>
      <c r="AP178" s="240"/>
      <c r="AQ178" s="240"/>
      <c r="AR178" s="240"/>
      <c r="AS178" s="240"/>
      <c r="AT178" s="240"/>
      <c r="AU178" s="240"/>
      <c r="AV178" s="240"/>
      <c r="AW178" s="240"/>
      <c r="AX178" s="240"/>
    </row>
    <row r="179" spans="1:50" s="3" customFormat="1" ht="18" customHeight="1" thickBot="1" x14ac:dyDescent="0.35">
      <c r="A179" s="142" t="s">
        <v>173</v>
      </c>
      <c r="B179" s="145" t="s">
        <v>349</v>
      </c>
      <c r="C179" s="227">
        <v>309778</v>
      </c>
      <c r="D179" s="136"/>
      <c r="E179" s="222">
        <f t="shared" si="6"/>
        <v>309778</v>
      </c>
      <c r="F179" s="187">
        <f t="shared" si="7"/>
        <v>309778</v>
      </c>
      <c r="G179" s="247">
        <f t="shared" si="8"/>
        <v>0</v>
      </c>
      <c r="H179" s="240"/>
      <c r="I179" s="240"/>
      <c r="J179" s="240"/>
      <c r="K179" s="240"/>
      <c r="L179" s="240">
        <v>36364.1</v>
      </c>
      <c r="M179" s="240">
        <v>8356.7000000000007</v>
      </c>
      <c r="N179" s="240">
        <v>13675.68</v>
      </c>
      <c r="O179" s="240"/>
      <c r="P179" s="240"/>
      <c r="Q179" s="240">
        <v>41691.9</v>
      </c>
      <c r="R179" s="240">
        <v>15809.37</v>
      </c>
      <c r="S179" s="240">
        <v>61005.37</v>
      </c>
      <c r="T179" s="240"/>
      <c r="U179" s="240"/>
      <c r="V179" s="240"/>
      <c r="W179" s="240"/>
      <c r="X179" s="240">
        <v>29312.07</v>
      </c>
      <c r="Y179" s="240"/>
      <c r="Z179" s="240">
        <v>103562.81</v>
      </c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  <c r="AN179" s="240"/>
      <c r="AO179" s="240"/>
      <c r="AP179" s="240"/>
      <c r="AQ179" s="240"/>
      <c r="AR179" s="240"/>
      <c r="AS179" s="240"/>
      <c r="AT179" s="240"/>
      <c r="AU179" s="240"/>
      <c r="AV179" s="240"/>
      <c r="AW179" s="240"/>
      <c r="AX179" s="240"/>
    </row>
    <row r="180" spans="1:50" s="3" customFormat="1" ht="18" customHeight="1" thickBot="1" x14ac:dyDescent="0.35">
      <c r="A180" s="142" t="s">
        <v>174</v>
      </c>
      <c r="B180" s="145" t="s">
        <v>562</v>
      </c>
      <c r="C180" s="227">
        <v>10000</v>
      </c>
      <c r="D180" s="136">
        <v>9035</v>
      </c>
      <c r="E180" s="222">
        <v>0</v>
      </c>
      <c r="F180" s="187">
        <f t="shared" si="7"/>
        <v>0</v>
      </c>
      <c r="G180" s="247">
        <f t="shared" si="8"/>
        <v>0</v>
      </c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  <c r="R180" s="240"/>
      <c r="S180" s="240"/>
      <c r="T180" s="240"/>
      <c r="U180" s="240"/>
      <c r="V180" s="240"/>
      <c r="W180" s="240"/>
      <c r="X180" s="240"/>
      <c r="Y180" s="240"/>
      <c r="Z180" s="240"/>
      <c r="AA180" s="240"/>
      <c r="AB180" s="240"/>
      <c r="AC180" s="240"/>
      <c r="AD180" s="240"/>
      <c r="AE180" s="240"/>
      <c r="AF180" s="240"/>
      <c r="AG180" s="240"/>
      <c r="AH180" s="240"/>
      <c r="AI180" s="240"/>
      <c r="AJ180" s="240"/>
      <c r="AK180" s="240"/>
      <c r="AL180" s="240"/>
      <c r="AM180" s="240"/>
      <c r="AN180" s="240"/>
      <c r="AO180" s="240"/>
      <c r="AP180" s="240"/>
      <c r="AQ180" s="240"/>
      <c r="AR180" s="240"/>
      <c r="AS180" s="240"/>
      <c r="AT180" s="240"/>
      <c r="AU180" s="240"/>
      <c r="AV180" s="240"/>
      <c r="AW180" s="240"/>
      <c r="AX180" s="240"/>
    </row>
    <row r="181" spans="1:50" s="3" customFormat="1" ht="18" customHeight="1" thickBot="1" x14ac:dyDescent="0.35">
      <c r="A181" s="142" t="s">
        <v>175</v>
      </c>
      <c r="B181" s="145" t="s">
        <v>563</v>
      </c>
      <c r="C181" s="227">
        <v>28669</v>
      </c>
      <c r="D181" s="136"/>
      <c r="E181" s="222">
        <f t="shared" si="6"/>
        <v>28669</v>
      </c>
      <c r="F181" s="187">
        <f t="shared" si="7"/>
        <v>28669</v>
      </c>
      <c r="G181" s="247">
        <f t="shared" si="8"/>
        <v>0</v>
      </c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  <c r="R181" s="240"/>
      <c r="S181" s="240"/>
      <c r="T181" s="240">
        <v>28669</v>
      </c>
      <c r="U181" s="240"/>
      <c r="V181" s="240"/>
      <c r="W181" s="240"/>
      <c r="X181" s="240"/>
      <c r="Y181" s="240"/>
      <c r="Z181" s="240"/>
      <c r="AA181" s="240"/>
      <c r="AB181" s="240"/>
      <c r="AC181" s="240"/>
      <c r="AD181" s="240"/>
      <c r="AE181" s="240"/>
      <c r="AF181" s="240"/>
      <c r="AG181" s="240"/>
      <c r="AH181" s="240"/>
      <c r="AI181" s="240"/>
      <c r="AJ181" s="240"/>
      <c r="AK181" s="240"/>
      <c r="AL181" s="240"/>
      <c r="AM181" s="240"/>
      <c r="AN181" s="240"/>
      <c r="AO181" s="240"/>
      <c r="AP181" s="240"/>
      <c r="AQ181" s="240"/>
      <c r="AR181" s="240"/>
      <c r="AS181" s="240"/>
      <c r="AT181" s="240"/>
      <c r="AU181" s="240"/>
      <c r="AV181" s="240"/>
      <c r="AW181" s="240"/>
      <c r="AX181" s="240"/>
    </row>
    <row r="182" spans="1:50" s="3" customFormat="1" ht="18" customHeight="1" thickBot="1" x14ac:dyDescent="0.35">
      <c r="A182" s="142" t="s">
        <v>176</v>
      </c>
      <c r="B182" s="145" t="s">
        <v>564</v>
      </c>
      <c r="C182" s="227">
        <v>11203</v>
      </c>
      <c r="D182" s="136"/>
      <c r="E182" s="222">
        <f t="shared" si="6"/>
        <v>11203</v>
      </c>
      <c r="F182" s="187">
        <f t="shared" si="7"/>
        <v>11203</v>
      </c>
      <c r="G182" s="247">
        <f t="shared" si="8"/>
        <v>0</v>
      </c>
      <c r="H182" s="240"/>
      <c r="I182" s="240"/>
      <c r="J182" s="240"/>
      <c r="K182" s="240"/>
      <c r="L182" s="240"/>
      <c r="M182" s="240"/>
      <c r="N182" s="240"/>
      <c r="O182" s="240"/>
      <c r="P182" s="240">
        <v>9588.2999999999993</v>
      </c>
      <c r="Q182" s="240"/>
      <c r="R182" s="240"/>
      <c r="S182" s="240"/>
      <c r="T182" s="240"/>
      <c r="U182" s="240">
        <v>400</v>
      </c>
      <c r="V182" s="240"/>
      <c r="W182" s="240"/>
      <c r="X182" s="240"/>
      <c r="Y182" s="240"/>
      <c r="Z182" s="240"/>
      <c r="AA182" s="240"/>
      <c r="AB182" s="240">
        <v>1214.7</v>
      </c>
      <c r="AC182" s="240"/>
      <c r="AD182" s="240"/>
      <c r="AE182" s="240"/>
      <c r="AF182" s="240"/>
      <c r="AG182" s="240"/>
      <c r="AH182" s="240"/>
      <c r="AI182" s="240"/>
      <c r="AJ182" s="240"/>
      <c r="AK182" s="240"/>
      <c r="AL182" s="240"/>
      <c r="AM182" s="240"/>
      <c r="AN182" s="240"/>
      <c r="AO182" s="240"/>
      <c r="AP182" s="240"/>
      <c r="AQ182" s="240"/>
      <c r="AR182" s="240"/>
      <c r="AS182" s="240"/>
      <c r="AT182" s="240"/>
      <c r="AU182" s="240"/>
      <c r="AV182" s="240"/>
      <c r="AW182" s="240"/>
      <c r="AX182" s="240"/>
    </row>
    <row r="183" spans="1:50" s="3" customFormat="1" ht="18" customHeight="1" thickBot="1" x14ac:dyDescent="0.35">
      <c r="A183" s="142" t="s">
        <v>177</v>
      </c>
      <c r="B183" s="145" t="s">
        <v>565</v>
      </c>
      <c r="C183" s="227">
        <v>10000</v>
      </c>
      <c r="D183" s="136">
        <v>9035</v>
      </c>
      <c r="E183" s="222">
        <v>0</v>
      </c>
      <c r="F183" s="187">
        <f t="shared" si="7"/>
        <v>0</v>
      </c>
      <c r="G183" s="247">
        <f t="shared" si="8"/>
        <v>0</v>
      </c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  <c r="R183" s="240"/>
      <c r="S183" s="240"/>
      <c r="T183" s="240"/>
      <c r="U183" s="240"/>
      <c r="V183" s="240"/>
      <c r="W183" s="240"/>
      <c r="X183" s="240"/>
      <c r="Y183" s="240"/>
      <c r="Z183" s="240"/>
      <c r="AA183" s="240"/>
      <c r="AB183" s="240"/>
      <c r="AC183" s="240"/>
      <c r="AD183" s="240"/>
      <c r="AE183" s="240"/>
      <c r="AF183" s="240"/>
      <c r="AG183" s="240"/>
      <c r="AH183" s="240"/>
      <c r="AI183" s="240"/>
      <c r="AJ183" s="240"/>
      <c r="AK183" s="240"/>
      <c r="AL183" s="240"/>
      <c r="AM183" s="240"/>
      <c r="AN183" s="240"/>
      <c r="AO183" s="240"/>
      <c r="AP183" s="240"/>
      <c r="AQ183" s="240"/>
      <c r="AR183" s="240"/>
      <c r="AS183" s="240"/>
      <c r="AT183" s="240"/>
      <c r="AU183" s="240"/>
      <c r="AV183" s="240"/>
      <c r="AW183" s="240"/>
      <c r="AX183" s="240"/>
    </row>
    <row r="184" spans="1:50" s="3" customFormat="1" ht="18" customHeight="1" thickBot="1" x14ac:dyDescent="0.35">
      <c r="A184" s="142" t="s">
        <v>178</v>
      </c>
      <c r="B184" s="145" t="s">
        <v>566</v>
      </c>
      <c r="C184" s="227">
        <v>0</v>
      </c>
      <c r="D184" s="136">
        <v>9035</v>
      </c>
      <c r="E184" s="222">
        <v>0</v>
      </c>
      <c r="F184" s="187">
        <f t="shared" si="7"/>
        <v>0</v>
      </c>
      <c r="G184" s="247">
        <f t="shared" si="8"/>
        <v>0</v>
      </c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  <c r="R184" s="240"/>
      <c r="S184" s="240"/>
      <c r="T184" s="240"/>
      <c r="U184" s="240"/>
      <c r="V184" s="240"/>
      <c r="W184" s="240"/>
      <c r="X184" s="240"/>
      <c r="Y184" s="240"/>
      <c r="Z184" s="240"/>
      <c r="AA184" s="240"/>
      <c r="AB184" s="240"/>
      <c r="AC184" s="240"/>
      <c r="AD184" s="240"/>
      <c r="AE184" s="240"/>
      <c r="AF184" s="240"/>
      <c r="AG184" s="240"/>
      <c r="AH184" s="240"/>
      <c r="AI184" s="240"/>
      <c r="AJ184" s="240"/>
      <c r="AK184" s="240"/>
      <c r="AL184" s="240"/>
      <c r="AM184" s="240"/>
      <c r="AN184" s="240"/>
      <c r="AO184" s="240"/>
      <c r="AP184" s="240"/>
      <c r="AQ184" s="240"/>
      <c r="AR184" s="240"/>
      <c r="AS184" s="240"/>
      <c r="AT184" s="240"/>
      <c r="AU184" s="240"/>
      <c r="AV184" s="240"/>
      <c r="AW184" s="240"/>
      <c r="AX184" s="240"/>
    </row>
    <row r="185" spans="1:50" s="3" customFormat="1" ht="18" customHeight="1" thickBot="1" x14ac:dyDescent="0.35">
      <c r="A185" s="142" t="s">
        <v>179</v>
      </c>
      <c r="B185" s="145" t="s">
        <v>567</v>
      </c>
      <c r="C185" s="227">
        <v>10000</v>
      </c>
      <c r="D185" s="136">
        <v>9035</v>
      </c>
      <c r="E185" s="222">
        <v>0</v>
      </c>
      <c r="F185" s="187">
        <f t="shared" si="7"/>
        <v>0</v>
      </c>
      <c r="G185" s="247">
        <f t="shared" si="8"/>
        <v>0</v>
      </c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  <c r="R185" s="240"/>
      <c r="S185" s="240"/>
      <c r="T185" s="240"/>
      <c r="U185" s="240"/>
      <c r="V185" s="240"/>
      <c r="W185" s="240"/>
      <c r="X185" s="240"/>
      <c r="Y185" s="240"/>
      <c r="Z185" s="240"/>
      <c r="AA185" s="240"/>
      <c r="AB185" s="240"/>
      <c r="AC185" s="240"/>
      <c r="AD185" s="240"/>
      <c r="AE185" s="240"/>
      <c r="AF185" s="240"/>
      <c r="AG185" s="240"/>
      <c r="AH185" s="240"/>
      <c r="AI185" s="240"/>
      <c r="AJ185" s="240"/>
      <c r="AK185" s="240"/>
      <c r="AL185" s="240"/>
      <c r="AM185" s="240"/>
      <c r="AN185" s="240"/>
      <c r="AO185" s="240"/>
      <c r="AP185" s="240"/>
      <c r="AQ185" s="240"/>
      <c r="AR185" s="240"/>
      <c r="AS185" s="240"/>
      <c r="AT185" s="240"/>
      <c r="AU185" s="240"/>
      <c r="AV185" s="240"/>
      <c r="AW185" s="240"/>
      <c r="AX185" s="240"/>
    </row>
    <row r="186" spans="1:50" s="3" customFormat="1" ht="18" customHeight="1" thickBot="1" x14ac:dyDescent="0.35">
      <c r="A186" s="142" t="s">
        <v>180</v>
      </c>
      <c r="B186" s="145" t="s">
        <v>356</v>
      </c>
      <c r="C186" s="227">
        <v>10778</v>
      </c>
      <c r="D186" s="136"/>
      <c r="E186" s="222">
        <f t="shared" si="6"/>
        <v>10778</v>
      </c>
      <c r="F186" s="187">
        <f t="shared" si="7"/>
        <v>10778</v>
      </c>
      <c r="G186" s="247">
        <f t="shared" si="8"/>
        <v>0</v>
      </c>
      <c r="H186" s="240"/>
      <c r="I186" s="240"/>
      <c r="J186" s="240"/>
      <c r="K186" s="240"/>
      <c r="L186" s="240"/>
      <c r="M186" s="240"/>
      <c r="N186" s="240"/>
      <c r="O186" s="240"/>
      <c r="P186" s="240">
        <v>248.74</v>
      </c>
      <c r="Q186" s="240"/>
      <c r="R186" s="240"/>
      <c r="S186" s="240">
        <v>6417.64</v>
      </c>
      <c r="T186" s="269"/>
      <c r="U186" s="240"/>
      <c r="V186" s="240"/>
      <c r="W186" s="240"/>
      <c r="X186" s="240"/>
      <c r="Y186" s="240"/>
      <c r="Z186" s="240"/>
      <c r="AA186" s="240"/>
      <c r="AB186" s="240">
        <v>4111.62</v>
      </c>
      <c r="AC186" s="240"/>
      <c r="AD186" s="240"/>
      <c r="AE186" s="240"/>
      <c r="AF186" s="240"/>
      <c r="AG186" s="240"/>
      <c r="AH186" s="240"/>
      <c r="AI186" s="240"/>
      <c r="AJ186" s="240"/>
      <c r="AK186" s="240"/>
      <c r="AL186" s="240"/>
      <c r="AM186" s="240"/>
      <c r="AN186" s="240"/>
      <c r="AO186" s="240"/>
      <c r="AP186" s="240"/>
      <c r="AQ186" s="240"/>
      <c r="AR186" s="240"/>
      <c r="AS186" s="240"/>
      <c r="AT186" s="240"/>
      <c r="AU186" s="240"/>
      <c r="AV186" s="240"/>
      <c r="AW186" s="240"/>
      <c r="AX186" s="240"/>
    </row>
    <row r="187" spans="1:50" s="3" customFormat="1" ht="18" customHeight="1" thickBot="1" x14ac:dyDescent="0.35">
      <c r="A187" s="142" t="s">
        <v>181</v>
      </c>
      <c r="B187" s="145" t="s">
        <v>357</v>
      </c>
      <c r="C187" s="227">
        <v>10000</v>
      </c>
      <c r="D187" s="136"/>
      <c r="E187" s="222">
        <f t="shared" si="6"/>
        <v>10000</v>
      </c>
      <c r="F187" s="187">
        <f t="shared" si="7"/>
        <v>10000</v>
      </c>
      <c r="G187" s="247">
        <f t="shared" si="8"/>
        <v>0</v>
      </c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  <c r="R187" s="240"/>
      <c r="S187" s="240">
        <v>10000</v>
      </c>
      <c r="T187" s="265"/>
      <c r="U187" s="240"/>
      <c r="V187" s="240"/>
      <c r="W187" s="240"/>
      <c r="X187" s="240"/>
      <c r="Y187" s="240"/>
      <c r="Z187" s="240"/>
      <c r="AA187" s="240"/>
      <c r="AB187" s="240"/>
      <c r="AC187" s="240"/>
      <c r="AD187" s="240"/>
      <c r="AE187" s="240"/>
      <c r="AF187" s="240"/>
      <c r="AG187" s="240"/>
      <c r="AH187" s="240"/>
      <c r="AI187" s="240"/>
      <c r="AJ187" s="240"/>
      <c r="AK187" s="240"/>
      <c r="AL187" s="240"/>
      <c r="AM187" s="240"/>
      <c r="AN187" s="240"/>
      <c r="AO187" s="240"/>
      <c r="AP187" s="240"/>
      <c r="AQ187" s="240"/>
      <c r="AR187" s="240"/>
      <c r="AS187" s="240"/>
      <c r="AT187" s="240"/>
      <c r="AU187" s="240"/>
      <c r="AV187" s="240"/>
      <c r="AW187" s="240"/>
      <c r="AX187" s="240"/>
    </row>
    <row r="188" spans="1:50" s="3" customFormat="1" ht="18" customHeight="1" thickBot="1" x14ac:dyDescent="0.35">
      <c r="A188" s="142" t="s">
        <v>182</v>
      </c>
      <c r="B188" s="145" t="s">
        <v>358</v>
      </c>
      <c r="C188" s="227">
        <v>10000</v>
      </c>
      <c r="D188" s="136">
        <v>9025</v>
      </c>
      <c r="E188" s="222">
        <v>0</v>
      </c>
      <c r="F188" s="187">
        <f t="shared" si="7"/>
        <v>0</v>
      </c>
      <c r="G188" s="247">
        <f t="shared" si="8"/>
        <v>0</v>
      </c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  <c r="R188" s="240"/>
      <c r="S188" s="240"/>
      <c r="T188" s="240"/>
      <c r="U188" s="240"/>
      <c r="V188" s="240"/>
      <c r="W188" s="240"/>
      <c r="X188" s="240"/>
      <c r="Y188" s="240"/>
      <c r="Z188" s="240"/>
      <c r="AA188" s="240"/>
      <c r="AB188" s="240"/>
      <c r="AC188" s="240"/>
      <c r="AD188" s="240"/>
      <c r="AE188" s="240"/>
      <c r="AF188" s="240"/>
      <c r="AG188" s="240"/>
      <c r="AH188" s="240"/>
      <c r="AI188" s="240"/>
      <c r="AJ188" s="240"/>
      <c r="AK188" s="240"/>
      <c r="AL188" s="240"/>
      <c r="AM188" s="240"/>
      <c r="AN188" s="240"/>
      <c r="AO188" s="240"/>
      <c r="AP188" s="240"/>
      <c r="AQ188" s="240"/>
      <c r="AR188" s="240"/>
      <c r="AS188" s="240"/>
      <c r="AT188" s="240"/>
      <c r="AU188" s="240"/>
      <c r="AV188" s="240"/>
      <c r="AW188" s="240"/>
      <c r="AX188" s="240"/>
    </row>
    <row r="189" spans="1:50" s="3" customFormat="1" ht="18" customHeight="1" thickBot="1" x14ac:dyDescent="0.35">
      <c r="A189" s="142" t="s">
        <v>183</v>
      </c>
      <c r="B189" s="145" t="s">
        <v>359</v>
      </c>
      <c r="C189" s="227">
        <v>10000</v>
      </c>
      <c r="D189" s="136">
        <v>9025</v>
      </c>
      <c r="E189" s="222">
        <v>0</v>
      </c>
      <c r="F189" s="187">
        <f t="shared" si="7"/>
        <v>0</v>
      </c>
      <c r="G189" s="247">
        <f t="shared" si="8"/>
        <v>0</v>
      </c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  <c r="R189" s="240"/>
      <c r="S189" s="240"/>
      <c r="T189" s="240"/>
      <c r="U189" s="240"/>
      <c r="V189" s="240"/>
      <c r="W189" s="240"/>
      <c r="X189" s="240"/>
      <c r="Y189" s="240"/>
      <c r="Z189" s="240"/>
      <c r="AA189" s="240"/>
      <c r="AB189" s="240"/>
      <c r="AC189" s="240"/>
      <c r="AD189" s="240"/>
      <c r="AE189" s="240"/>
      <c r="AF189" s="240"/>
      <c r="AG189" s="240"/>
      <c r="AH189" s="240"/>
      <c r="AI189" s="240"/>
      <c r="AJ189" s="240"/>
      <c r="AK189" s="240"/>
      <c r="AL189" s="240"/>
      <c r="AM189" s="240"/>
      <c r="AN189" s="240"/>
      <c r="AO189" s="240"/>
      <c r="AP189" s="240"/>
      <c r="AQ189" s="240"/>
      <c r="AR189" s="240"/>
      <c r="AS189" s="240"/>
      <c r="AT189" s="240"/>
      <c r="AU189" s="240"/>
      <c r="AV189" s="240"/>
      <c r="AW189" s="240"/>
      <c r="AX189" s="240"/>
    </row>
    <row r="190" spans="1:50" ht="18" customHeight="1" thickBot="1" x14ac:dyDescent="0.3">
      <c r="A190" s="142" t="s">
        <v>402</v>
      </c>
      <c r="B190" s="145" t="s">
        <v>571</v>
      </c>
      <c r="C190" s="227">
        <v>134042</v>
      </c>
      <c r="D190" s="136"/>
      <c r="E190" s="222">
        <f>C190</f>
        <v>134042</v>
      </c>
      <c r="F190" s="187">
        <f t="shared" si="7"/>
        <v>134042</v>
      </c>
      <c r="G190" s="247">
        <f t="shared" si="8"/>
        <v>0</v>
      </c>
      <c r="H190" s="240"/>
      <c r="I190" s="240"/>
      <c r="J190" s="240"/>
      <c r="K190" s="240"/>
      <c r="L190" s="240"/>
      <c r="M190" s="240"/>
      <c r="N190" s="240">
        <v>6377</v>
      </c>
      <c r="O190" s="240">
        <v>9785</v>
      </c>
      <c r="P190" s="240">
        <v>25366</v>
      </c>
      <c r="Q190" s="240">
        <v>9785</v>
      </c>
      <c r="R190" s="240">
        <v>7740</v>
      </c>
      <c r="S190" s="281"/>
      <c r="T190" s="240"/>
      <c r="U190" s="240">
        <v>17212</v>
      </c>
      <c r="V190" s="240"/>
      <c r="W190" s="240"/>
      <c r="X190" s="240"/>
      <c r="Y190" s="240"/>
      <c r="Z190" s="240"/>
      <c r="AA190" s="240">
        <v>57777</v>
      </c>
      <c r="AB190" s="240"/>
      <c r="AC190" s="240"/>
      <c r="AD190" s="240"/>
      <c r="AE190" s="240"/>
      <c r="AF190" s="240"/>
      <c r="AG190" s="240"/>
      <c r="AH190" s="240"/>
      <c r="AI190" s="240"/>
      <c r="AJ190" s="240"/>
      <c r="AK190" s="240"/>
      <c r="AL190" s="240"/>
      <c r="AM190" s="240"/>
      <c r="AN190" s="240"/>
      <c r="AO190" s="240"/>
      <c r="AP190" s="240"/>
      <c r="AQ190" s="240"/>
      <c r="AR190" s="240"/>
      <c r="AS190" s="240"/>
      <c r="AT190" s="240"/>
      <c r="AU190" s="240"/>
      <c r="AV190" s="240"/>
      <c r="AW190" s="240"/>
      <c r="AX190" s="240"/>
    </row>
    <row r="191" spans="1:50" ht="16.5" thickBot="1" x14ac:dyDescent="0.3">
      <c r="A191" s="142" t="s">
        <v>362</v>
      </c>
      <c r="B191" s="145" t="s">
        <v>607</v>
      </c>
      <c r="C191" s="227">
        <v>10000</v>
      </c>
      <c r="D191" s="136"/>
      <c r="E191" s="222">
        <f>C191</f>
        <v>10000</v>
      </c>
      <c r="F191" s="187">
        <f t="shared" si="7"/>
        <v>10000</v>
      </c>
      <c r="G191" s="247">
        <f t="shared" si="8"/>
        <v>0</v>
      </c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  <c r="R191" s="240"/>
      <c r="S191" s="240"/>
      <c r="T191" s="265">
        <v>10000</v>
      </c>
      <c r="U191" s="240"/>
      <c r="V191" s="240"/>
      <c r="W191" s="240"/>
      <c r="X191" s="240"/>
      <c r="Y191" s="240"/>
      <c r="Z191" s="240"/>
      <c r="AA191" s="240"/>
      <c r="AB191" s="240"/>
      <c r="AC191" s="240"/>
      <c r="AD191" s="240"/>
      <c r="AE191" s="240"/>
      <c r="AF191" s="240"/>
      <c r="AG191" s="240"/>
      <c r="AH191" s="240"/>
      <c r="AI191" s="240"/>
      <c r="AJ191" s="240"/>
      <c r="AK191" s="240"/>
      <c r="AL191" s="240"/>
      <c r="AM191" s="240"/>
      <c r="AN191" s="240"/>
      <c r="AO191" s="240"/>
      <c r="AP191" s="240"/>
      <c r="AQ191" s="240"/>
      <c r="AR191" s="240"/>
      <c r="AS191" s="240"/>
      <c r="AT191" s="240"/>
      <c r="AU191" s="240"/>
      <c r="AV191" s="240"/>
      <c r="AW191" s="240"/>
      <c r="AX191" s="240"/>
    </row>
    <row r="192" spans="1:50" ht="16.5" thickBot="1" x14ac:dyDescent="0.3">
      <c r="A192" s="142" t="s">
        <v>370</v>
      </c>
      <c r="B192" s="145" t="s">
        <v>374</v>
      </c>
      <c r="C192" s="227">
        <v>0</v>
      </c>
      <c r="D192" s="136"/>
      <c r="E192" s="222">
        <v>192141</v>
      </c>
      <c r="F192" s="187">
        <f t="shared" si="7"/>
        <v>192141.00000000003</v>
      </c>
      <c r="G192" s="247">
        <f t="shared" si="8"/>
        <v>0</v>
      </c>
      <c r="H192" s="240"/>
      <c r="I192" s="240"/>
      <c r="J192" s="240"/>
      <c r="K192" s="240"/>
      <c r="L192" s="240">
        <v>48017.88</v>
      </c>
      <c r="M192" s="240">
        <v>10000</v>
      </c>
      <c r="N192" s="240">
        <v>10000</v>
      </c>
      <c r="O192" s="240">
        <v>33533.480000000003</v>
      </c>
      <c r="P192" s="240">
        <v>3286.65</v>
      </c>
      <c r="Q192" s="240">
        <v>24936</v>
      </c>
      <c r="R192" s="240">
        <v>20248.97</v>
      </c>
      <c r="S192" s="266">
        <v>19666.2</v>
      </c>
      <c r="T192" s="270">
        <v>22451.82</v>
      </c>
      <c r="U192" s="267"/>
      <c r="V192" s="240"/>
      <c r="W192" s="240"/>
      <c r="X192" s="240"/>
      <c r="Y192" s="240"/>
      <c r="Z192" s="240"/>
      <c r="AA192" s="240"/>
      <c r="AB192" s="240"/>
      <c r="AC192" s="240"/>
      <c r="AD192" s="240"/>
      <c r="AE192" s="240"/>
      <c r="AF192" s="240"/>
      <c r="AG192" s="240"/>
      <c r="AH192" s="240"/>
      <c r="AI192" s="240"/>
      <c r="AJ192" s="240"/>
      <c r="AK192" s="240"/>
      <c r="AL192" s="240"/>
      <c r="AM192" s="240"/>
      <c r="AN192" s="240"/>
      <c r="AO192" s="240"/>
      <c r="AP192" s="240"/>
      <c r="AQ192" s="240"/>
      <c r="AR192" s="240"/>
      <c r="AS192" s="240"/>
      <c r="AT192" s="240"/>
      <c r="AU192" s="240"/>
      <c r="AV192" s="240"/>
      <c r="AW192" s="240"/>
      <c r="AX192" s="240"/>
    </row>
    <row r="193" spans="1:50" ht="16.5" thickBot="1" x14ac:dyDescent="0.3">
      <c r="A193" s="142" t="s">
        <v>371</v>
      </c>
      <c r="B193" s="145" t="s">
        <v>608</v>
      </c>
      <c r="C193" s="227">
        <v>0</v>
      </c>
      <c r="D193" s="136"/>
      <c r="E193" s="222">
        <v>116918</v>
      </c>
      <c r="F193" s="187">
        <f t="shared" si="7"/>
        <v>116918</v>
      </c>
      <c r="G193" s="247">
        <f t="shared" si="8"/>
        <v>0</v>
      </c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  <c r="R193" s="240"/>
      <c r="S193" s="266"/>
      <c r="T193" s="268"/>
      <c r="U193" s="267">
        <v>11274</v>
      </c>
      <c r="V193" s="240">
        <v>7379</v>
      </c>
      <c r="W193" s="240">
        <v>10846</v>
      </c>
      <c r="X193" s="240">
        <v>6445</v>
      </c>
      <c r="Y193" s="240">
        <v>14348</v>
      </c>
      <c r="Z193" s="240">
        <v>22371</v>
      </c>
      <c r="AA193" s="240">
        <v>22387</v>
      </c>
      <c r="AB193" s="240">
        <v>6242</v>
      </c>
      <c r="AC193" s="240">
        <v>4740</v>
      </c>
      <c r="AD193" s="240">
        <v>9777</v>
      </c>
      <c r="AE193" s="240">
        <v>1109</v>
      </c>
      <c r="AF193" s="240"/>
      <c r="AG193" s="240"/>
      <c r="AH193" s="240"/>
      <c r="AI193" s="240"/>
      <c r="AJ193" s="240"/>
      <c r="AK193" s="240"/>
      <c r="AL193" s="240"/>
      <c r="AM193" s="240"/>
      <c r="AN193" s="240"/>
      <c r="AO193" s="240"/>
      <c r="AP193" s="240"/>
      <c r="AQ193" s="240"/>
      <c r="AR193" s="240"/>
      <c r="AS193" s="240"/>
      <c r="AT193" s="240"/>
      <c r="AU193" s="240"/>
      <c r="AV193" s="240"/>
      <c r="AW193" s="240"/>
      <c r="AX193" s="240"/>
    </row>
    <row r="194" spans="1:50" s="165" customFormat="1" ht="16.5" thickBot="1" x14ac:dyDescent="0.3">
      <c r="A194" s="142" t="s">
        <v>372</v>
      </c>
      <c r="B194" s="145" t="s">
        <v>376</v>
      </c>
      <c r="C194" s="227">
        <v>0</v>
      </c>
      <c r="D194" s="136"/>
      <c r="E194" s="222">
        <v>90000</v>
      </c>
      <c r="F194" s="187">
        <f t="shared" si="7"/>
        <v>90000.000000000015</v>
      </c>
      <c r="G194" s="247">
        <f t="shared" si="8"/>
        <v>0</v>
      </c>
      <c r="H194" s="240"/>
      <c r="I194" s="240"/>
      <c r="J194" s="240"/>
      <c r="K194" s="240">
        <v>15528.57</v>
      </c>
      <c r="L194" s="240">
        <v>-15528.57</v>
      </c>
      <c r="M194" s="240">
        <v>2305.64</v>
      </c>
      <c r="N194" s="240"/>
      <c r="O194" s="240">
        <f>3206.06+3206.05</f>
        <v>6412.1100000000006</v>
      </c>
      <c r="P194" s="240">
        <v>20006.05</v>
      </c>
      <c r="Q194" s="240">
        <v>3206.05</v>
      </c>
      <c r="R194" s="240">
        <v>25751.06</v>
      </c>
      <c r="S194" s="266">
        <v>3206.05</v>
      </c>
      <c r="T194" s="271">
        <v>4491.3</v>
      </c>
      <c r="U194" s="267">
        <v>3499.6</v>
      </c>
      <c r="V194" s="240"/>
      <c r="W194" s="240">
        <v>2700.92</v>
      </c>
      <c r="X194" s="240"/>
      <c r="Y194" s="240"/>
      <c r="Z194" s="240"/>
      <c r="AA194" s="240">
        <v>11900.16</v>
      </c>
      <c r="AB194" s="240">
        <v>6521.06</v>
      </c>
      <c r="AC194" s="240"/>
      <c r="AD194" s="240"/>
      <c r="AE194" s="240"/>
      <c r="AF194" s="240"/>
      <c r="AG194" s="240"/>
      <c r="AH194" s="240"/>
      <c r="AI194" s="240"/>
      <c r="AJ194" s="240"/>
      <c r="AK194" s="240"/>
      <c r="AL194" s="240"/>
      <c r="AM194" s="240"/>
      <c r="AN194" s="240"/>
      <c r="AO194" s="240"/>
      <c r="AP194" s="240"/>
      <c r="AQ194" s="240"/>
      <c r="AR194" s="240"/>
      <c r="AS194" s="240"/>
      <c r="AT194" s="240"/>
      <c r="AU194" s="240"/>
      <c r="AV194" s="240"/>
      <c r="AW194" s="240"/>
      <c r="AX194" s="240"/>
    </row>
    <row r="195" spans="1:50" x14ac:dyDescent="0.25">
      <c r="B195" s="133"/>
      <c r="C195" s="228"/>
      <c r="D195" s="133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6"/>
      <c r="Q195" s="232"/>
      <c r="R195" s="231"/>
      <c r="S195" s="258"/>
      <c r="T195" s="231"/>
      <c r="U195" s="231"/>
      <c r="V195" s="231"/>
      <c r="W195" s="231"/>
      <c r="X195" s="231"/>
      <c r="Y195" s="231"/>
      <c r="Z195" s="231"/>
      <c r="AA195" s="231"/>
      <c r="AB195" s="231"/>
      <c r="AC195" s="231"/>
      <c r="AD195" s="231"/>
      <c r="AE195" s="231"/>
      <c r="AF195" s="231"/>
      <c r="AG195" s="231"/>
      <c r="AH195" s="231"/>
      <c r="AI195" s="231"/>
      <c r="AJ195" s="231"/>
      <c r="AK195" s="231"/>
      <c r="AL195" s="231"/>
      <c r="AM195" s="231"/>
      <c r="AN195" s="231"/>
      <c r="AO195" s="231"/>
      <c r="AP195" s="231"/>
      <c r="AQ195" s="231"/>
      <c r="AR195" s="231"/>
      <c r="AS195" s="231"/>
      <c r="AT195" s="231"/>
      <c r="AU195" s="231"/>
      <c r="AV195" s="231"/>
      <c r="AW195" s="231"/>
      <c r="AX195" s="231"/>
    </row>
    <row r="196" spans="1:50" x14ac:dyDescent="0.25">
      <c r="A196" s="175" t="s">
        <v>618</v>
      </c>
      <c r="B196" s="176"/>
      <c r="C196" s="229">
        <f>SUM(C12:C194)</f>
        <v>10524944</v>
      </c>
      <c r="D196" s="176"/>
      <c r="E196" s="233">
        <f>SUM(E12:E194)</f>
        <v>10524944</v>
      </c>
      <c r="F196" s="234">
        <f>SUM(F12:F194)</f>
        <v>10500698.48</v>
      </c>
      <c r="G196" s="234">
        <f>SUM(G12:G194)</f>
        <v>24245.519999999997</v>
      </c>
      <c r="H196" s="234">
        <f t="shared" ref="H196:AX196" si="9">SUM(H12:H195)</f>
        <v>0</v>
      </c>
      <c r="I196" s="234">
        <f t="shared" si="9"/>
        <v>0</v>
      </c>
      <c r="J196" s="234">
        <f t="shared" si="9"/>
        <v>4137</v>
      </c>
      <c r="K196" s="234">
        <f t="shared" si="9"/>
        <v>41504.86</v>
      </c>
      <c r="L196" s="234">
        <f t="shared" si="9"/>
        <v>88609.539999999979</v>
      </c>
      <c r="M196" s="234">
        <f t="shared" si="9"/>
        <v>68139.05</v>
      </c>
      <c r="N196" s="234">
        <f>SUM(N12:N195)</f>
        <v>243678.02</v>
      </c>
      <c r="O196" s="234">
        <f t="shared" si="9"/>
        <v>442889.36999999994</v>
      </c>
      <c r="P196" s="237">
        <f t="shared" si="9"/>
        <v>345087.1</v>
      </c>
      <c r="Q196" s="234">
        <f t="shared" si="9"/>
        <v>438696.00000000006</v>
      </c>
      <c r="R196" s="234">
        <f t="shared" si="9"/>
        <v>518931.08</v>
      </c>
      <c r="S196" s="259">
        <f t="shared" si="9"/>
        <v>1151544.26</v>
      </c>
      <c r="T196" s="234">
        <f t="shared" si="9"/>
        <v>249067.84000000003</v>
      </c>
      <c r="U196" s="234">
        <f t="shared" si="9"/>
        <v>341334.27</v>
      </c>
      <c r="V196" s="234">
        <f t="shared" si="9"/>
        <v>530561.55999999994</v>
      </c>
      <c r="W196" s="234">
        <f t="shared" si="9"/>
        <v>261216.62000000002</v>
      </c>
      <c r="X196" s="234">
        <f t="shared" si="9"/>
        <v>539138.79999999993</v>
      </c>
      <c r="Y196" s="234">
        <f t="shared" si="9"/>
        <v>392252.49</v>
      </c>
      <c r="Z196" s="234">
        <f t="shared" si="9"/>
        <v>508076.75999999995</v>
      </c>
      <c r="AA196" s="234">
        <f t="shared" si="9"/>
        <v>439088.69999999995</v>
      </c>
      <c r="AB196" s="234">
        <f t="shared" si="9"/>
        <v>310562.15999999997</v>
      </c>
      <c r="AC196" s="234">
        <f t="shared" si="9"/>
        <v>1178270.1100000001</v>
      </c>
      <c r="AD196" s="234">
        <f t="shared" si="9"/>
        <v>367718.92000000004</v>
      </c>
      <c r="AE196" s="234">
        <f t="shared" si="9"/>
        <v>276311.13999999996</v>
      </c>
      <c r="AF196" s="234">
        <f t="shared" si="9"/>
        <v>643930.98999999987</v>
      </c>
      <c r="AG196" s="234">
        <f t="shared" si="9"/>
        <v>16017.71</v>
      </c>
      <c r="AH196" s="234">
        <f t="shared" si="9"/>
        <v>108158.31999999999</v>
      </c>
      <c r="AI196" s="234">
        <f t="shared" si="9"/>
        <v>790388.49</v>
      </c>
      <c r="AJ196" s="234">
        <f t="shared" si="9"/>
        <v>25721.75</v>
      </c>
      <c r="AK196" s="234">
        <f t="shared" si="9"/>
        <v>1796.7400000000002</v>
      </c>
      <c r="AL196" s="234">
        <f t="shared" si="9"/>
        <v>0</v>
      </c>
      <c r="AM196" s="234">
        <f t="shared" si="9"/>
        <v>33720.54</v>
      </c>
      <c r="AN196" s="234">
        <f t="shared" si="9"/>
        <v>0</v>
      </c>
      <c r="AO196" s="234">
        <f t="shared" si="9"/>
        <v>3030.49</v>
      </c>
      <c r="AP196" s="234">
        <f t="shared" si="9"/>
        <v>42955.02</v>
      </c>
      <c r="AQ196" s="234">
        <f t="shared" si="9"/>
        <v>33196.39</v>
      </c>
      <c r="AR196" s="234">
        <f t="shared" si="9"/>
        <v>26399.200000000001</v>
      </c>
      <c r="AS196" s="234">
        <f t="shared" si="9"/>
        <v>12668.28</v>
      </c>
      <c r="AT196" s="234">
        <f t="shared" si="9"/>
        <v>25898.91</v>
      </c>
      <c r="AU196" s="234"/>
      <c r="AV196" s="234"/>
      <c r="AW196" s="234">
        <f t="shared" si="9"/>
        <v>0</v>
      </c>
      <c r="AX196" s="234">
        <f t="shared" si="9"/>
        <v>0</v>
      </c>
    </row>
    <row r="197" spans="1:50" x14ac:dyDescent="0.25">
      <c r="B197" s="133"/>
      <c r="C197" s="170"/>
      <c r="D197" s="133"/>
      <c r="E197" s="170"/>
    </row>
    <row r="198" spans="1:50" x14ac:dyDescent="0.25">
      <c r="B198" s="133"/>
      <c r="C198" s="170"/>
      <c r="D198" s="133"/>
      <c r="E198" s="170"/>
    </row>
    <row r="199" spans="1:50" x14ac:dyDescent="0.25">
      <c r="B199" s="133"/>
      <c r="C199" s="170"/>
      <c r="D199" s="133"/>
      <c r="E199" s="170"/>
      <c r="N199" s="177"/>
      <c r="R199" s="231"/>
      <c r="S199" s="258"/>
      <c r="T199" s="231"/>
      <c r="U199" s="231">
        <f>U196-U190</f>
        <v>324122.27</v>
      </c>
    </row>
    <row r="200" spans="1:50" x14ac:dyDescent="0.25">
      <c r="B200" s="133"/>
      <c r="C200" s="170"/>
      <c r="D200" s="133"/>
      <c r="E200" s="170"/>
      <c r="T200" s="231"/>
    </row>
    <row r="201" spans="1:50" x14ac:dyDescent="0.25">
      <c r="B201" s="133"/>
      <c r="C201" s="170"/>
      <c r="D201" s="133"/>
      <c r="E201" s="170"/>
    </row>
    <row r="202" spans="1:50" x14ac:dyDescent="0.25">
      <c r="B202" s="133"/>
      <c r="C202" s="170"/>
      <c r="D202" s="133"/>
      <c r="E202" s="170"/>
      <c r="T202" s="231"/>
    </row>
    <row r="203" spans="1:50" x14ac:dyDescent="0.25">
      <c r="B203" s="133"/>
      <c r="C203" s="170"/>
      <c r="D203" s="133"/>
      <c r="E203" s="170"/>
      <c r="M203" s="177"/>
    </row>
    <row r="204" spans="1:50" x14ac:dyDescent="0.25">
      <c r="B204" s="133"/>
      <c r="C204" s="170"/>
      <c r="D204" s="133"/>
      <c r="E204" s="170"/>
    </row>
    <row r="205" spans="1:50" x14ac:dyDescent="0.25">
      <c r="B205" s="133"/>
      <c r="C205" s="170"/>
      <c r="D205" s="133"/>
      <c r="E205" s="170"/>
    </row>
    <row r="206" spans="1:50" x14ac:dyDescent="0.25">
      <c r="B206" s="133"/>
      <c r="C206" s="170"/>
      <c r="D206" s="133"/>
      <c r="E206" s="170"/>
    </row>
    <row r="207" spans="1:50" x14ac:dyDescent="0.25">
      <c r="B207" s="133"/>
      <c r="C207" s="170"/>
      <c r="D207" s="133"/>
      <c r="E207" s="170"/>
    </row>
    <row r="208" spans="1:50" x14ac:dyDescent="0.25">
      <c r="B208" s="133"/>
      <c r="C208" s="170"/>
      <c r="D208" s="133"/>
      <c r="E208" s="170"/>
    </row>
    <row r="209" spans="2:5" x14ac:dyDescent="0.25">
      <c r="B209" s="133"/>
      <c r="C209" s="170"/>
      <c r="D209" s="133"/>
      <c r="E209" s="170"/>
    </row>
    <row r="210" spans="2:5" x14ac:dyDescent="0.25">
      <c r="B210" s="133"/>
      <c r="C210" s="170"/>
      <c r="D210" s="133"/>
      <c r="E210" s="170"/>
    </row>
    <row r="211" spans="2:5" x14ac:dyDescent="0.25">
      <c r="B211" s="133"/>
      <c r="C211" s="170"/>
      <c r="D211" s="133"/>
      <c r="E211" s="170"/>
    </row>
    <row r="212" spans="2:5" x14ac:dyDescent="0.25">
      <c r="B212" s="133"/>
      <c r="C212" s="170"/>
      <c r="D212" s="133"/>
      <c r="E212" s="170"/>
    </row>
    <row r="213" spans="2:5" x14ac:dyDescent="0.25">
      <c r="B213" s="133"/>
      <c r="C213" s="170"/>
      <c r="D213" s="133"/>
      <c r="E213" s="170"/>
    </row>
    <row r="214" spans="2:5" x14ac:dyDescent="0.25">
      <c r="B214" s="133"/>
      <c r="C214" s="170"/>
      <c r="D214" s="133"/>
      <c r="E214" s="170"/>
    </row>
    <row r="215" spans="2:5" x14ac:dyDescent="0.25">
      <c r="B215" s="133"/>
      <c r="C215" s="170"/>
      <c r="D215" s="133"/>
      <c r="E215" s="170"/>
    </row>
    <row r="216" spans="2:5" x14ac:dyDescent="0.25">
      <c r="B216" s="133"/>
      <c r="C216" s="170"/>
      <c r="D216" s="133"/>
      <c r="E216" s="170"/>
    </row>
    <row r="217" spans="2:5" x14ac:dyDescent="0.25">
      <c r="B217" s="133"/>
      <c r="C217" s="170"/>
      <c r="D217" s="133"/>
      <c r="E217" s="170"/>
    </row>
    <row r="218" spans="2:5" x14ac:dyDescent="0.25">
      <c r="B218" s="133"/>
      <c r="C218" s="170"/>
      <c r="D218" s="133"/>
      <c r="E218" s="170"/>
    </row>
    <row r="219" spans="2:5" x14ac:dyDescent="0.25">
      <c r="B219" s="133"/>
      <c r="C219" s="170"/>
      <c r="D219" s="133"/>
      <c r="E219" s="170"/>
    </row>
    <row r="220" spans="2:5" x14ac:dyDescent="0.25">
      <c r="B220" s="133"/>
      <c r="C220" s="170"/>
      <c r="D220" s="133"/>
      <c r="E220" s="170"/>
    </row>
    <row r="221" spans="2:5" x14ac:dyDescent="0.25">
      <c r="B221" s="133"/>
      <c r="C221" s="170"/>
      <c r="D221" s="133"/>
      <c r="E221" s="170"/>
    </row>
    <row r="222" spans="2:5" x14ac:dyDescent="0.25">
      <c r="B222" s="133"/>
      <c r="C222" s="170"/>
      <c r="D222" s="133"/>
      <c r="E222" s="170"/>
    </row>
    <row r="223" spans="2:5" x14ac:dyDescent="0.25">
      <c r="B223" s="133"/>
      <c r="C223" s="170"/>
      <c r="D223" s="133"/>
      <c r="E223" s="170"/>
    </row>
    <row r="224" spans="2:5" x14ac:dyDescent="0.25">
      <c r="B224" s="133"/>
      <c r="C224" s="170"/>
      <c r="D224" s="133"/>
      <c r="E224" s="170"/>
    </row>
    <row r="225" spans="2:5" x14ac:dyDescent="0.25">
      <c r="B225" s="133"/>
      <c r="C225" s="170"/>
      <c r="D225" s="133"/>
      <c r="E225" s="170"/>
    </row>
    <row r="226" spans="2:5" x14ac:dyDescent="0.25">
      <c r="B226" s="133"/>
      <c r="C226" s="170"/>
      <c r="D226" s="133"/>
      <c r="E226" s="170"/>
    </row>
    <row r="227" spans="2:5" x14ac:dyDescent="0.25">
      <c r="B227" s="133"/>
      <c r="C227" s="170"/>
      <c r="D227" s="133"/>
      <c r="E227" s="170"/>
    </row>
    <row r="228" spans="2:5" x14ac:dyDescent="0.25">
      <c r="B228" s="133"/>
      <c r="C228" s="170"/>
      <c r="D228" s="133"/>
      <c r="E228" s="170"/>
    </row>
    <row r="229" spans="2:5" x14ac:dyDescent="0.25">
      <c r="B229" s="133"/>
      <c r="C229" s="170"/>
      <c r="D229" s="133"/>
      <c r="E229" s="170"/>
    </row>
    <row r="230" spans="2:5" x14ac:dyDescent="0.25">
      <c r="B230" s="133"/>
      <c r="C230" s="170"/>
      <c r="D230" s="133"/>
      <c r="E230" s="170"/>
    </row>
    <row r="231" spans="2:5" x14ac:dyDescent="0.25">
      <c r="B231" s="133"/>
      <c r="C231" s="170"/>
      <c r="D231" s="133"/>
      <c r="E231" s="170"/>
    </row>
    <row r="232" spans="2:5" x14ac:dyDescent="0.25">
      <c r="B232" s="133"/>
      <c r="C232" s="170"/>
      <c r="D232" s="133"/>
      <c r="E232" s="170"/>
    </row>
    <row r="233" spans="2:5" x14ac:dyDescent="0.25">
      <c r="B233" s="133"/>
      <c r="C233" s="170"/>
      <c r="D233" s="133"/>
      <c r="E233" s="170"/>
    </row>
  </sheetData>
  <sheetProtection algorithmName="SHA-512" hashValue="DE0Yh+JuYGs8kuHxsyRvEE5c/86lhf4uxLW2iH0mhpvgzXwqJSzCDhmGKYjJ5+/PF2Klp/QI7lOUNmUb9HlljQ==" saltValue="9jnQ9XJbbEt4jBC878BBzQ==" spinCount="100000" sheet="1" objects="1" scenarios="1"/>
  <pageMargins left="0.1" right="0.1" top="0.1" bottom="0.1" header="0.5" footer="0.5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66CCFF"/>
    <pageSetUpPr fitToPage="1"/>
  </sheetPr>
  <dimension ref="A1:AX46"/>
  <sheetViews>
    <sheetView workbookViewId="0">
      <pane xSplit="7" ySplit="11" topLeftCell="AR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AS29" sqref="AS29"/>
    </sheetView>
  </sheetViews>
  <sheetFormatPr defaultColWidth="9.140625" defaultRowHeight="15" x14ac:dyDescent="0.25"/>
  <cols>
    <col min="1" max="1" width="9.140625" style="118"/>
    <col min="2" max="2" width="33" style="7" bestFit="1" customWidth="1"/>
    <col min="3" max="3" width="15.28515625" style="7" customWidth="1"/>
    <col min="4" max="4" width="15.28515625" style="110" customWidth="1"/>
    <col min="5" max="7" width="15.28515625" style="7" customWidth="1"/>
    <col min="8" max="16" width="15.7109375" style="7" customWidth="1"/>
    <col min="17" max="17" width="15.7109375" style="94" customWidth="1"/>
    <col min="18" max="34" width="15.7109375" style="7" customWidth="1"/>
    <col min="35" max="50" width="16" style="7" customWidth="1"/>
    <col min="51" max="16384" width="9.140625" style="7"/>
  </cols>
  <sheetData>
    <row r="1" spans="1:50" s="62" customFormat="1" ht="21" x14ac:dyDescent="0.35">
      <c r="A1" s="122" t="s">
        <v>0</v>
      </c>
      <c r="B1" s="64"/>
      <c r="C1" s="122" t="s">
        <v>581</v>
      </c>
      <c r="D1" s="103"/>
      <c r="E1" s="122"/>
      <c r="F1" s="63"/>
      <c r="G1" s="63"/>
      <c r="H1" s="66"/>
      <c r="I1" s="66"/>
      <c r="J1" s="122" t="str">
        <f>C1</f>
        <v>Title V-B Formula</v>
      </c>
      <c r="K1" s="122"/>
      <c r="L1" s="63"/>
      <c r="M1" s="63"/>
      <c r="N1" s="63"/>
      <c r="O1" s="63"/>
      <c r="P1" s="122" t="str">
        <f>C1</f>
        <v>Title V-B Formula</v>
      </c>
      <c r="Q1" s="97"/>
      <c r="R1" s="122"/>
      <c r="S1" s="122"/>
      <c r="T1" s="63"/>
      <c r="U1" s="63"/>
      <c r="V1" s="122" t="str">
        <f>C1</f>
        <v>Title V-B Formula</v>
      </c>
      <c r="W1" s="63"/>
      <c r="X1" s="66"/>
      <c r="Y1" s="66"/>
      <c r="Z1" s="122"/>
      <c r="AA1" s="122"/>
      <c r="AB1" s="122" t="str">
        <f>C1</f>
        <v>Title V-B Formula</v>
      </c>
      <c r="AC1" s="63"/>
      <c r="AD1" s="63"/>
      <c r="AE1" s="63"/>
      <c r="AF1" s="122" t="str">
        <f>C1</f>
        <v>Title V-B Formula</v>
      </c>
      <c r="AG1" s="66"/>
      <c r="AH1" s="122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</row>
    <row r="2" spans="1:50" s="62" customFormat="1" ht="15.75" x14ac:dyDescent="0.25">
      <c r="A2" s="123" t="s">
        <v>1</v>
      </c>
      <c r="B2" s="64"/>
      <c r="C2" s="68" t="s">
        <v>582</v>
      </c>
      <c r="D2" s="104"/>
      <c r="E2" s="68"/>
      <c r="F2" s="67"/>
      <c r="G2" s="67"/>
      <c r="H2" s="66"/>
      <c r="I2" s="66"/>
      <c r="J2" s="67" t="str">
        <f>"FY"&amp;C4</f>
        <v>FY2019-2020</v>
      </c>
      <c r="K2" s="67"/>
      <c r="L2" s="123"/>
      <c r="M2" s="123"/>
      <c r="N2" s="67"/>
      <c r="O2" s="67"/>
      <c r="P2" s="67" t="str">
        <f>"FY"&amp;C4</f>
        <v>FY2019-2020</v>
      </c>
      <c r="Q2" s="98"/>
      <c r="R2" s="67"/>
      <c r="S2" s="67"/>
      <c r="T2" s="123"/>
      <c r="U2" s="123"/>
      <c r="V2" s="67" t="str">
        <f>"FY"&amp;C4</f>
        <v>FY2019-2020</v>
      </c>
      <c r="W2" s="67"/>
      <c r="X2" s="67"/>
      <c r="Y2" s="67"/>
      <c r="Z2" s="67"/>
      <c r="AA2" s="67"/>
      <c r="AB2" s="67" t="str">
        <f>"FY"&amp;C4</f>
        <v>FY2019-2020</v>
      </c>
      <c r="AC2" s="123"/>
      <c r="AD2" s="67"/>
      <c r="AE2" s="67"/>
      <c r="AF2" s="67" t="str">
        <f>"FY"&amp;C4</f>
        <v>FY2019-2020</v>
      </c>
      <c r="AG2" s="67"/>
      <c r="AH2" s="67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</row>
    <row r="3" spans="1:50" s="62" customFormat="1" ht="15.75" x14ac:dyDescent="0.25">
      <c r="A3" s="123" t="s">
        <v>3</v>
      </c>
      <c r="B3" s="64"/>
      <c r="C3" s="123">
        <v>6358</v>
      </c>
      <c r="D3" s="105"/>
      <c r="E3" s="123"/>
      <c r="F3" s="67"/>
      <c r="G3" s="67"/>
      <c r="H3" s="66"/>
      <c r="I3" s="66"/>
      <c r="J3" s="66"/>
      <c r="K3" s="66"/>
      <c r="L3" s="66"/>
      <c r="M3" s="66"/>
      <c r="N3" s="66"/>
      <c r="O3" s="66"/>
      <c r="P3" s="66"/>
      <c r="Q3" s="97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</row>
    <row r="4" spans="1:50" s="62" customFormat="1" ht="21" x14ac:dyDescent="0.35">
      <c r="A4" s="123" t="s">
        <v>2</v>
      </c>
      <c r="B4" s="64"/>
      <c r="C4" s="122" t="s">
        <v>635</v>
      </c>
      <c r="D4" s="105"/>
      <c r="E4" s="123"/>
      <c r="F4" s="67"/>
      <c r="G4" s="67"/>
      <c r="H4" s="66"/>
      <c r="I4" s="66"/>
      <c r="J4" s="66"/>
      <c r="K4" s="66"/>
      <c r="L4" s="66"/>
      <c r="M4" s="66"/>
      <c r="N4" s="66"/>
      <c r="O4" s="66"/>
      <c r="P4" s="66"/>
      <c r="Q4" s="97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</row>
    <row r="5" spans="1:50" s="62" customFormat="1" ht="15.75" x14ac:dyDescent="0.25">
      <c r="A5" s="123" t="s">
        <v>392</v>
      </c>
      <c r="B5" s="64"/>
      <c r="C5" s="67" t="s">
        <v>634</v>
      </c>
      <c r="D5" s="106"/>
      <c r="E5" s="67"/>
      <c r="F5" s="67"/>
      <c r="G5" s="70"/>
      <c r="H5" s="70"/>
      <c r="I5" s="70"/>
      <c r="J5" s="70"/>
      <c r="K5" s="70"/>
      <c r="L5" s="70"/>
      <c r="M5" s="70"/>
      <c r="N5" s="70"/>
      <c r="O5" s="70"/>
      <c r="P5" s="70"/>
      <c r="Q5" s="99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</row>
    <row r="6" spans="1:50" s="62" customFormat="1" ht="15.75" x14ac:dyDescent="0.25">
      <c r="A6" s="123" t="s">
        <v>4</v>
      </c>
      <c r="B6" s="64"/>
      <c r="C6" s="67" t="s">
        <v>364</v>
      </c>
      <c r="D6" s="106"/>
      <c r="E6" s="67"/>
      <c r="F6" s="67"/>
      <c r="G6" s="70"/>
      <c r="H6" s="70"/>
      <c r="I6" s="70"/>
      <c r="J6" s="70"/>
      <c r="K6" s="70"/>
      <c r="L6" s="70"/>
      <c r="M6" s="70"/>
      <c r="N6" s="70"/>
      <c r="O6" s="70"/>
      <c r="P6" s="70"/>
      <c r="Q6" s="99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</row>
    <row r="7" spans="1:50" s="62" customFormat="1" ht="15.75" x14ac:dyDescent="0.25">
      <c r="A7" s="123"/>
      <c r="B7" s="64"/>
      <c r="C7" s="67" t="s">
        <v>658</v>
      </c>
      <c r="D7" s="106"/>
      <c r="E7" s="67"/>
      <c r="F7" s="67"/>
      <c r="G7" s="70"/>
      <c r="H7" s="70"/>
      <c r="I7" s="70"/>
      <c r="J7" s="70"/>
      <c r="K7" s="70"/>
      <c r="L7" s="70"/>
      <c r="M7" s="70"/>
      <c r="N7" s="70"/>
      <c r="O7" s="70"/>
      <c r="P7" s="70"/>
      <c r="Q7" s="99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</row>
    <row r="8" spans="1:50" s="62" customFormat="1" ht="15.75" x14ac:dyDescent="0.25">
      <c r="A8" s="123" t="s">
        <v>378</v>
      </c>
      <c r="B8" s="64"/>
      <c r="C8" s="67" t="s">
        <v>589</v>
      </c>
      <c r="D8" s="106"/>
      <c r="E8" s="67"/>
      <c r="F8" s="67"/>
      <c r="G8" s="70"/>
      <c r="H8" s="70"/>
      <c r="I8" s="70"/>
      <c r="J8" s="70"/>
      <c r="K8" s="70"/>
      <c r="L8" s="70"/>
      <c r="M8" s="70"/>
      <c r="N8" s="70"/>
      <c r="O8" s="70"/>
      <c r="P8" s="70"/>
      <c r="Q8" s="99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</row>
    <row r="9" spans="1:50" s="62" customFormat="1" ht="15.75" x14ac:dyDescent="0.25">
      <c r="A9" s="123" t="s">
        <v>379</v>
      </c>
      <c r="B9" s="64"/>
      <c r="C9" s="67" t="s">
        <v>380</v>
      </c>
      <c r="D9" s="106"/>
      <c r="E9" s="67"/>
      <c r="F9" s="67"/>
      <c r="G9" s="70"/>
      <c r="H9" s="70"/>
      <c r="I9" s="70"/>
      <c r="J9" s="70"/>
      <c r="K9" s="70"/>
      <c r="L9" s="70"/>
      <c r="M9" s="70"/>
      <c r="N9" s="70"/>
      <c r="O9" s="70"/>
      <c r="P9" s="70"/>
      <c r="Q9" s="99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</row>
    <row r="10" spans="1:50" s="62" customFormat="1" ht="16.5" thickBot="1" x14ac:dyDescent="0.3">
      <c r="A10" s="123" t="s">
        <v>393</v>
      </c>
      <c r="B10" s="64"/>
      <c r="C10" s="67" t="s">
        <v>670</v>
      </c>
      <c r="D10" s="106"/>
      <c r="E10" s="67"/>
      <c r="F10" s="67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99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</row>
    <row r="11" spans="1:50" s="37" customFormat="1" ht="48.75" customHeight="1" thickBot="1" x14ac:dyDescent="0.3">
      <c r="A11" s="114" t="s">
        <v>365</v>
      </c>
      <c r="B11" s="87" t="s">
        <v>366</v>
      </c>
      <c r="C11" s="87" t="s">
        <v>367</v>
      </c>
      <c r="D11" s="107" t="s">
        <v>632</v>
      </c>
      <c r="E11" s="41" t="s">
        <v>624</v>
      </c>
      <c r="F11" s="42" t="s">
        <v>368</v>
      </c>
      <c r="G11" s="49" t="s">
        <v>369</v>
      </c>
      <c r="H11" s="100" t="s">
        <v>578</v>
      </c>
      <c r="I11" s="100" t="s">
        <v>579</v>
      </c>
      <c r="J11" s="100" t="s">
        <v>580</v>
      </c>
      <c r="K11" s="100" t="s">
        <v>590</v>
      </c>
      <c r="L11" s="100" t="s">
        <v>591</v>
      </c>
      <c r="M11" s="100" t="s">
        <v>592</v>
      </c>
      <c r="N11" s="100" t="s">
        <v>593</v>
      </c>
      <c r="O11" s="100" t="s">
        <v>594</v>
      </c>
      <c r="P11" s="100" t="s">
        <v>595</v>
      </c>
      <c r="Q11" s="101" t="s">
        <v>596</v>
      </c>
      <c r="R11" s="100" t="s">
        <v>597</v>
      </c>
      <c r="S11" s="100" t="s">
        <v>598</v>
      </c>
      <c r="T11" s="100" t="s">
        <v>599</v>
      </c>
      <c r="U11" s="100" t="s">
        <v>600</v>
      </c>
      <c r="V11" s="100" t="s">
        <v>601</v>
      </c>
      <c r="W11" s="100" t="s">
        <v>627</v>
      </c>
      <c r="X11" s="100" t="s">
        <v>628</v>
      </c>
      <c r="Y11" s="100" t="s">
        <v>629</v>
      </c>
      <c r="Z11" s="100" t="s">
        <v>636</v>
      </c>
      <c r="AA11" s="100" t="s">
        <v>637</v>
      </c>
      <c r="AB11" s="100" t="s">
        <v>638</v>
      </c>
      <c r="AC11" s="100" t="s">
        <v>639</v>
      </c>
      <c r="AD11" s="100" t="s">
        <v>640</v>
      </c>
      <c r="AE11" s="100" t="s">
        <v>641</v>
      </c>
      <c r="AF11" s="100" t="s">
        <v>642</v>
      </c>
      <c r="AG11" s="100" t="s">
        <v>643</v>
      </c>
      <c r="AH11" s="100" t="s">
        <v>644</v>
      </c>
      <c r="AI11" s="100" t="s">
        <v>645</v>
      </c>
      <c r="AJ11" s="100" t="s">
        <v>646</v>
      </c>
      <c r="AK11" s="100" t="s">
        <v>648</v>
      </c>
      <c r="AL11" s="100" t="s">
        <v>671</v>
      </c>
      <c r="AM11" s="100" t="s">
        <v>672</v>
      </c>
      <c r="AN11" s="100" t="s">
        <v>673</v>
      </c>
      <c r="AO11" s="100" t="s">
        <v>674</v>
      </c>
      <c r="AP11" s="100" t="s">
        <v>675</v>
      </c>
      <c r="AQ11" s="100" t="s">
        <v>681</v>
      </c>
      <c r="AR11" s="100" t="s">
        <v>680</v>
      </c>
      <c r="AS11" s="100" t="s">
        <v>679</v>
      </c>
      <c r="AT11" s="100" t="s">
        <v>678</v>
      </c>
      <c r="AU11" s="100" t="s">
        <v>677</v>
      </c>
      <c r="AV11" s="100" t="s">
        <v>676</v>
      </c>
      <c r="AW11" s="100" t="s">
        <v>630</v>
      </c>
      <c r="AX11" s="100" t="s">
        <v>631</v>
      </c>
    </row>
    <row r="12" spans="1:50" s="3" customFormat="1" ht="18" customHeight="1" thickBot="1" x14ac:dyDescent="0.35">
      <c r="A12" s="102" t="s">
        <v>13</v>
      </c>
      <c r="B12" s="102" t="s">
        <v>191</v>
      </c>
      <c r="C12" s="235">
        <v>47427</v>
      </c>
      <c r="D12" s="102"/>
      <c r="E12" s="187">
        <f t="shared" ref="E12:E29" si="0">C12</f>
        <v>47427</v>
      </c>
      <c r="F12" s="187">
        <f>SUM(H12:AK12)</f>
        <v>47426.999999999993</v>
      </c>
      <c r="G12" s="187">
        <f>E12-(F12+AW12+AX12)</f>
        <v>0</v>
      </c>
      <c r="H12" s="230"/>
      <c r="I12" s="230"/>
      <c r="J12" s="230"/>
      <c r="K12" s="230"/>
      <c r="L12" s="230"/>
      <c r="M12" s="230"/>
      <c r="N12" s="230">
        <f>4323.23+3159.95</f>
        <v>7483.1799999999994</v>
      </c>
      <c r="O12" s="230">
        <v>2967.58</v>
      </c>
      <c r="P12" s="230">
        <v>3186.37</v>
      </c>
      <c r="Q12" s="230">
        <v>3266.33</v>
      </c>
      <c r="R12" s="272">
        <v>5133.8900000000003</v>
      </c>
      <c r="S12" s="230">
        <v>6770.83</v>
      </c>
      <c r="T12" s="230">
        <v>3200.64</v>
      </c>
      <c r="U12" s="273">
        <v>3029.1</v>
      </c>
      <c r="V12" s="230">
        <v>3029.09</v>
      </c>
      <c r="W12" s="230">
        <v>5689.03</v>
      </c>
      <c r="X12" s="230"/>
      <c r="Y12" s="230">
        <f>3088.92+582.04</f>
        <v>3670.96</v>
      </c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</row>
    <row r="13" spans="1:50" s="3" customFormat="1" ht="18" customHeight="1" thickBot="1" x14ac:dyDescent="0.35">
      <c r="A13" s="102" t="s">
        <v>22</v>
      </c>
      <c r="B13" s="102" t="s">
        <v>200</v>
      </c>
      <c r="C13" s="235">
        <v>33702</v>
      </c>
      <c r="D13" s="102"/>
      <c r="E13" s="187">
        <f t="shared" si="0"/>
        <v>33702</v>
      </c>
      <c r="F13" s="187">
        <f t="shared" ref="F13:F31" si="1">SUM(H13:AK13)</f>
        <v>33702</v>
      </c>
      <c r="G13" s="187">
        <f t="shared" ref="G13:G31" si="2">E13-(F13+AW13+AX13)</f>
        <v>0</v>
      </c>
      <c r="H13" s="230"/>
      <c r="I13" s="230"/>
      <c r="J13" s="230"/>
      <c r="K13" s="230"/>
      <c r="L13" s="230"/>
      <c r="M13" s="230"/>
      <c r="N13" s="230"/>
      <c r="O13" s="230">
        <v>750</v>
      </c>
      <c r="P13" s="230"/>
      <c r="Q13" s="230"/>
      <c r="R13" s="272"/>
      <c r="S13" s="230">
        <f>1896+31056</f>
        <v>32952</v>
      </c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</row>
    <row r="14" spans="1:50" s="3" customFormat="1" ht="18" customHeight="1" thickBot="1" x14ac:dyDescent="0.35">
      <c r="A14" s="102" t="s">
        <v>28</v>
      </c>
      <c r="B14" s="102" t="s">
        <v>206</v>
      </c>
      <c r="C14" s="235">
        <v>34251</v>
      </c>
      <c r="D14" s="102"/>
      <c r="E14" s="187">
        <f t="shared" si="0"/>
        <v>34251</v>
      </c>
      <c r="F14" s="187">
        <f t="shared" si="1"/>
        <v>34251</v>
      </c>
      <c r="G14" s="187">
        <f t="shared" si="2"/>
        <v>0</v>
      </c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72"/>
      <c r="S14" s="230">
        <v>34251</v>
      </c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</row>
    <row r="15" spans="1:50" ht="16.5" thickBot="1" x14ac:dyDescent="0.3">
      <c r="A15" s="102" t="s">
        <v>39</v>
      </c>
      <c r="B15" s="102" t="s">
        <v>217</v>
      </c>
      <c r="C15" s="235">
        <v>3675</v>
      </c>
      <c r="D15" s="102"/>
      <c r="E15" s="187">
        <f t="shared" si="0"/>
        <v>3675</v>
      </c>
      <c r="F15" s="187">
        <f t="shared" si="1"/>
        <v>3675</v>
      </c>
      <c r="G15" s="187">
        <f t="shared" si="2"/>
        <v>0</v>
      </c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72"/>
      <c r="S15" s="230"/>
      <c r="T15" s="230"/>
      <c r="U15" s="230"/>
      <c r="V15" s="230"/>
      <c r="W15" s="230">
        <v>3675</v>
      </c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</row>
    <row r="16" spans="1:50" ht="16.5" thickBot="1" x14ac:dyDescent="0.3">
      <c r="A16" s="102" t="s">
        <v>40</v>
      </c>
      <c r="B16" s="102" t="s">
        <v>218</v>
      </c>
      <c r="C16" s="235">
        <v>3979</v>
      </c>
      <c r="D16" s="102"/>
      <c r="E16" s="187">
        <f t="shared" si="0"/>
        <v>3979</v>
      </c>
      <c r="F16" s="187">
        <f t="shared" si="1"/>
        <v>3979</v>
      </c>
      <c r="G16" s="187">
        <f t="shared" si="2"/>
        <v>0</v>
      </c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72"/>
      <c r="S16" s="230"/>
      <c r="T16" s="230">
        <v>3979</v>
      </c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</row>
    <row r="17" spans="1:50" ht="16.5" thickBot="1" x14ac:dyDescent="0.3">
      <c r="A17" s="102" t="s">
        <v>44</v>
      </c>
      <c r="B17" s="102" t="s">
        <v>222</v>
      </c>
      <c r="C17" s="235">
        <v>96133</v>
      </c>
      <c r="D17" s="102"/>
      <c r="E17" s="187">
        <f t="shared" si="0"/>
        <v>96133</v>
      </c>
      <c r="F17" s="187">
        <f t="shared" si="1"/>
        <v>96133</v>
      </c>
      <c r="G17" s="187">
        <f t="shared" si="2"/>
        <v>0</v>
      </c>
      <c r="H17" s="230"/>
      <c r="I17" s="230"/>
      <c r="J17" s="230"/>
      <c r="K17" s="230"/>
      <c r="L17" s="230"/>
      <c r="M17" s="230"/>
      <c r="N17" s="230"/>
      <c r="O17" s="230"/>
      <c r="P17" s="230"/>
      <c r="Q17" s="230">
        <v>10147.34</v>
      </c>
      <c r="R17" s="272">
        <v>1140.51</v>
      </c>
      <c r="S17" s="230">
        <v>348.49</v>
      </c>
      <c r="T17" s="230"/>
      <c r="U17" s="230"/>
      <c r="V17" s="230"/>
      <c r="W17" s="230"/>
      <c r="X17" s="230">
        <v>23605.47</v>
      </c>
      <c r="Y17" s="230">
        <v>10526.15</v>
      </c>
      <c r="Z17" s="230"/>
      <c r="AA17" s="230">
        <v>4626.96</v>
      </c>
      <c r="AB17" s="230">
        <v>12332.28</v>
      </c>
      <c r="AC17" s="230">
        <v>4930.8100000000004</v>
      </c>
      <c r="AD17" s="230">
        <v>10299.18</v>
      </c>
      <c r="AE17" s="230">
        <v>6436.23</v>
      </c>
      <c r="AF17" s="230"/>
      <c r="AG17" s="230"/>
      <c r="AH17" s="230">
        <v>823.39</v>
      </c>
      <c r="AI17" s="230"/>
      <c r="AJ17" s="230">
        <v>10916.19</v>
      </c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</row>
    <row r="18" spans="1:50" ht="16.5" thickBot="1" x14ac:dyDescent="0.3">
      <c r="A18" s="102" t="s">
        <v>69</v>
      </c>
      <c r="B18" s="102" t="s">
        <v>247</v>
      </c>
      <c r="C18" s="235">
        <v>72176</v>
      </c>
      <c r="D18" s="102"/>
      <c r="E18" s="187">
        <f t="shared" si="0"/>
        <v>72176</v>
      </c>
      <c r="F18" s="187">
        <f t="shared" si="1"/>
        <v>72176</v>
      </c>
      <c r="G18" s="187">
        <f t="shared" si="2"/>
        <v>0</v>
      </c>
      <c r="H18" s="230"/>
      <c r="I18" s="230"/>
      <c r="J18" s="230"/>
      <c r="K18" s="230"/>
      <c r="L18" s="230"/>
      <c r="M18" s="230"/>
      <c r="N18" s="230"/>
      <c r="O18" s="230"/>
      <c r="P18" s="230">
        <v>12928</v>
      </c>
      <c r="Q18" s="230">
        <v>5341</v>
      </c>
      <c r="R18" s="272"/>
      <c r="S18" s="230">
        <v>5921</v>
      </c>
      <c r="T18" s="230">
        <v>7840</v>
      </c>
      <c r="U18" s="230">
        <v>723</v>
      </c>
      <c r="V18" s="230"/>
      <c r="W18" s="230"/>
      <c r="X18" s="230">
        <v>10997</v>
      </c>
      <c r="Y18" s="230"/>
      <c r="Z18" s="230">
        <v>12701</v>
      </c>
      <c r="AA18" s="230"/>
      <c r="AB18" s="230">
        <v>12325</v>
      </c>
      <c r="AC18" s="230"/>
      <c r="AD18" s="230"/>
      <c r="AE18" s="230">
        <v>3400</v>
      </c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</row>
    <row r="19" spans="1:50" ht="16.5" thickBot="1" x14ac:dyDescent="0.3">
      <c r="A19" s="102" t="s">
        <v>80</v>
      </c>
      <c r="B19" s="102" t="s">
        <v>258</v>
      </c>
      <c r="C19" s="235">
        <v>10557</v>
      </c>
      <c r="D19" s="102"/>
      <c r="E19" s="187">
        <f t="shared" si="0"/>
        <v>10557</v>
      </c>
      <c r="F19" s="187">
        <f t="shared" si="1"/>
        <v>10557</v>
      </c>
      <c r="G19" s="187">
        <f t="shared" si="2"/>
        <v>0</v>
      </c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72"/>
      <c r="S19" s="230"/>
      <c r="T19" s="230"/>
      <c r="U19" s="230"/>
      <c r="V19" s="230"/>
      <c r="W19" s="230"/>
      <c r="X19" s="230">
        <v>10557</v>
      </c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</row>
    <row r="20" spans="1:50" ht="16.5" thickBot="1" x14ac:dyDescent="0.3">
      <c r="A20" s="102" t="s">
        <v>90</v>
      </c>
      <c r="B20" s="102" t="s">
        <v>483</v>
      </c>
      <c r="C20" s="235">
        <v>14598</v>
      </c>
      <c r="D20" s="102" t="s">
        <v>371</v>
      </c>
      <c r="E20" s="187">
        <v>0</v>
      </c>
      <c r="F20" s="187">
        <f t="shared" si="1"/>
        <v>0</v>
      </c>
      <c r="G20" s="187">
        <f t="shared" si="2"/>
        <v>0</v>
      </c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72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</row>
    <row r="21" spans="1:50" ht="16.5" thickBot="1" x14ac:dyDescent="0.3">
      <c r="A21" s="102" t="s">
        <v>97</v>
      </c>
      <c r="B21" s="102" t="s">
        <v>275</v>
      </c>
      <c r="C21" s="235">
        <v>22394</v>
      </c>
      <c r="D21" s="102"/>
      <c r="E21" s="187">
        <f t="shared" si="0"/>
        <v>22394</v>
      </c>
      <c r="F21" s="187">
        <f t="shared" si="1"/>
        <v>0</v>
      </c>
      <c r="G21" s="187">
        <f t="shared" si="2"/>
        <v>22394</v>
      </c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72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</row>
    <row r="22" spans="1:50" ht="16.5" thickBot="1" x14ac:dyDescent="0.3">
      <c r="A22" s="102" t="s">
        <v>98</v>
      </c>
      <c r="B22" s="102" t="s">
        <v>276</v>
      </c>
      <c r="C22" s="235">
        <v>19937</v>
      </c>
      <c r="D22" s="102"/>
      <c r="E22" s="187">
        <f t="shared" si="0"/>
        <v>19937</v>
      </c>
      <c r="F22" s="187">
        <f>SUM(H22:AW22)</f>
        <v>19937</v>
      </c>
      <c r="G22" s="187">
        <f t="shared" si="2"/>
        <v>0</v>
      </c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72"/>
      <c r="S22" s="230">
        <f>975.9+4000</f>
        <v>4975.8999999999996</v>
      </c>
      <c r="T22" s="230">
        <v>5813</v>
      </c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>
        <v>4375</v>
      </c>
      <c r="AH22" s="230"/>
      <c r="AI22" s="230"/>
      <c r="AJ22" s="230"/>
      <c r="AK22" s="230"/>
      <c r="AL22" s="230"/>
      <c r="AM22" s="230"/>
      <c r="AN22" s="230">
        <v>945</v>
      </c>
      <c r="AO22" s="230"/>
      <c r="AP22" s="230"/>
      <c r="AQ22" s="230"/>
      <c r="AR22" s="230"/>
      <c r="AS22" s="230">
        <v>3828.1</v>
      </c>
      <c r="AT22" s="230"/>
      <c r="AU22" s="230"/>
      <c r="AV22" s="230"/>
      <c r="AW22" s="230"/>
      <c r="AX22" s="230"/>
    </row>
    <row r="23" spans="1:50" ht="16.5" thickBot="1" x14ac:dyDescent="0.3">
      <c r="A23" s="102" t="s">
        <v>101</v>
      </c>
      <c r="B23" s="102" t="s">
        <v>279</v>
      </c>
      <c r="C23" s="235">
        <v>2213</v>
      </c>
      <c r="D23" s="102"/>
      <c r="E23" s="187">
        <f t="shared" si="0"/>
        <v>2213</v>
      </c>
      <c r="F23" s="187">
        <f t="shared" si="1"/>
        <v>0</v>
      </c>
      <c r="G23" s="187">
        <f t="shared" si="2"/>
        <v>2213</v>
      </c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</row>
    <row r="24" spans="1:50" ht="16.5" thickBot="1" x14ac:dyDescent="0.3">
      <c r="A24" s="102" t="s">
        <v>116</v>
      </c>
      <c r="B24" s="102" t="s">
        <v>294</v>
      </c>
      <c r="C24" s="235">
        <v>54533</v>
      </c>
      <c r="D24" s="102"/>
      <c r="E24" s="187">
        <f t="shared" si="0"/>
        <v>54533</v>
      </c>
      <c r="F24" s="187">
        <f t="shared" si="1"/>
        <v>54533</v>
      </c>
      <c r="G24" s="187">
        <f t="shared" si="2"/>
        <v>0</v>
      </c>
      <c r="H24" s="230"/>
      <c r="I24" s="230"/>
      <c r="J24" s="230"/>
      <c r="K24" s="230"/>
      <c r="L24" s="230"/>
      <c r="M24" s="230"/>
      <c r="N24" s="230">
        <v>3723</v>
      </c>
      <c r="O24" s="230">
        <v>8000</v>
      </c>
      <c r="P24" s="230">
        <v>2660.23</v>
      </c>
      <c r="Q24" s="230"/>
      <c r="R24" s="230">
        <v>1643.34</v>
      </c>
      <c r="S24" s="230">
        <v>1891</v>
      </c>
      <c r="T24" s="230">
        <v>371.43</v>
      </c>
      <c r="U24" s="230"/>
      <c r="V24" s="230"/>
      <c r="W24" s="230"/>
      <c r="X24" s="230">
        <v>28069.21</v>
      </c>
      <c r="Y24" s="230">
        <v>3762.24</v>
      </c>
      <c r="Z24" s="230"/>
      <c r="AA24" s="230">
        <v>2308.23</v>
      </c>
      <c r="AB24" s="230">
        <v>2104.3200000000002</v>
      </c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</row>
    <row r="25" spans="1:50" ht="16.5" thickBot="1" x14ac:dyDescent="0.3">
      <c r="A25" s="102" t="s">
        <v>125</v>
      </c>
      <c r="B25" s="102" t="s">
        <v>303</v>
      </c>
      <c r="C25" s="235">
        <v>28891</v>
      </c>
      <c r="D25" s="102"/>
      <c r="E25" s="187">
        <f t="shared" si="0"/>
        <v>28891</v>
      </c>
      <c r="F25" s="187">
        <f t="shared" si="1"/>
        <v>28890.74</v>
      </c>
      <c r="G25" s="187">
        <f t="shared" si="2"/>
        <v>0.25999999999839929</v>
      </c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>
        <v>23940</v>
      </c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>
        <v>710.74</v>
      </c>
      <c r="AE25" s="230"/>
      <c r="AF25" s="230"/>
      <c r="AG25" s="230"/>
      <c r="AH25" s="230"/>
      <c r="AI25" s="230">
        <v>4240</v>
      </c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</row>
    <row r="26" spans="1:50" ht="16.5" thickBot="1" x14ac:dyDescent="0.3">
      <c r="A26" s="102" t="s">
        <v>126</v>
      </c>
      <c r="B26" s="102" t="s">
        <v>304</v>
      </c>
      <c r="C26" s="235">
        <v>16161</v>
      </c>
      <c r="D26" s="102"/>
      <c r="E26" s="187">
        <f t="shared" si="0"/>
        <v>16161</v>
      </c>
      <c r="F26" s="187">
        <f t="shared" si="1"/>
        <v>16161</v>
      </c>
      <c r="G26" s="187">
        <f t="shared" si="2"/>
        <v>0</v>
      </c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72">
        <v>10800.24</v>
      </c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>
        <v>5360.76</v>
      </c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</row>
    <row r="27" spans="1:50" ht="16.5" thickBot="1" x14ac:dyDescent="0.3">
      <c r="A27" s="102" t="s">
        <v>138</v>
      </c>
      <c r="B27" s="102" t="s">
        <v>316</v>
      </c>
      <c r="C27" s="235">
        <v>3959</v>
      </c>
      <c r="D27" s="102"/>
      <c r="E27" s="187">
        <f t="shared" si="0"/>
        <v>3959</v>
      </c>
      <c r="F27" s="187">
        <f t="shared" si="1"/>
        <v>3959</v>
      </c>
      <c r="G27" s="187">
        <f t="shared" si="2"/>
        <v>0</v>
      </c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72"/>
      <c r="S27" s="230"/>
      <c r="T27" s="230"/>
      <c r="U27" s="230"/>
      <c r="V27" s="230"/>
      <c r="W27" s="230"/>
      <c r="X27" s="230">
        <v>3959</v>
      </c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</row>
    <row r="28" spans="1:50" ht="16.5" thickBot="1" x14ac:dyDescent="0.3">
      <c r="A28" s="102" t="s">
        <v>139</v>
      </c>
      <c r="B28" s="102" t="s">
        <v>317</v>
      </c>
      <c r="C28" s="235">
        <v>29622</v>
      </c>
      <c r="D28" s="102"/>
      <c r="E28" s="187">
        <f t="shared" si="0"/>
        <v>29622</v>
      </c>
      <c r="F28" s="187">
        <f t="shared" si="1"/>
        <v>29622</v>
      </c>
      <c r="G28" s="187">
        <f t="shared" si="2"/>
        <v>0</v>
      </c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72"/>
      <c r="S28" s="230">
        <f>4788+9213</f>
        <v>14001</v>
      </c>
      <c r="T28" s="230"/>
      <c r="U28" s="230"/>
      <c r="V28" s="230"/>
      <c r="W28" s="230">
        <v>14374</v>
      </c>
      <c r="X28" s="230">
        <v>1247</v>
      </c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</row>
    <row r="29" spans="1:50" ht="16.5" thickBot="1" x14ac:dyDescent="0.3">
      <c r="A29" s="102" t="s">
        <v>147</v>
      </c>
      <c r="B29" s="102" t="s">
        <v>325</v>
      </c>
      <c r="C29" s="235">
        <v>21927</v>
      </c>
      <c r="D29" s="102"/>
      <c r="E29" s="187">
        <f t="shared" si="0"/>
        <v>21927</v>
      </c>
      <c r="F29" s="187">
        <f t="shared" si="1"/>
        <v>21927</v>
      </c>
      <c r="G29" s="187">
        <f t="shared" si="2"/>
        <v>0</v>
      </c>
      <c r="H29" s="230"/>
      <c r="I29" s="230"/>
      <c r="J29" s="230"/>
      <c r="K29" s="230"/>
      <c r="L29" s="230"/>
      <c r="M29" s="230">
        <v>2303</v>
      </c>
      <c r="N29" s="230">
        <v>1257</v>
      </c>
      <c r="O29" s="230">
        <v>1313</v>
      </c>
      <c r="P29" s="230">
        <v>1313</v>
      </c>
      <c r="Q29" s="230">
        <v>1313</v>
      </c>
      <c r="R29" s="272">
        <v>1313</v>
      </c>
      <c r="S29" s="230">
        <v>4472</v>
      </c>
      <c r="T29" s="230">
        <v>1260</v>
      </c>
      <c r="U29" s="230"/>
      <c r="V29" s="230">
        <f>2183+2656</f>
        <v>4839</v>
      </c>
      <c r="W29" s="230">
        <v>1783</v>
      </c>
      <c r="X29" s="230">
        <v>761</v>
      </c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</row>
    <row r="30" spans="1:50" ht="16.5" thickBot="1" x14ac:dyDescent="0.3">
      <c r="A30" s="102" t="s">
        <v>154</v>
      </c>
      <c r="B30" s="102" t="s">
        <v>545</v>
      </c>
      <c r="C30" s="235">
        <v>11877</v>
      </c>
      <c r="D30" s="102"/>
      <c r="E30" s="187">
        <f t="shared" ref="E30" si="3">C30</f>
        <v>11877</v>
      </c>
      <c r="F30" s="187">
        <f t="shared" ref="F30" si="4">SUM(H30:AK30)</f>
        <v>11877</v>
      </c>
      <c r="G30" s="187">
        <f t="shared" ref="G30" si="5">E30-(F30+AW30+AX30)</f>
        <v>0</v>
      </c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72"/>
      <c r="S30" s="230">
        <v>11877</v>
      </c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</row>
    <row r="31" spans="1:50" ht="16.5" thickBot="1" x14ac:dyDescent="0.3">
      <c r="A31" s="102" t="s">
        <v>370</v>
      </c>
      <c r="B31" s="102" t="s">
        <v>374</v>
      </c>
      <c r="C31" s="235">
        <v>0</v>
      </c>
      <c r="D31" s="102"/>
      <c r="E31" s="187">
        <v>14598</v>
      </c>
      <c r="F31" s="187">
        <f t="shared" si="1"/>
        <v>14598</v>
      </c>
      <c r="G31" s="187">
        <f t="shared" si="2"/>
        <v>0</v>
      </c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72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>
        <v>7517.38</v>
      </c>
      <c r="AE31" s="230">
        <v>1740.86</v>
      </c>
      <c r="AF31" s="230">
        <v>5339.76</v>
      </c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</row>
    <row r="32" spans="1:50" ht="16.5" thickBot="1" x14ac:dyDescent="0.3">
      <c r="C32" s="236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2"/>
      <c r="R32" s="230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</row>
    <row r="33" spans="1:50" ht="15.75" thickBot="1" x14ac:dyDescent="0.3">
      <c r="A33" s="184" t="s">
        <v>618</v>
      </c>
      <c r="B33" s="185"/>
      <c r="C33" s="237">
        <f>SUM(C12:C31)</f>
        <v>528012</v>
      </c>
      <c r="D33" s="185"/>
      <c r="E33" s="234">
        <f>SUM(E12:E31)</f>
        <v>528012</v>
      </c>
      <c r="F33" s="234">
        <f>SUM(F12:F31)</f>
        <v>503404.74</v>
      </c>
      <c r="G33" s="234">
        <f>E33-(F33+AW33+AX33)</f>
        <v>24607.260000000009</v>
      </c>
      <c r="H33" s="234">
        <f t="shared" ref="H33:AX33" si="6">SUM(H12:H31)</f>
        <v>0</v>
      </c>
      <c r="I33" s="234">
        <f t="shared" si="6"/>
        <v>0</v>
      </c>
      <c r="J33" s="234">
        <f t="shared" si="6"/>
        <v>0</v>
      </c>
      <c r="K33" s="234">
        <f t="shared" si="6"/>
        <v>0</v>
      </c>
      <c r="L33" s="234">
        <f t="shared" si="6"/>
        <v>0</v>
      </c>
      <c r="M33" s="234">
        <f t="shared" si="6"/>
        <v>2303</v>
      </c>
      <c r="N33" s="234">
        <f t="shared" si="6"/>
        <v>12463.18</v>
      </c>
      <c r="O33" s="234">
        <f t="shared" si="6"/>
        <v>13030.58</v>
      </c>
      <c r="P33" s="234">
        <f t="shared" si="6"/>
        <v>20087.599999999999</v>
      </c>
      <c r="Q33" s="238">
        <f>SUM(Q12:Q31)</f>
        <v>20067.669999999998</v>
      </c>
      <c r="R33" s="238">
        <f>SUM(R12:R31)</f>
        <v>20030.98</v>
      </c>
      <c r="S33" s="234">
        <f t="shared" si="6"/>
        <v>141400.22</v>
      </c>
      <c r="T33" s="234">
        <f t="shared" si="6"/>
        <v>22464.07</v>
      </c>
      <c r="U33" s="234">
        <f>SUM(U12:U31)</f>
        <v>3752.1</v>
      </c>
      <c r="V33" s="234">
        <f t="shared" si="6"/>
        <v>7868.09</v>
      </c>
      <c r="W33" s="234">
        <f t="shared" si="6"/>
        <v>25521.03</v>
      </c>
      <c r="X33" s="234">
        <f t="shared" si="6"/>
        <v>79195.679999999993</v>
      </c>
      <c r="Y33" s="234">
        <f t="shared" si="6"/>
        <v>17959.349999999999</v>
      </c>
      <c r="Z33" s="234">
        <f t="shared" si="6"/>
        <v>12701</v>
      </c>
      <c r="AA33" s="234">
        <f t="shared" si="6"/>
        <v>6935.1900000000005</v>
      </c>
      <c r="AB33" s="234">
        <f t="shared" si="6"/>
        <v>26761.599999999999</v>
      </c>
      <c r="AC33" s="234">
        <f t="shared" si="6"/>
        <v>4930.8100000000004</v>
      </c>
      <c r="AD33" s="234">
        <f t="shared" si="6"/>
        <v>18527.3</v>
      </c>
      <c r="AE33" s="234">
        <f t="shared" si="6"/>
        <v>16937.849999999999</v>
      </c>
      <c r="AF33" s="234">
        <f t="shared" si="6"/>
        <v>5339.76</v>
      </c>
      <c r="AG33" s="234">
        <f t="shared" si="6"/>
        <v>4375</v>
      </c>
      <c r="AH33" s="234">
        <f t="shared" si="6"/>
        <v>823.39</v>
      </c>
      <c r="AI33" s="234">
        <f t="shared" si="6"/>
        <v>4240</v>
      </c>
      <c r="AJ33" s="234">
        <f t="shared" si="6"/>
        <v>10916.19</v>
      </c>
      <c r="AK33" s="234">
        <f t="shared" si="6"/>
        <v>0</v>
      </c>
      <c r="AL33" s="234">
        <f t="shared" si="6"/>
        <v>0</v>
      </c>
      <c r="AM33" s="234">
        <f t="shared" si="6"/>
        <v>0</v>
      </c>
      <c r="AN33" s="234">
        <f t="shared" si="6"/>
        <v>945</v>
      </c>
      <c r="AO33" s="234">
        <f t="shared" si="6"/>
        <v>0</v>
      </c>
      <c r="AP33" s="234">
        <f t="shared" si="6"/>
        <v>0</v>
      </c>
      <c r="AQ33" s="234">
        <f t="shared" si="6"/>
        <v>0</v>
      </c>
      <c r="AR33" s="234">
        <f t="shared" si="6"/>
        <v>0</v>
      </c>
      <c r="AS33" s="234">
        <f t="shared" si="6"/>
        <v>3828.1</v>
      </c>
      <c r="AT33" s="234"/>
      <c r="AU33" s="234"/>
      <c r="AV33" s="234"/>
      <c r="AW33" s="234">
        <f t="shared" si="6"/>
        <v>0</v>
      </c>
      <c r="AX33" s="234">
        <f t="shared" si="6"/>
        <v>0</v>
      </c>
    </row>
    <row r="34" spans="1:50" ht="16.5" thickBot="1" x14ac:dyDescent="0.3">
      <c r="R34" s="230"/>
    </row>
    <row r="35" spans="1:50" ht="16.5" thickBot="1" x14ac:dyDescent="0.3">
      <c r="R35" s="230"/>
    </row>
    <row r="36" spans="1:50" ht="16.5" thickBot="1" x14ac:dyDescent="0.3">
      <c r="R36" s="230"/>
    </row>
    <row r="37" spans="1:50" ht="16.5" thickBot="1" x14ac:dyDescent="0.3">
      <c r="R37" s="230"/>
    </row>
    <row r="38" spans="1:50" ht="16.5" thickBot="1" x14ac:dyDescent="0.3">
      <c r="R38" s="230"/>
    </row>
    <row r="39" spans="1:50" ht="16.5" thickBot="1" x14ac:dyDescent="0.3">
      <c r="R39" s="230"/>
    </row>
    <row r="40" spans="1:50" ht="16.5" thickBot="1" x14ac:dyDescent="0.3">
      <c r="R40" s="230"/>
    </row>
    <row r="41" spans="1:50" ht="16.5" thickBot="1" x14ac:dyDescent="0.3">
      <c r="R41" s="230"/>
    </row>
    <row r="42" spans="1:50" ht="16.5" thickBot="1" x14ac:dyDescent="0.3">
      <c r="R42" s="230"/>
    </row>
    <row r="43" spans="1:50" ht="16.5" thickBot="1" x14ac:dyDescent="0.3">
      <c r="R43" s="230"/>
    </row>
    <row r="44" spans="1:50" ht="16.5" thickBot="1" x14ac:dyDescent="0.3">
      <c r="R44" s="230"/>
    </row>
    <row r="45" spans="1:50" ht="16.5" thickBot="1" x14ac:dyDescent="0.3">
      <c r="R45" s="230"/>
    </row>
    <row r="46" spans="1:50" ht="16.5" thickBot="1" x14ac:dyDescent="0.3">
      <c r="R46" s="230"/>
    </row>
  </sheetData>
  <sheetProtection algorithmName="SHA-512" hashValue="e0t7yevd9usasCnHqv108uDr/4CFG3iJB1FmDl5j/wJlAAWmrbm5qqA3LukaKFEaYIgp7L34eeXWDot3SqnjhQ==" saltValue="lCoheL0tyEvWQtv3Wt6uZQ==" spinCount="100000" sheet="1" objects="1" scenarios="1"/>
  <pageMargins left="0.7" right="0.7" top="0.75" bottom="0.75" header="0.3" footer="0.3"/>
  <pageSetup scale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 OF FORMULA GRANT</vt:lpstr>
      <vt:lpstr>ESSA Title I-A Formula</vt:lpstr>
      <vt:lpstr>ESSA Title I-Delinquent</vt:lpstr>
      <vt:lpstr>StateAgenciesTitle I-Delinquent</vt:lpstr>
      <vt:lpstr>ESSA Title II-A Formula</vt:lpstr>
      <vt:lpstr>ESSA Title III-ELL </vt:lpstr>
      <vt:lpstr>ESSA Title III SAI</vt:lpstr>
      <vt:lpstr>ESSA Title IV</vt:lpstr>
      <vt:lpstr>ESSA Title V-B</vt:lpstr>
      <vt:lpstr>NCLB Allocations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M. Rodriguez</dc:creator>
  <cp:lastModifiedBy>Kaleda, Steven</cp:lastModifiedBy>
  <cp:lastPrinted>2019-12-23T17:21:27Z</cp:lastPrinted>
  <dcterms:created xsi:type="dcterms:W3CDTF">2011-11-14T17:06:02Z</dcterms:created>
  <dcterms:modified xsi:type="dcterms:W3CDTF">2022-09-14T22:36:48Z</dcterms:modified>
</cp:coreProperties>
</file>