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Competitive Distribution\"/>
    </mc:Choice>
  </mc:AlternateContent>
  <xr:revisionPtr revIDLastSave="0" documentId="13_ncr:1_{C7E49C6E-DD39-4D91-932C-987F4FA91024}" xr6:coauthVersionLast="45" xr6:coauthVersionMax="45" xr10:uidLastSave="{00000000-0000-0000-0000-000000000000}"/>
  <bookViews>
    <workbookView xWindow="20715" yWindow="-15405" windowWidth="21600" windowHeight="12675" tabRatio="961" firstSheet="2" activeTab="14" xr2:uid="{00000000-000D-0000-FFFF-FFFF00000000}"/>
  </bookViews>
  <sheets>
    <sheet name="21ST C7 " sheetId="97" r:id="rId1"/>
    <sheet name="21ST C8" sheetId="126" r:id="rId2"/>
    <sheet name="SRAE" sheetId="116" r:id="rId3"/>
    <sheet name="AEFLA " sheetId="93" r:id="rId4"/>
    <sheet name=" AWARE" sheetId="105" r:id="rId5"/>
    <sheet name="BEST Instruction" sheetId="132" r:id="rId6"/>
    <sheet name="CDC" sheetId="127" state="hidden" r:id="rId7"/>
    <sheet name="DB Centers" sheetId="133" r:id="rId8"/>
    <sheet name="High Flyers" sheetId="125" r:id="rId9"/>
    <sheet name="IEL_CIVICS " sheetId="130" r:id="rId10"/>
    <sheet name="JAVITS R4R" sheetId="136" state="hidden" r:id="rId11"/>
    <sheet name="JAVITS R4R Y042" sheetId="137" state="hidden" r:id="rId12"/>
    <sheet name="McKinney Vento" sheetId="131" r:id="rId13"/>
    <sheet name="MSIX" sheetId="99" state="hidden" r:id="rId14"/>
    <sheet name="MTSS " sheetId="113" r:id="rId15"/>
    <sheet name="TITLE IC MIGRANT" sheetId="118" r:id="rId16"/>
    <sheet name="TITLE II B MSP" sheetId="95" state="hidden" r:id="rId17"/>
    <sheet name="Title III PD" sheetId="128" r:id="rId18"/>
    <sheet name="TITLE V CHARTER 44xC " sheetId="121" r:id="rId19"/>
  </sheets>
  <definedNames>
    <definedName name="_xlnm._FilterDatabase" localSheetId="0" hidden="1">'21ST C7 '!$A$8:$DF$8</definedName>
    <definedName name="_xlnm._FilterDatabase" localSheetId="1" hidden="1">'21ST C8'!$A$8:$AO$8</definedName>
    <definedName name="_xlnm._FilterDatabase" localSheetId="18" hidden="1">'TITLE V CHARTER 44xC '!$A$8:$AG$38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4" i="113" l="1"/>
  <c r="C9" i="118" l="1"/>
  <c r="F15" i="116" l="1"/>
  <c r="F14" i="116"/>
  <c r="F13" i="116"/>
  <c r="F12" i="116"/>
  <c r="F11" i="116"/>
  <c r="S17" i="116"/>
  <c r="R17" i="116"/>
  <c r="Q17" i="116"/>
  <c r="P17" i="116"/>
  <c r="O17" i="116"/>
  <c r="N17" i="116"/>
  <c r="M17" i="116"/>
  <c r="L17" i="116"/>
  <c r="K17" i="116"/>
  <c r="J17" i="116"/>
  <c r="F11" i="97" l="1"/>
  <c r="V28" i="97"/>
  <c r="S21" i="131" l="1"/>
  <c r="E16" i="131" l="1"/>
  <c r="V14" i="131"/>
  <c r="V47" i="126"/>
  <c r="V46" i="126"/>
  <c r="AA50" i="126"/>
  <c r="Z50" i="126"/>
  <c r="Y50" i="126"/>
  <c r="X50" i="126"/>
  <c r="W50" i="126"/>
  <c r="U50" i="126"/>
  <c r="T50" i="126"/>
  <c r="V50" i="126" l="1"/>
  <c r="U26" i="97"/>
  <c r="U16" i="97"/>
  <c r="U12" i="97"/>
  <c r="E10" i="116" l="1"/>
  <c r="V10" i="118" l="1"/>
  <c r="V12" i="118"/>
  <c r="U13" i="118" l="1"/>
  <c r="AO40" i="121" l="1"/>
  <c r="AN40" i="121"/>
  <c r="AM40" i="121"/>
  <c r="AL40" i="121"/>
  <c r="AK40" i="121"/>
  <c r="AJ40" i="121"/>
  <c r="AI40" i="121"/>
  <c r="AH40" i="121"/>
  <c r="AG40" i="121"/>
  <c r="AF40" i="121"/>
  <c r="AE40" i="121"/>
  <c r="AD40" i="121"/>
  <c r="AC40" i="121"/>
  <c r="AB40" i="121"/>
  <c r="AA40" i="121"/>
  <c r="Z40" i="121"/>
  <c r="Y40" i="121"/>
  <c r="X40" i="121"/>
  <c r="W40" i="121"/>
  <c r="V40" i="121"/>
  <c r="U40" i="121"/>
  <c r="T40" i="121"/>
  <c r="R40" i="121"/>
  <c r="Q40" i="121"/>
  <c r="N40" i="121"/>
  <c r="M40" i="121"/>
  <c r="K40" i="121"/>
  <c r="J40" i="121"/>
  <c r="I40" i="121"/>
  <c r="H40" i="121"/>
  <c r="S32" i="121"/>
  <c r="S40" i="121" s="1"/>
  <c r="AE18" i="130" l="1"/>
  <c r="AD18" i="130"/>
  <c r="AC18" i="130"/>
  <c r="AB18" i="130"/>
  <c r="AA18" i="130"/>
  <c r="Z18" i="130"/>
  <c r="Y18" i="130"/>
  <c r="X18" i="130"/>
  <c r="W18" i="130"/>
  <c r="V18" i="130"/>
  <c r="U18" i="130"/>
  <c r="T18" i="130"/>
  <c r="R18" i="130"/>
  <c r="Q18" i="130"/>
  <c r="O18" i="130"/>
  <c r="K18" i="130"/>
  <c r="Q23" i="113" l="1"/>
  <c r="T9" i="131" l="1"/>
  <c r="T16" i="97" l="1"/>
  <c r="G37" i="121" l="1"/>
  <c r="E50" i="126"/>
  <c r="E55" i="126" s="1"/>
  <c r="G32" i="97"/>
  <c r="L27" i="93" l="1"/>
  <c r="I10" i="116"/>
  <c r="R15" i="97"/>
  <c r="I17" i="116" l="1"/>
  <c r="F10" i="116"/>
  <c r="P25" i="121"/>
  <c r="O35" i="121"/>
  <c r="P23" i="121"/>
  <c r="P19" i="121"/>
  <c r="O39" i="113" l="1"/>
  <c r="O17" i="113"/>
  <c r="S12" i="130"/>
  <c r="S18" i="130" s="1"/>
  <c r="S27" i="93"/>
  <c r="S25" i="93"/>
  <c r="S24" i="93"/>
  <c r="S16" i="93" l="1"/>
  <c r="S45" i="126"/>
  <c r="S42" i="126"/>
  <c r="S20" i="126"/>
  <c r="S21" i="126"/>
  <c r="S19" i="126"/>
  <c r="S27" i="97"/>
  <c r="S20" i="97"/>
  <c r="S22" i="97"/>
  <c r="S21" i="97"/>
  <c r="S19" i="97"/>
  <c r="S18" i="97" l="1"/>
  <c r="P22" i="121" l="1"/>
  <c r="P40" i="121" s="1"/>
  <c r="S9" i="118" l="1"/>
  <c r="S9" i="128" l="1"/>
  <c r="S12" i="118"/>
  <c r="S22" i="126"/>
  <c r="S50" i="126" s="1"/>
  <c r="S23" i="97"/>
  <c r="R13" i="126" l="1"/>
  <c r="R31" i="126" l="1"/>
  <c r="R33" i="126" l="1"/>
  <c r="R25" i="97"/>
  <c r="R47" i="126" l="1"/>
  <c r="R46" i="126"/>
  <c r="H50" i="126"/>
  <c r="I50" i="126"/>
  <c r="K50" i="126"/>
  <c r="N50" i="126"/>
  <c r="R50" i="126" l="1"/>
  <c r="O33" i="121"/>
  <c r="O25" i="121"/>
  <c r="O14" i="121"/>
  <c r="O40" i="121" s="1"/>
  <c r="R28" i="97"/>
  <c r="O28" i="113"/>
  <c r="O46" i="113" s="1"/>
  <c r="Q27" i="93" l="1"/>
  <c r="P27" i="93"/>
  <c r="P24" i="93"/>
  <c r="F9" i="121" l="1"/>
  <c r="G9" i="121" s="1"/>
  <c r="F12" i="121" l="1"/>
  <c r="G12" i="121" s="1"/>
  <c r="F40" i="113" l="1"/>
  <c r="F41" i="113"/>
  <c r="E41" i="113"/>
  <c r="E40" i="113"/>
  <c r="G41" i="113" l="1"/>
  <c r="G40" i="113"/>
  <c r="Q26" i="93"/>
  <c r="Q13" i="118" l="1"/>
  <c r="Q10" i="118"/>
  <c r="Q15" i="118" s="1"/>
  <c r="Q18" i="131"/>
  <c r="Q25" i="93"/>
  <c r="Q33" i="93" s="1"/>
  <c r="Q30" i="93"/>
  <c r="Q42" i="126" l="1"/>
  <c r="Q10" i="126"/>
  <c r="Q43" i="126"/>
  <c r="Q40" i="126"/>
  <c r="Q9" i="126"/>
  <c r="Q50" i="126" l="1"/>
  <c r="N46" i="113"/>
  <c r="M13" i="130" l="1"/>
  <c r="M18" i="130" s="1"/>
  <c r="P46" i="126" l="1"/>
  <c r="P47" i="126" l="1"/>
  <c r="P45" i="126"/>
  <c r="P33" i="126"/>
  <c r="P15" i="131" l="1"/>
  <c r="P12" i="130" l="1"/>
  <c r="P18" i="130" s="1"/>
  <c r="P28" i="97" l="1"/>
  <c r="P27" i="97"/>
  <c r="P25" i="97"/>
  <c r="M38" i="113" l="1"/>
  <c r="M46" i="113" s="1"/>
  <c r="E40" i="121" l="1"/>
  <c r="F14" i="113"/>
  <c r="G14" i="113" s="1"/>
  <c r="E19" i="113" l="1"/>
  <c r="D46" i="113"/>
  <c r="C46" i="113"/>
  <c r="F38" i="121" l="1"/>
  <c r="G38" i="121" s="1"/>
  <c r="F40" i="126" l="1"/>
  <c r="O28" i="126" l="1"/>
  <c r="F36" i="121" l="1"/>
  <c r="G36" i="121" s="1"/>
  <c r="F33" i="121"/>
  <c r="G33" i="121" s="1"/>
  <c r="O44" i="126" l="1"/>
  <c r="O10" i="126" l="1"/>
  <c r="O39" i="126"/>
  <c r="O9" i="126"/>
  <c r="L16" i="121"/>
  <c r="L40" i="121" s="1"/>
  <c r="O21" i="131"/>
  <c r="O50" i="126" l="1"/>
  <c r="O33" i="93"/>
  <c r="O26" i="97" l="1"/>
  <c r="O9" i="97"/>
  <c r="L32" i="113" l="1"/>
  <c r="E10" i="113" l="1"/>
  <c r="E46" i="113" s="1"/>
  <c r="L46" i="126" l="1"/>
  <c r="T17" i="116" l="1"/>
  <c r="U17" i="116"/>
  <c r="G13" i="116"/>
  <c r="G14" i="116"/>
  <c r="G15" i="116"/>
  <c r="F9" i="116"/>
  <c r="F17" i="116" s="1"/>
  <c r="AJ11" i="137" l="1"/>
  <c r="AI11" i="137"/>
  <c r="AH11" i="137"/>
  <c r="AG11" i="137"/>
  <c r="AF11" i="137"/>
  <c r="AE11" i="137"/>
  <c r="AD11" i="137"/>
  <c r="AC11" i="137"/>
  <c r="AB11" i="137"/>
  <c r="AA11" i="137"/>
  <c r="Z11" i="137"/>
  <c r="Y11" i="137"/>
  <c r="X11" i="137"/>
  <c r="W11" i="137"/>
  <c r="V11" i="137"/>
  <c r="U11" i="137"/>
  <c r="T11" i="137"/>
  <c r="S11" i="137"/>
  <c r="R11" i="137"/>
  <c r="Q11" i="137"/>
  <c r="P11" i="137"/>
  <c r="O11" i="137"/>
  <c r="N11" i="137"/>
  <c r="M11" i="137"/>
  <c r="L11" i="137"/>
  <c r="K11" i="137"/>
  <c r="J11" i="137"/>
  <c r="I11" i="137"/>
  <c r="H11" i="137"/>
  <c r="C11" i="137"/>
  <c r="E11" i="137" s="1"/>
  <c r="F9" i="137"/>
  <c r="G9" i="137" s="1"/>
  <c r="G11" i="137" s="1"/>
  <c r="E9" i="137"/>
  <c r="AA2" i="137"/>
  <c r="T2" i="137"/>
  <c r="N2" i="137"/>
  <c r="AA1" i="137"/>
  <c r="T1" i="137"/>
  <c r="N1" i="137"/>
  <c r="AD15" i="136"/>
  <c r="AC15" i="136"/>
  <c r="AB15" i="136"/>
  <c r="AA15" i="136"/>
  <c r="Z15" i="136"/>
  <c r="Y15" i="136"/>
  <c r="X15" i="136"/>
  <c r="W15" i="136"/>
  <c r="V15" i="136"/>
  <c r="U15" i="136"/>
  <c r="T15" i="136"/>
  <c r="S15" i="136"/>
  <c r="R15" i="136"/>
  <c r="Q15" i="136"/>
  <c r="P15" i="136"/>
  <c r="O15" i="136"/>
  <c r="N15" i="136"/>
  <c r="M15" i="136"/>
  <c r="L15" i="136"/>
  <c r="K15" i="136"/>
  <c r="J15" i="136"/>
  <c r="I15" i="136"/>
  <c r="H15" i="136"/>
  <c r="C15" i="136"/>
  <c r="E15" i="136" s="1"/>
  <c r="F13" i="136"/>
  <c r="G13" i="136" s="1"/>
  <c r="E13" i="136"/>
  <c r="F12" i="136"/>
  <c r="G12" i="136" s="1"/>
  <c r="E12" i="136"/>
  <c r="F11" i="136"/>
  <c r="G11" i="136" s="1"/>
  <c r="E11" i="136"/>
  <c r="F10" i="136"/>
  <c r="G10" i="136" s="1"/>
  <c r="E10" i="136"/>
  <c r="F9" i="136"/>
  <c r="E9" i="136"/>
  <c r="T2" i="136"/>
  <c r="N2" i="136"/>
  <c r="T1" i="136"/>
  <c r="N1" i="136"/>
  <c r="AB13" i="133"/>
  <c r="AA13" i="133"/>
  <c r="Z13" i="133"/>
  <c r="Y13" i="133"/>
  <c r="X13" i="133"/>
  <c r="W13" i="133"/>
  <c r="V13" i="133"/>
  <c r="U13" i="133"/>
  <c r="T13" i="133"/>
  <c r="S13" i="133"/>
  <c r="R13" i="133"/>
  <c r="Q13" i="133"/>
  <c r="P13" i="133"/>
  <c r="O13" i="133"/>
  <c r="N13" i="133"/>
  <c r="M13" i="133"/>
  <c r="L13" i="133"/>
  <c r="K13" i="133"/>
  <c r="J13" i="133"/>
  <c r="I13" i="133"/>
  <c r="H13" i="133"/>
  <c r="G13" i="133"/>
  <c r="F13" i="133"/>
  <c r="C13" i="133"/>
  <c r="D11" i="133"/>
  <c r="E11" i="133" s="1"/>
  <c r="D10" i="133"/>
  <c r="E10" i="133" s="1"/>
  <c r="D9" i="133"/>
  <c r="E9" i="133" s="1"/>
  <c r="R2" i="133"/>
  <c r="L2" i="133"/>
  <c r="R1" i="133"/>
  <c r="L1" i="133"/>
  <c r="AB18" i="132"/>
  <c r="AA18" i="132"/>
  <c r="Z18" i="132"/>
  <c r="Y18" i="132"/>
  <c r="X18" i="132"/>
  <c r="W18" i="132"/>
  <c r="V18" i="132"/>
  <c r="U18" i="132"/>
  <c r="T18" i="132"/>
  <c r="S18" i="132"/>
  <c r="R18" i="132"/>
  <c r="Q18" i="132"/>
  <c r="P18" i="132"/>
  <c r="O18" i="132"/>
  <c r="N18" i="132"/>
  <c r="M18" i="132"/>
  <c r="L18" i="132"/>
  <c r="K18" i="132"/>
  <c r="J18" i="132"/>
  <c r="I18" i="132"/>
  <c r="H18" i="132"/>
  <c r="E18" i="132"/>
  <c r="F16" i="132"/>
  <c r="G16" i="132" s="1"/>
  <c r="F15" i="132"/>
  <c r="G15" i="132" s="1"/>
  <c r="F14" i="132"/>
  <c r="G14" i="132" s="1"/>
  <c r="F13" i="132"/>
  <c r="G13" i="132" s="1"/>
  <c r="F12" i="132"/>
  <c r="G12" i="132" s="1"/>
  <c r="F11" i="132"/>
  <c r="G11" i="132" s="1"/>
  <c r="F10" i="132"/>
  <c r="G10" i="132" s="1"/>
  <c r="F9" i="132"/>
  <c r="W2" i="132"/>
  <c r="P2" i="132"/>
  <c r="J2" i="132"/>
  <c r="W1" i="132"/>
  <c r="P1" i="132"/>
  <c r="J1" i="132"/>
  <c r="E13" i="133" l="1"/>
  <c r="D13" i="133"/>
  <c r="F18" i="132"/>
  <c r="F15" i="136"/>
  <c r="G9" i="136"/>
  <c r="F11" i="137"/>
  <c r="G15" i="136"/>
  <c r="G9" i="132"/>
  <c r="G18" i="132" s="1"/>
  <c r="F11" i="118"/>
  <c r="G11" i="118" s="1"/>
  <c r="N48" i="126" l="1"/>
  <c r="AJ25" i="131"/>
  <c r="AI25" i="131"/>
  <c r="AH25" i="131"/>
  <c r="AG25" i="131"/>
  <c r="AF25" i="131"/>
  <c r="AE25" i="131"/>
  <c r="AD25" i="131"/>
  <c r="AC25" i="131"/>
  <c r="AB25" i="131"/>
  <c r="AA25" i="131"/>
  <c r="Z25" i="131"/>
  <c r="Y25" i="131"/>
  <c r="X25" i="131"/>
  <c r="W25" i="131"/>
  <c r="V25" i="131"/>
  <c r="U25" i="131"/>
  <c r="T25" i="131"/>
  <c r="S25" i="131"/>
  <c r="R25" i="131"/>
  <c r="Q25" i="131"/>
  <c r="P25" i="131"/>
  <c r="O25" i="131"/>
  <c r="N25" i="131"/>
  <c r="M25" i="131"/>
  <c r="K25" i="131"/>
  <c r="J25" i="131"/>
  <c r="I25" i="131"/>
  <c r="H25" i="131"/>
  <c r="C25" i="131"/>
  <c r="F23" i="131"/>
  <c r="E23" i="131"/>
  <c r="F22" i="131"/>
  <c r="E22" i="131"/>
  <c r="F21" i="131"/>
  <c r="G21" i="131" s="1"/>
  <c r="F20" i="131"/>
  <c r="E20" i="131"/>
  <c r="L19" i="131"/>
  <c r="F19" i="131" s="1"/>
  <c r="E19" i="131"/>
  <c r="F18" i="131"/>
  <c r="E18" i="131"/>
  <c r="F17" i="131"/>
  <c r="E17" i="131"/>
  <c r="F16" i="131"/>
  <c r="F15" i="131"/>
  <c r="E15" i="131"/>
  <c r="F14" i="131"/>
  <c r="E14" i="131"/>
  <c r="F13" i="131"/>
  <c r="E13" i="131"/>
  <c r="F12" i="131"/>
  <c r="E12" i="131"/>
  <c r="F11" i="131"/>
  <c r="E11" i="131"/>
  <c r="F10" i="131"/>
  <c r="E10" i="131"/>
  <c r="F9" i="131"/>
  <c r="E9" i="131"/>
  <c r="AA2" i="131"/>
  <c r="T2" i="131"/>
  <c r="N2" i="131"/>
  <c r="J2" i="131"/>
  <c r="AA1" i="131"/>
  <c r="T1" i="131"/>
  <c r="N1" i="131"/>
  <c r="J1" i="131"/>
  <c r="N14" i="130"/>
  <c r="N12" i="130"/>
  <c r="N18" i="130" s="1"/>
  <c r="E25" i="131" l="1"/>
  <c r="F25" i="131"/>
  <c r="G18" i="131"/>
  <c r="G11" i="131"/>
  <c r="G23" i="131"/>
  <c r="G17" i="131"/>
  <c r="G12" i="131"/>
  <c r="G14" i="131"/>
  <c r="G13" i="131"/>
  <c r="G15" i="131"/>
  <c r="G10" i="131"/>
  <c r="G16" i="131"/>
  <c r="G20" i="131"/>
  <c r="G22" i="131"/>
  <c r="G19" i="131"/>
  <c r="L25" i="131"/>
  <c r="G9" i="131"/>
  <c r="G25" i="131" l="1"/>
  <c r="N24" i="93" l="1"/>
  <c r="N30" i="97"/>
  <c r="N17" i="97"/>
  <c r="AJ18" i="130" l="1"/>
  <c r="AI18" i="130"/>
  <c r="AH18" i="130"/>
  <c r="AG18" i="130"/>
  <c r="AF18" i="130"/>
  <c r="I18" i="130"/>
  <c r="H18" i="130"/>
  <c r="C18" i="130"/>
  <c r="F16" i="130"/>
  <c r="E16" i="130"/>
  <c r="J15" i="130"/>
  <c r="F15" i="130" s="1"/>
  <c r="E15" i="130"/>
  <c r="J14" i="130"/>
  <c r="F14" i="130" s="1"/>
  <c r="E14" i="130"/>
  <c r="E13" i="130"/>
  <c r="L12" i="130"/>
  <c r="L18" i="130" s="1"/>
  <c r="J12" i="130"/>
  <c r="E12" i="130"/>
  <c r="F11" i="130"/>
  <c r="E11" i="130"/>
  <c r="F10" i="130"/>
  <c r="E10" i="130"/>
  <c r="F9" i="130"/>
  <c r="E9" i="130"/>
  <c r="AH2" i="130"/>
  <c r="AA2" i="130"/>
  <c r="T2" i="130"/>
  <c r="N2" i="130"/>
  <c r="AH1" i="130"/>
  <c r="AA1" i="130"/>
  <c r="T1" i="130"/>
  <c r="N1" i="130"/>
  <c r="G9" i="130" l="1"/>
  <c r="E18" i="130"/>
  <c r="J18" i="130"/>
  <c r="G11" i="130"/>
  <c r="G15" i="130"/>
  <c r="G14" i="130"/>
  <c r="G16" i="130"/>
  <c r="G10" i="130"/>
  <c r="F12" i="130"/>
  <c r="G12" i="130" s="1"/>
  <c r="F13" i="130"/>
  <c r="G13" i="130" l="1"/>
  <c r="G18" i="130" s="1"/>
  <c r="F18" i="130"/>
  <c r="F35" i="121" l="1"/>
  <c r="G35" i="121" s="1"/>
  <c r="F31" i="121"/>
  <c r="G31" i="121" s="1"/>
  <c r="F24" i="121"/>
  <c r="G24" i="121" s="1"/>
  <c r="F23" i="121"/>
  <c r="G23" i="121" s="1"/>
  <c r="F22" i="121"/>
  <c r="G22" i="121" s="1"/>
  <c r="F17" i="121"/>
  <c r="G17" i="121" s="1"/>
  <c r="F15" i="121"/>
  <c r="G15" i="121" s="1"/>
  <c r="F13" i="121"/>
  <c r="G13" i="121" s="1"/>
  <c r="F27" i="121"/>
  <c r="G27" i="121" s="1"/>
  <c r="F16" i="121"/>
  <c r="G16" i="121" s="1"/>
  <c r="F20" i="121"/>
  <c r="G20" i="121" s="1"/>
  <c r="F19" i="121"/>
  <c r="G19" i="121" s="1"/>
  <c r="F21" i="121"/>
  <c r="G21" i="121" s="1"/>
  <c r="F25" i="121"/>
  <c r="G25" i="121" s="1"/>
  <c r="F29" i="121"/>
  <c r="G29" i="121" s="1"/>
  <c r="F34" i="121"/>
  <c r="G34" i="121" s="1"/>
  <c r="F30" i="121"/>
  <c r="G30" i="121" s="1"/>
  <c r="F18" i="121"/>
  <c r="G18" i="121" s="1"/>
  <c r="F14" i="121"/>
  <c r="G14" i="121" s="1"/>
  <c r="F11" i="121"/>
  <c r="G11" i="121" s="1"/>
  <c r="F26" i="121"/>
  <c r="G26" i="121" s="1"/>
  <c r="F28" i="121"/>
  <c r="G28" i="121" s="1"/>
  <c r="F10" i="121"/>
  <c r="G10" i="121" s="1"/>
  <c r="M9" i="126" l="1"/>
  <c r="M50" i="126" s="1"/>
  <c r="M26" i="93"/>
  <c r="L46" i="113" l="1"/>
  <c r="K46" i="113"/>
  <c r="J46" i="113"/>
  <c r="L30" i="93" l="1"/>
  <c r="C17" i="116" l="1"/>
  <c r="AJ11" i="128" l="1"/>
  <c r="AI11" i="128"/>
  <c r="AH11" i="128"/>
  <c r="AG11" i="128"/>
  <c r="AF11" i="128"/>
  <c r="AE11" i="128"/>
  <c r="AD11" i="128"/>
  <c r="AC11" i="128"/>
  <c r="AB11" i="128"/>
  <c r="AA11" i="128"/>
  <c r="Z11" i="128"/>
  <c r="Y11" i="128"/>
  <c r="X11" i="128"/>
  <c r="W11" i="128"/>
  <c r="V11" i="128"/>
  <c r="U11" i="128"/>
  <c r="T11" i="128"/>
  <c r="S11" i="128"/>
  <c r="R11" i="128"/>
  <c r="Q11" i="128"/>
  <c r="P11" i="128"/>
  <c r="O11" i="128"/>
  <c r="N11" i="128"/>
  <c r="M11" i="128"/>
  <c r="K11" i="128"/>
  <c r="I11" i="128"/>
  <c r="H11" i="128"/>
  <c r="C11" i="128"/>
  <c r="E11" i="128" s="1"/>
  <c r="L11" i="128"/>
  <c r="J11" i="128"/>
  <c r="F9" i="128"/>
  <c r="G9" i="128" s="1"/>
  <c r="AA2" i="128"/>
  <c r="T2" i="128"/>
  <c r="N2" i="128"/>
  <c r="AA1" i="128"/>
  <c r="T1" i="128"/>
  <c r="N1" i="128"/>
  <c r="G11" i="128" l="1"/>
  <c r="Z16" i="127"/>
  <c r="Y16" i="127"/>
  <c r="X16" i="127"/>
  <c r="W16" i="127"/>
  <c r="V16" i="127"/>
  <c r="U16" i="127"/>
  <c r="T16" i="127"/>
  <c r="S16" i="127"/>
  <c r="R16" i="127"/>
  <c r="Q16" i="127"/>
  <c r="P16" i="127"/>
  <c r="O16" i="127"/>
  <c r="N16" i="127"/>
  <c r="M16" i="127"/>
  <c r="L16" i="127"/>
  <c r="K16" i="127"/>
  <c r="J16" i="127"/>
  <c r="I16" i="127"/>
  <c r="H16" i="127"/>
  <c r="G16" i="127"/>
  <c r="F16" i="127"/>
  <c r="C16" i="127"/>
  <c r="D14" i="127"/>
  <c r="E14" i="127" s="1"/>
  <c r="D13" i="127"/>
  <c r="E13" i="127" s="1"/>
  <c r="D12" i="127"/>
  <c r="E12" i="127" s="1"/>
  <c r="D11" i="127"/>
  <c r="E11" i="127" s="1"/>
  <c r="D10" i="127"/>
  <c r="E10" i="127" s="1"/>
  <c r="D9" i="127"/>
  <c r="E9" i="127" s="1"/>
  <c r="W2" i="127"/>
  <c r="P2" i="127"/>
  <c r="J2" i="127"/>
  <c r="W1" i="127"/>
  <c r="P1" i="127"/>
  <c r="J1" i="127"/>
  <c r="F11" i="128" l="1"/>
  <c r="D16" i="127"/>
  <c r="E16" i="127"/>
  <c r="F10" i="113" l="1"/>
  <c r="F11" i="113"/>
  <c r="G11" i="113" s="1"/>
  <c r="F12" i="113"/>
  <c r="G12" i="113" s="1"/>
  <c r="F13" i="113"/>
  <c r="G13" i="113" s="1"/>
  <c r="F25" i="113"/>
  <c r="G25" i="113" s="1"/>
  <c r="F15" i="113"/>
  <c r="G15" i="113" s="1"/>
  <c r="F16" i="113"/>
  <c r="G16" i="113" s="1"/>
  <c r="F17" i="113"/>
  <c r="G17" i="113" s="1"/>
  <c r="F18" i="113"/>
  <c r="G18" i="113" s="1"/>
  <c r="F19" i="113"/>
  <c r="G19" i="113" s="1"/>
  <c r="F20" i="113"/>
  <c r="G20" i="113" s="1"/>
  <c r="F21" i="113"/>
  <c r="G21" i="113" s="1"/>
  <c r="F22" i="113"/>
  <c r="G22" i="113" s="1"/>
  <c r="F23" i="113"/>
  <c r="G23" i="113" s="1"/>
  <c r="F24" i="113"/>
  <c r="G24" i="113" s="1"/>
  <c r="F26" i="113"/>
  <c r="G26" i="113" s="1"/>
  <c r="F27" i="113"/>
  <c r="G27" i="113" s="1"/>
  <c r="F29" i="113"/>
  <c r="G29" i="113" s="1"/>
  <c r="F30" i="113"/>
  <c r="G30" i="113" s="1"/>
  <c r="F31" i="113"/>
  <c r="G31" i="113" s="1"/>
  <c r="F32" i="113"/>
  <c r="G32" i="113" s="1"/>
  <c r="F35" i="113"/>
  <c r="G35" i="113" s="1"/>
  <c r="F36" i="113"/>
  <c r="G36" i="113" s="1"/>
  <c r="F37" i="113"/>
  <c r="G37" i="113" s="1"/>
  <c r="F38" i="113"/>
  <c r="G38" i="113" s="1"/>
  <c r="F39" i="113"/>
  <c r="G39" i="113" s="1"/>
  <c r="F9" i="113"/>
  <c r="G9" i="113" l="1"/>
  <c r="L10" i="126"/>
  <c r="L50" i="126" s="1"/>
  <c r="L48" i="126"/>
  <c r="L47" i="126"/>
  <c r="F47" i="126" s="1"/>
  <c r="G47" i="126" s="1"/>
  <c r="L45" i="126"/>
  <c r="P33" i="113" l="1"/>
  <c r="P46" i="113" s="1"/>
  <c r="L13" i="118"/>
  <c r="L24" i="93"/>
  <c r="L17" i="93"/>
  <c r="Q33" i="113" l="1"/>
  <c r="Q46" i="113" s="1"/>
  <c r="F33" i="113" l="1"/>
  <c r="L28" i="97"/>
  <c r="L29" i="97"/>
  <c r="L27" i="97"/>
  <c r="L13" i="97"/>
  <c r="G33" i="113" l="1"/>
  <c r="E9" i="116"/>
  <c r="G10" i="116"/>
  <c r="E11" i="116"/>
  <c r="G11" i="116" s="1"/>
  <c r="E12" i="116"/>
  <c r="G12" i="116" s="1"/>
  <c r="G9" i="116" l="1"/>
  <c r="E17" i="116"/>
  <c r="G17" i="116"/>
  <c r="F31" i="93"/>
  <c r="K25" i="93" l="1"/>
  <c r="K28" i="93"/>
  <c r="F21" i="93" l="1"/>
  <c r="E21" i="93"/>
  <c r="G21" i="93" l="1"/>
  <c r="K16" i="93"/>
  <c r="K43" i="126" l="1"/>
  <c r="J13" i="118" l="1"/>
  <c r="F9" i="126" l="1"/>
  <c r="F11" i="126"/>
  <c r="G11" i="126" s="1"/>
  <c r="F12" i="126"/>
  <c r="G12" i="126" s="1"/>
  <c r="F13" i="126"/>
  <c r="G13" i="126" s="1"/>
  <c r="F14" i="126"/>
  <c r="G14" i="126" s="1"/>
  <c r="F15" i="126"/>
  <c r="G15" i="126" s="1"/>
  <c r="F17" i="126"/>
  <c r="G17" i="126" s="1"/>
  <c r="F16" i="126"/>
  <c r="G16" i="126" s="1"/>
  <c r="F18" i="126"/>
  <c r="G18" i="126" s="1"/>
  <c r="F19" i="126"/>
  <c r="G19" i="126" s="1"/>
  <c r="F20" i="126"/>
  <c r="G20" i="126" s="1"/>
  <c r="F21" i="126"/>
  <c r="G21" i="126" s="1"/>
  <c r="F22" i="126"/>
  <c r="G22" i="126" s="1"/>
  <c r="F23" i="126"/>
  <c r="G23" i="126" s="1"/>
  <c r="F24" i="126"/>
  <c r="G24" i="126" s="1"/>
  <c r="F25" i="126"/>
  <c r="G25" i="126" s="1"/>
  <c r="F26" i="126"/>
  <c r="G26" i="126" s="1"/>
  <c r="F27" i="126"/>
  <c r="F28" i="126"/>
  <c r="G28" i="126" s="1"/>
  <c r="F29" i="126"/>
  <c r="G29" i="126" s="1"/>
  <c r="F30" i="126"/>
  <c r="F31" i="126"/>
  <c r="G31" i="126" s="1"/>
  <c r="F32" i="126"/>
  <c r="G32" i="126" s="1"/>
  <c r="F34" i="126"/>
  <c r="G34" i="126" s="1"/>
  <c r="F35" i="126"/>
  <c r="G35" i="126" s="1"/>
  <c r="F36" i="126"/>
  <c r="G36" i="126" s="1"/>
  <c r="F37" i="126"/>
  <c r="G37" i="126" s="1"/>
  <c r="F38" i="126"/>
  <c r="G38" i="126" s="1"/>
  <c r="F39" i="126"/>
  <c r="G39" i="126" s="1"/>
  <c r="F41" i="126"/>
  <c r="G41" i="126" s="1"/>
  <c r="F42" i="126"/>
  <c r="G42" i="126" s="1"/>
  <c r="F43" i="126"/>
  <c r="G43" i="126" s="1"/>
  <c r="F44" i="126"/>
  <c r="G44" i="126" s="1"/>
  <c r="F45" i="126"/>
  <c r="G45" i="126" s="1"/>
  <c r="F46" i="126"/>
  <c r="G46" i="126" s="1"/>
  <c r="F48" i="126"/>
  <c r="G48" i="126" s="1"/>
  <c r="W2" i="126"/>
  <c r="P2" i="126"/>
  <c r="J2" i="126"/>
  <c r="W1" i="126"/>
  <c r="P1" i="126"/>
  <c r="J1" i="126"/>
  <c r="F10" i="93"/>
  <c r="F11" i="93"/>
  <c r="F12" i="93"/>
  <c r="F13" i="93"/>
  <c r="F14" i="93"/>
  <c r="F15" i="93"/>
  <c r="F16" i="93"/>
  <c r="F17" i="93"/>
  <c r="F18" i="93"/>
  <c r="F19" i="93"/>
  <c r="F20" i="93"/>
  <c r="F22" i="93"/>
  <c r="F23" i="93"/>
  <c r="F24" i="93"/>
  <c r="F25" i="93"/>
  <c r="F26" i="93"/>
  <c r="F27" i="93"/>
  <c r="F28" i="93"/>
  <c r="F29" i="93"/>
  <c r="F9" i="93"/>
  <c r="G9" i="126" l="1"/>
  <c r="G30" i="126"/>
  <c r="J50" i="126"/>
  <c r="P50" i="126"/>
  <c r="G27" i="126"/>
  <c r="AB16" i="125"/>
  <c r="AA16" i="125"/>
  <c r="Z16" i="125"/>
  <c r="Y16" i="125"/>
  <c r="X16" i="125"/>
  <c r="W16" i="125"/>
  <c r="V16" i="125"/>
  <c r="U16" i="125"/>
  <c r="T16" i="125"/>
  <c r="S16" i="125"/>
  <c r="R16" i="125"/>
  <c r="Q16" i="125"/>
  <c r="P16" i="125"/>
  <c r="O16" i="125"/>
  <c r="N16" i="125"/>
  <c r="M16" i="125"/>
  <c r="L16" i="125"/>
  <c r="K16" i="125"/>
  <c r="J16" i="125"/>
  <c r="I16" i="125"/>
  <c r="H16" i="125"/>
  <c r="E16" i="125"/>
  <c r="F14" i="125"/>
  <c r="G14" i="125" s="1"/>
  <c r="F13" i="125"/>
  <c r="G13" i="125" s="1"/>
  <c r="F12" i="125"/>
  <c r="G12" i="125" s="1"/>
  <c r="F11" i="125"/>
  <c r="G11" i="125" s="1"/>
  <c r="F10" i="125"/>
  <c r="G10" i="125" s="1"/>
  <c r="F9" i="125"/>
  <c r="G9" i="125" s="1"/>
  <c r="W2" i="125"/>
  <c r="P2" i="125"/>
  <c r="J2" i="125"/>
  <c r="W1" i="125"/>
  <c r="P1" i="125"/>
  <c r="J1" i="125"/>
  <c r="F16" i="125" l="1"/>
  <c r="G16" i="125"/>
  <c r="F30" i="97"/>
  <c r="G30" i="97" s="1"/>
  <c r="F29" i="97"/>
  <c r="G29" i="97" s="1"/>
  <c r="F28" i="97"/>
  <c r="G28" i="97" s="1"/>
  <c r="F27" i="97"/>
  <c r="G27" i="97" s="1"/>
  <c r="F26" i="97"/>
  <c r="G26" i="97" s="1"/>
  <c r="F25" i="97"/>
  <c r="G25" i="97" s="1"/>
  <c r="F24" i="97"/>
  <c r="G24" i="97" s="1"/>
  <c r="F23" i="97"/>
  <c r="G23" i="97" s="1"/>
  <c r="F22" i="97"/>
  <c r="G22" i="97" s="1"/>
  <c r="F21" i="97"/>
  <c r="G21" i="97" s="1"/>
  <c r="F20" i="97"/>
  <c r="G20" i="97" s="1"/>
  <c r="F19" i="97"/>
  <c r="G19" i="97" s="1"/>
  <c r="F18" i="97"/>
  <c r="G18" i="97" s="1"/>
  <c r="F17" i="97"/>
  <c r="G17" i="97" s="1"/>
  <c r="F16" i="97"/>
  <c r="G16" i="97" s="1"/>
  <c r="F15" i="97"/>
  <c r="G15" i="97" s="1"/>
  <c r="F14" i="97"/>
  <c r="G14" i="97" s="1"/>
  <c r="F13" i="97"/>
  <c r="G13" i="97" s="1"/>
  <c r="G11" i="97"/>
  <c r="F12" i="97"/>
  <c r="G12" i="97" s="1"/>
  <c r="F10" i="97"/>
  <c r="G10" i="97" s="1"/>
  <c r="F9" i="97"/>
  <c r="G9" i="97" s="1"/>
  <c r="F31" i="97" l="1"/>
  <c r="Y2" i="121" l="1"/>
  <c r="R2" i="121"/>
  <c r="L2" i="121"/>
  <c r="Y1" i="121"/>
  <c r="R1" i="121"/>
  <c r="L1" i="121"/>
  <c r="F10" i="95" l="1"/>
  <c r="F11" i="95"/>
  <c r="F12" i="95"/>
  <c r="F13" i="95"/>
  <c r="F14" i="95"/>
  <c r="F9" i="95"/>
  <c r="E10" i="99" l="1"/>
  <c r="E11" i="99"/>
  <c r="E9" i="99"/>
  <c r="E10" i="105"/>
  <c r="E9" i="105"/>
  <c r="E10" i="93"/>
  <c r="G10" i="93" s="1"/>
  <c r="E11" i="93"/>
  <c r="G11" i="93" s="1"/>
  <c r="E12" i="93"/>
  <c r="G12" i="93" s="1"/>
  <c r="E13" i="93"/>
  <c r="G13" i="93" s="1"/>
  <c r="E14" i="93"/>
  <c r="G14" i="93" s="1"/>
  <c r="E15" i="93"/>
  <c r="G15" i="93" s="1"/>
  <c r="E16" i="93"/>
  <c r="G16" i="93" s="1"/>
  <c r="E17" i="93"/>
  <c r="G17" i="93" s="1"/>
  <c r="E18" i="93"/>
  <c r="G18" i="93" s="1"/>
  <c r="E19" i="93"/>
  <c r="G19" i="93" s="1"/>
  <c r="E20" i="93"/>
  <c r="G20" i="93" s="1"/>
  <c r="E22" i="93"/>
  <c r="G22" i="93" s="1"/>
  <c r="E23" i="93"/>
  <c r="G23" i="93" s="1"/>
  <c r="E24" i="93"/>
  <c r="G24" i="93" s="1"/>
  <c r="E25" i="93"/>
  <c r="G25" i="93" s="1"/>
  <c r="E26" i="93"/>
  <c r="G26" i="93" s="1"/>
  <c r="E27" i="93"/>
  <c r="G27" i="93" s="1"/>
  <c r="E28" i="93"/>
  <c r="G28" i="93" s="1"/>
  <c r="E29" i="93"/>
  <c r="G29" i="93" s="1"/>
  <c r="E30" i="93"/>
  <c r="E31" i="93"/>
  <c r="G31" i="93" s="1"/>
  <c r="E9" i="93"/>
  <c r="G9" i="93" l="1"/>
  <c r="E33" i="93"/>
  <c r="E13" i="105"/>
  <c r="AA31" i="97"/>
  <c r="AB31" i="97"/>
  <c r="AI33" i="93"/>
  <c r="AJ33" i="93"/>
  <c r="AF13" i="105"/>
  <c r="AG13" i="105"/>
  <c r="L13" i="99"/>
  <c r="M13" i="99"/>
  <c r="AJ16" i="95"/>
  <c r="AK16" i="95"/>
  <c r="AI15" i="118"/>
  <c r="AJ15" i="118"/>
  <c r="AG2" i="95"/>
  <c r="AG1" i="95"/>
  <c r="Z2" i="95"/>
  <c r="Z1" i="95"/>
  <c r="AA1" i="118"/>
  <c r="T1" i="118"/>
  <c r="N1" i="118"/>
  <c r="AA2" i="113"/>
  <c r="AA1" i="113"/>
  <c r="T2" i="113"/>
  <c r="T1" i="113"/>
  <c r="N2" i="113"/>
  <c r="N1" i="113"/>
  <c r="AE13" i="105"/>
  <c r="AD13" i="105"/>
  <c r="AC13" i="105"/>
  <c r="AB13" i="105"/>
  <c r="AA13" i="105"/>
  <c r="Z13" i="105"/>
  <c r="Y13" i="105"/>
  <c r="X13" i="105"/>
  <c r="W13" i="105"/>
  <c r="V13" i="105"/>
  <c r="U13" i="105"/>
  <c r="T13" i="105"/>
  <c r="S13" i="105"/>
  <c r="R13" i="105"/>
  <c r="Q13" i="105"/>
  <c r="P13" i="105"/>
  <c r="O13" i="105"/>
  <c r="N13" i="105"/>
  <c r="M13" i="105"/>
  <c r="L13" i="105"/>
  <c r="K13" i="105"/>
  <c r="J13" i="105"/>
  <c r="I13" i="105"/>
  <c r="H13" i="105"/>
  <c r="C13" i="105"/>
  <c r="F11" i="105"/>
  <c r="F10" i="105"/>
  <c r="G10" i="105" s="1"/>
  <c r="F9" i="105"/>
  <c r="G9" i="105" s="1"/>
  <c r="AA2" i="105"/>
  <c r="AA1" i="105"/>
  <c r="T2" i="105"/>
  <c r="T1" i="105"/>
  <c r="N2" i="105"/>
  <c r="N1" i="105"/>
  <c r="AG2" i="93"/>
  <c r="AG1" i="93"/>
  <c r="AA2" i="93"/>
  <c r="AA1" i="93"/>
  <c r="T2" i="93"/>
  <c r="T1" i="93"/>
  <c r="N2" i="93"/>
  <c r="N1" i="93"/>
  <c r="O2" i="116"/>
  <c r="O1" i="116"/>
  <c r="H2" i="116"/>
  <c r="H1" i="116"/>
  <c r="G11" i="105" l="1"/>
  <c r="G13" i="105" s="1"/>
  <c r="F13" i="105"/>
  <c r="W2" i="97"/>
  <c r="P2" i="97"/>
  <c r="J2" i="97"/>
  <c r="W1" i="97"/>
  <c r="P1" i="97"/>
  <c r="J1" i="97"/>
  <c r="F9" i="118" l="1"/>
  <c r="G9" i="118" s="1"/>
  <c r="F10" i="118"/>
  <c r="G10" i="118" s="1"/>
  <c r="F12" i="118"/>
  <c r="G12" i="118" s="1"/>
  <c r="F13" i="118"/>
  <c r="G13" i="118" s="1"/>
  <c r="C15" i="118"/>
  <c r="E15" i="118" s="1"/>
  <c r="H15" i="118"/>
  <c r="I15" i="118"/>
  <c r="J15" i="118"/>
  <c r="K15" i="118"/>
  <c r="M15" i="118"/>
  <c r="N15" i="118"/>
  <c r="O15" i="118"/>
  <c r="P15" i="118"/>
  <c r="R15" i="118"/>
  <c r="S15" i="118"/>
  <c r="T15" i="118"/>
  <c r="U15" i="118"/>
  <c r="V15" i="118"/>
  <c r="W15" i="118"/>
  <c r="X15" i="118"/>
  <c r="Y15" i="118"/>
  <c r="Z15" i="118"/>
  <c r="AA15" i="118"/>
  <c r="AB15" i="118"/>
  <c r="AC15" i="118"/>
  <c r="AD15" i="118"/>
  <c r="AE15" i="118"/>
  <c r="AF15" i="118"/>
  <c r="AG15" i="118"/>
  <c r="AH15" i="118"/>
  <c r="AA2" i="118" l="1"/>
  <c r="N2" i="118"/>
  <c r="T2" i="118"/>
  <c r="L15" i="118"/>
  <c r="F15" i="118"/>
  <c r="G15" i="118"/>
  <c r="G10" i="95" l="1"/>
  <c r="G11" i="95"/>
  <c r="G12" i="95"/>
  <c r="G13" i="95"/>
  <c r="G14" i="95"/>
  <c r="H14" i="95" s="1"/>
  <c r="G9" i="95"/>
  <c r="H10" i="95" l="1"/>
  <c r="H11" i="95"/>
  <c r="H12" i="95"/>
  <c r="H13" i="95"/>
  <c r="H9" i="95"/>
  <c r="F16" i="95" l="1"/>
  <c r="V34" i="113" l="1"/>
  <c r="V46" i="113" s="1"/>
  <c r="U34" i="113"/>
  <c r="U46" i="113" s="1"/>
  <c r="T34" i="113"/>
  <c r="T46" i="113" s="1"/>
  <c r="S34" i="113"/>
  <c r="S46" i="113" s="1"/>
  <c r="R34" i="113"/>
  <c r="R46" i="113" s="1"/>
  <c r="I34" i="113"/>
  <c r="I46" i="113" s="1"/>
  <c r="H34" i="113"/>
  <c r="H46" i="113" s="1"/>
  <c r="W34" i="113"/>
  <c r="F34" i="113" l="1"/>
  <c r="F9" i="99"/>
  <c r="F11" i="99"/>
  <c r="F10" i="99"/>
  <c r="K13" i="99"/>
  <c r="G34" i="113" l="1"/>
  <c r="G16" i="95" l="1"/>
  <c r="I16" i="95"/>
  <c r="J16" i="95"/>
  <c r="K16" i="95"/>
  <c r="L16" i="95"/>
  <c r="M16" i="95"/>
  <c r="N16" i="95"/>
  <c r="O16" i="95"/>
  <c r="P16" i="95"/>
  <c r="Q16" i="95"/>
  <c r="R16" i="95"/>
  <c r="S16" i="95"/>
  <c r="T16" i="95"/>
  <c r="U16" i="95"/>
  <c r="V16" i="95"/>
  <c r="W16" i="95"/>
  <c r="X16" i="95"/>
  <c r="Y16" i="95"/>
  <c r="Z16" i="95"/>
  <c r="AA16" i="95"/>
  <c r="AB16" i="95"/>
  <c r="AC16" i="95"/>
  <c r="AD16" i="95"/>
  <c r="AE16" i="95"/>
  <c r="AF16" i="95"/>
  <c r="AG16" i="95"/>
  <c r="AH16" i="95"/>
  <c r="AI16" i="95"/>
  <c r="D16" i="95"/>
  <c r="C16" i="95"/>
  <c r="H16" i="95"/>
  <c r="G9" i="99" l="1"/>
  <c r="G10" i="99"/>
  <c r="G11" i="99"/>
  <c r="J13" i="99"/>
  <c r="I13" i="99"/>
  <c r="H13" i="99"/>
  <c r="C13" i="99"/>
  <c r="E13" i="99" s="1"/>
  <c r="F13" i="99" l="1"/>
  <c r="G13" i="99"/>
  <c r="Z31" i="97"/>
  <c r="E31" i="97"/>
  <c r="G31" i="97" s="1"/>
  <c r="S2" i="95" l="1"/>
  <c r="M2" i="95"/>
  <c r="M1" i="95"/>
  <c r="C33" i="93" l="1"/>
  <c r="AH33" i="93"/>
  <c r="AG33" i="93"/>
  <c r="AF33" i="93"/>
  <c r="AE33" i="93"/>
  <c r="AD33" i="93"/>
  <c r="AC33" i="93"/>
  <c r="AB33" i="93"/>
  <c r="AA33" i="93"/>
  <c r="Z33" i="93"/>
  <c r="Y33" i="93"/>
  <c r="X33" i="93"/>
  <c r="W33" i="93"/>
  <c r="V33" i="93"/>
  <c r="U33" i="93"/>
  <c r="K33" i="93"/>
  <c r="P33" i="93"/>
  <c r="N33" i="93"/>
  <c r="T33" i="93"/>
  <c r="R33" i="93"/>
  <c r="M33" i="93" l="1"/>
  <c r="L33" i="93"/>
  <c r="S33" i="93"/>
  <c r="H31" i="97" l="1"/>
  <c r="J31" i="97"/>
  <c r="I31" i="97"/>
  <c r="K31" i="97" l="1"/>
  <c r="L31" i="97" l="1"/>
  <c r="M31" i="97" l="1"/>
  <c r="O31" i="97" l="1"/>
  <c r="N31" i="97"/>
  <c r="P31" i="97" l="1"/>
  <c r="Q31" i="97" l="1"/>
  <c r="S31" i="97" l="1"/>
  <c r="R31" i="97"/>
  <c r="T31" i="97" l="1"/>
  <c r="U31" i="97"/>
  <c r="V31" i="97" l="1"/>
  <c r="W31" i="97" l="1"/>
  <c r="X31" i="97" l="1"/>
  <c r="Y31" i="97" l="1"/>
  <c r="F10" i="126" l="1"/>
  <c r="G10" i="126" l="1"/>
  <c r="H33" i="93"/>
  <c r="J33" i="93"/>
  <c r="I33" i="93"/>
  <c r="F30" i="93"/>
  <c r="F33" i="93" s="1"/>
  <c r="G30" i="93" l="1"/>
  <c r="G33" i="93" s="1"/>
  <c r="F33" i="126" l="1"/>
  <c r="F50" i="126" l="1"/>
  <c r="G33" i="126"/>
  <c r="G40" i="126" l="1"/>
  <c r="G50" i="126" s="1"/>
  <c r="G10" i="113" l="1"/>
  <c r="F32" i="121"/>
  <c r="F40" i="121" l="1"/>
  <c r="G32" i="121"/>
  <c r="G40" i="121"/>
  <c r="F28" i="113" l="1"/>
  <c r="G28" i="113" s="1"/>
  <c r="G46" i="113" s="1"/>
  <c r="F46" i="113" l="1"/>
  <c r="F50" i="1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  <author>Mueller, Pam</author>
  </authors>
  <commentList>
    <comment ref="U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Request submitted in June-late processing mr
</t>
        </r>
      </text>
    </comment>
    <comment ref="Q27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Returen funds per Marti
</t>
        </r>
      </text>
    </comment>
    <comment ref="U2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Rodriguez, Marti: Funds returned by Mtn Valley to address cash on hand. Mr
</t>
        </r>
      </text>
    </comment>
    <comment ref="B2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The RFF has 7902  Could be 7904 for High School 7900 is the Elementary
</t>
        </r>
      </text>
    </comment>
    <comment ref="O28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Return of check $24321
 on 2/8/19
</t>
        </r>
      </text>
    </comment>
    <comment ref="V3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Late processing resubmitted on 10/15/19 mr
</t>
        </r>
      </text>
    </comment>
    <comment ref="C32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This school is authorized by APS Y number assigned to insure payments paid to CSI
</t>
        </r>
      </text>
    </comment>
    <comment ref="V3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Late processing.</t>
        </r>
      </text>
    </comment>
    <comment ref="U39" authorId="0" shapeId="0" xr:uid="{00000000-0006-0000-0100-000009000000}">
      <text>
        <r>
          <rPr>
            <b/>
            <sz val="9"/>
            <color indexed="81"/>
            <rFont val="Tahoma"/>
            <charset val="1"/>
          </rPr>
          <t>Rodriguez, Marti:</t>
        </r>
        <r>
          <rPr>
            <sz val="9"/>
            <color indexed="81"/>
            <rFont val="Tahoma"/>
            <charset val="1"/>
          </rPr>
          <t xml:space="preserve">
Refund submited to address overdrawing funds for close out.  Mr  9/30/19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Mueller, Pam</author>
  </authors>
  <commentList>
    <comment ref="D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               A decrease of $8,454 on the FY1819 AEFLA award is based on unreported FY1718 Program Income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Mueller, Pam</author>
  </authors>
  <commentList>
    <comment ref="P1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Return of funds 3/5/19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Shields, Joseph</author>
  </authors>
  <commentList>
    <comment ref="P10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RFFs were submitted in October 2017 and November 2017, payment is being made in March 2018.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Kaleda, Steven</author>
  </authors>
  <commentList>
    <comment ref="AB9" authorId="0" shapeId="0" xr:uid="{A8EF1BBE-612B-4C89-8418-5CB178F729C9}">
      <text>
        <r>
          <rPr>
            <b/>
            <sz val="9"/>
            <color indexed="81"/>
            <rFont val="Tahoma"/>
            <charset val="1"/>
          </rPr>
          <t>Kaleda, Steven:</t>
        </r>
        <r>
          <rPr>
            <sz val="9"/>
            <color indexed="81"/>
            <rFont val="Tahoma"/>
            <charset val="1"/>
          </rPr>
          <t xml:space="preserve">
Due to carryover from FY18-19</t>
        </r>
      </text>
    </comment>
    <comment ref="Y11" authorId="0" shapeId="0" xr:uid="{09A4ABD9-3AEB-42AC-B8DE-87154663ED9D}">
      <text>
        <r>
          <rPr>
            <b/>
            <sz val="9"/>
            <color indexed="81"/>
            <rFont val="Tahoma"/>
            <charset val="1"/>
          </rPr>
          <t>Kaleda, Steven:</t>
        </r>
        <r>
          <rPr>
            <sz val="9"/>
            <color indexed="81"/>
            <rFont val="Tahoma"/>
            <charset val="1"/>
          </rPr>
          <t xml:space="preserve">
Due to payment being paid to wrong district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Hambleton, Jennifer</author>
  </authors>
  <commentList>
    <comment ref="C8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Hambleton, Jennifer:</t>
        </r>
        <r>
          <rPr>
            <sz val="9"/>
            <color indexed="81"/>
            <rFont val="Tahoma"/>
            <family val="2"/>
          </rPr>
          <t xml:space="preserve">
No new allocation in FY1718</t>
        </r>
      </text>
    </comment>
  </commentList>
</comments>
</file>

<file path=xl/sharedStrings.xml><?xml version="1.0" encoding="utf-8"?>
<sst xmlns="http://schemas.openxmlformats.org/spreadsheetml/2006/main" count="1405" uniqueCount="512">
  <si>
    <t>Grant:</t>
  </si>
  <si>
    <t>GRANT NUMBER:</t>
  </si>
  <si>
    <t>FISCAL YEAR:</t>
  </si>
  <si>
    <t>0030</t>
  </si>
  <si>
    <t>0180</t>
  </si>
  <si>
    <t>0480</t>
  </si>
  <si>
    <t>Y001</t>
  </si>
  <si>
    <t>Y295</t>
  </si>
  <si>
    <t>Front Range Community College</t>
  </si>
  <si>
    <t>Y693</t>
  </si>
  <si>
    <t>Y695</t>
  </si>
  <si>
    <t>Y699</t>
  </si>
  <si>
    <t>Northeastern Junior College</t>
  </si>
  <si>
    <t>Y711</t>
  </si>
  <si>
    <t>Y863</t>
  </si>
  <si>
    <t>ALLOCATION</t>
  </si>
  <si>
    <t>PAYMENTS TO DATE</t>
  </si>
  <si>
    <t>BALANCE</t>
  </si>
  <si>
    <t>Question regarding payments:</t>
  </si>
  <si>
    <t xml:space="preserve">Questions regarding grant: </t>
  </si>
  <si>
    <t xml:space="preserve">Adult Education </t>
  </si>
  <si>
    <t>Marti Rodriguez  303-866-6769 or rodriguez_m@cde.state.co.us</t>
  </si>
  <si>
    <t>0020</t>
  </si>
  <si>
    <t>0120</t>
  </si>
  <si>
    <t>Summer Scholars</t>
  </si>
  <si>
    <t>McKinney-Vento Homeless</t>
  </si>
  <si>
    <t>Title II-B Math &amp; Science Partnerships</t>
  </si>
  <si>
    <t>Denver Public Schools</t>
  </si>
  <si>
    <t>3120</t>
  </si>
  <si>
    <t>1420</t>
  </si>
  <si>
    <t>Y006</t>
  </si>
  <si>
    <t>Y007</t>
  </si>
  <si>
    <t>Marti Rodriguez 303-866-6769 or rodriguez_m@cde.state.co.us</t>
  </si>
  <si>
    <t xml:space="preserve"> </t>
  </si>
  <si>
    <t>1510</t>
  </si>
  <si>
    <t>2690</t>
  </si>
  <si>
    <t>9035</t>
  </si>
  <si>
    <t>2790</t>
  </si>
  <si>
    <t>3080</t>
  </si>
  <si>
    <t>0870</t>
  </si>
  <si>
    <t>2020</t>
  </si>
  <si>
    <t>1560</t>
  </si>
  <si>
    <t>3130</t>
  </si>
  <si>
    <t>1828</t>
  </si>
  <si>
    <t>SCHOOL NAME</t>
  </si>
  <si>
    <t>DISTRICT NAME</t>
  </si>
  <si>
    <t>Project AWARE</t>
  </si>
  <si>
    <t>Evan Davis 303-866-6129 or davis_e@cde.state.co.us</t>
  </si>
  <si>
    <t>Totals</t>
  </si>
  <si>
    <t>Title V-B Charter School Grant Program C1</t>
  </si>
  <si>
    <t>0123</t>
  </si>
  <si>
    <t>0290</t>
  </si>
  <si>
    <t>0580</t>
  </si>
  <si>
    <t>0880</t>
  </si>
  <si>
    <t>1530</t>
  </si>
  <si>
    <t>1550</t>
  </si>
  <si>
    <t>8001</t>
  </si>
  <si>
    <t>Sheridan School District 2</t>
  </si>
  <si>
    <t>Poudre School District</t>
  </si>
  <si>
    <t>0220</t>
  </si>
  <si>
    <t>1345</t>
  </si>
  <si>
    <t>JANUARY
2018</t>
  </si>
  <si>
    <t>FEBRUARY
2018</t>
  </si>
  <si>
    <t>MARCH
2018</t>
  </si>
  <si>
    <t>APRIL
2018</t>
  </si>
  <si>
    <t>MAY
2018</t>
  </si>
  <si>
    <t>JUNE
2018</t>
  </si>
  <si>
    <t>JULY
2018</t>
  </si>
  <si>
    <t>AUGUST
2018</t>
  </si>
  <si>
    <t>SEPTEMBER
2018</t>
  </si>
  <si>
    <t>0010</t>
  </si>
  <si>
    <t>9050</t>
  </si>
  <si>
    <t>Y009</t>
  </si>
  <si>
    <t>Y646</t>
  </si>
  <si>
    <t>Y701</t>
  </si>
  <si>
    <t>Y705</t>
  </si>
  <si>
    <t>Y709</t>
  </si>
  <si>
    <t>Y815</t>
  </si>
  <si>
    <t>1010</t>
  </si>
  <si>
    <t>2180</t>
  </si>
  <si>
    <t>Colorado Mountain College</t>
  </si>
  <si>
    <t>Focus Points Family Resource Center</t>
  </si>
  <si>
    <t>Community College of Denver</t>
  </si>
  <si>
    <t>Adams 12 Five Star Schools</t>
  </si>
  <si>
    <t>Adams County School District 14</t>
  </si>
  <si>
    <t>Westminster Public Schools</t>
  </si>
  <si>
    <t>St. Vrain Valley School District RE-1J</t>
  </si>
  <si>
    <t>1000</t>
  </si>
  <si>
    <t>El Paso County School District 8</t>
  </si>
  <si>
    <t>Jefferson County School District R-1</t>
  </si>
  <si>
    <t>Thompson School District R2J</t>
  </si>
  <si>
    <t>2000</t>
  </si>
  <si>
    <t>Mesa County Valley School District #51</t>
  </si>
  <si>
    <t>Weld County School District 6</t>
  </si>
  <si>
    <t>Centennial Board of Cooperative Educational Services</t>
  </si>
  <si>
    <t>9055</t>
  </si>
  <si>
    <t>IEL CIVICS</t>
  </si>
  <si>
    <t>0900</t>
  </si>
  <si>
    <t>Douglas County School District</t>
  </si>
  <si>
    <t>Y947</t>
  </si>
  <si>
    <t>Aurora Public Schools</t>
  </si>
  <si>
    <t>Metropolitan State University of Denver</t>
  </si>
  <si>
    <t>0990</t>
  </si>
  <si>
    <t>Y004</t>
  </si>
  <si>
    <t>Y861</t>
  </si>
  <si>
    <t>Y897</t>
  </si>
  <si>
    <t>0502</t>
  </si>
  <si>
    <t>0206</t>
  </si>
  <si>
    <t>0965</t>
  </si>
  <si>
    <t>Meadow Community School</t>
  </si>
  <si>
    <t>Colorado's Finest High School of Choice</t>
  </si>
  <si>
    <t>Englewood Middle School</t>
  </si>
  <si>
    <t>Place Bridge Academy</t>
  </si>
  <si>
    <t>Wyatt Academy</t>
  </si>
  <si>
    <t>Y038</t>
  </si>
  <si>
    <t>Y056</t>
  </si>
  <si>
    <t>Y583</t>
  </si>
  <si>
    <t>Y584</t>
  </si>
  <si>
    <t>Colorado Uplift</t>
  </si>
  <si>
    <t>Sheridan 2</t>
  </si>
  <si>
    <t>1110</t>
  </si>
  <si>
    <t>2580</t>
  </si>
  <si>
    <t>Falcon School District 49</t>
  </si>
  <si>
    <t>Aurora Central High School</t>
  </si>
  <si>
    <t>CARRYOVER</t>
  </si>
  <si>
    <t>2190</t>
  </si>
  <si>
    <t>The Juniper School</t>
  </si>
  <si>
    <t>Renaissance Secondary School</t>
  </si>
  <si>
    <t>Pagosa Peak Open School</t>
  </si>
  <si>
    <t>Mountain Middle School</t>
  </si>
  <si>
    <t>1520</t>
  </si>
  <si>
    <t>1360</t>
  </si>
  <si>
    <t>1380</t>
  </si>
  <si>
    <t>2590</t>
  </si>
  <si>
    <t>2780</t>
  </si>
  <si>
    <t>2840</t>
  </si>
  <si>
    <t>3090</t>
  </si>
  <si>
    <t>3210</t>
  </si>
  <si>
    <t>Widefield School District 3</t>
  </si>
  <si>
    <t>Durango School District 9-R</t>
  </si>
  <si>
    <t>Wray School District RD-2</t>
  </si>
  <si>
    <t>OCTOBER
2018</t>
  </si>
  <si>
    <t>NOVEMBER
2018</t>
  </si>
  <si>
    <t>JANUARY
2019</t>
  </si>
  <si>
    <t>FEBRUARY
2019</t>
  </si>
  <si>
    <t>MARCH
2019</t>
  </si>
  <si>
    <t>APRIL
2019</t>
  </si>
  <si>
    <t>MAY
2019</t>
  </si>
  <si>
    <t>JUNE
2019</t>
  </si>
  <si>
    <t>JULY
2019</t>
  </si>
  <si>
    <t>AUGUST
2019</t>
  </si>
  <si>
    <t>SEPTEMBER
2019</t>
  </si>
  <si>
    <t>DECEMBER
2018</t>
  </si>
  <si>
    <t>DECEMBER
2019</t>
  </si>
  <si>
    <t xml:space="preserve">Javits Gifted and Talented - Right 4 Rural </t>
  </si>
  <si>
    <t>DISTRICT/AGENCY NAME</t>
  </si>
  <si>
    <t>Y028</t>
  </si>
  <si>
    <t>Y031</t>
  </si>
  <si>
    <t>Migrant Student Information Exchange</t>
  </si>
  <si>
    <t>4144</t>
  </si>
  <si>
    <t>Y044</t>
  </si>
  <si>
    <t>DISTRICT CODE</t>
  </si>
  <si>
    <t>FISCAL AGENT</t>
  </si>
  <si>
    <t>TOTAL ALLOCATION</t>
  </si>
  <si>
    <t>Questions regarding payments:</t>
  </si>
  <si>
    <t>Title I-C Migrant</t>
  </si>
  <si>
    <t>67xC</t>
  </si>
  <si>
    <t>21st Century Cohort 7</t>
  </si>
  <si>
    <t>SCHOOL CODE</t>
  </si>
  <si>
    <t>Title V - Abstinence Education</t>
  </si>
  <si>
    <t>30xC</t>
  </si>
  <si>
    <t>GBL:</t>
  </si>
  <si>
    <t>27xC</t>
  </si>
  <si>
    <t>22xF</t>
  </si>
  <si>
    <t>61xD</t>
  </si>
  <si>
    <t>65xD</t>
  </si>
  <si>
    <t>61xM</t>
  </si>
  <si>
    <t xml:space="preserve">74xC </t>
  </si>
  <si>
    <t>21xC</t>
  </si>
  <si>
    <t>Multi-Tiered System of Supports</t>
  </si>
  <si>
    <t>32xG</t>
  </si>
  <si>
    <t>28xC</t>
  </si>
  <si>
    <t>44xC</t>
  </si>
  <si>
    <t>CARRY FORWARD</t>
  </si>
  <si>
    <t>REVERT</t>
  </si>
  <si>
    <t>SUPPLEMENTAL</t>
  </si>
  <si>
    <t>Deaf and Blind Centers</t>
  </si>
  <si>
    <t>38xD</t>
  </si>
  <si>
    <t>2018-19</t>
  </si>
  <si>
    <t>OCTOBER
2019</t>
  </si>
  <si>
    <t>NOVEMBER
2019</t>
  </si>
  <si>
    <t>Adams County School District #1</t>
  </si>
  <si>
    <t>Englewood School District #1</t>
  </si>
  <si>
    <t>Boulder Valley School District RE-2</t>
  </si>
  <si>
    <t>School District No 1 In the City and County of Denver and State of Colorado</t>
  </si>
  <si>
    <t>Lake County School District R-1</t>
  </si>
  <si>
    <t>Boys and Girls Clubs of Metro Denver Inc.</t>
  </si>
  <si>
    <t>Asian Pacific Development Center of Colorado</t>
  </si>
  <si>
    <t>Young Men's Christian Association of Metropolitan Demver, The</t>
  </si>
  <si>
    <t>YMCA of the Pikes Peak Region, INC.</t>
  </si>
  <si>
    <t xml:space="preserve">1878
</t>
  </si>
  <si>
    <t>1556</t>
  </si>
  <si>
    <t>2752</t>
  </si>
  <si>
    <t>3272</t>
  </si>
  <si>
    <t>7592</t>
  </si>
  <si>
    <t>1774</t>
  </si>
  <si>
    <t>3600</t>
  </si>
  <si>
    <t>6188</t>
  </si>
  <si>
    <t>7045</t>
  </si>
  <si>
    <t>4422</t>
  </si>
  <si>
    <t>6848</t>
  </si>
  <si>
    <t>4901</t>
  </si>
  <si>
    <t>1384</t>
  </si>
  <si>
    <t>Coronado Hills Elementary, Hillcrest Elementary, Malley Drive Elementary, North Star Elementary, Stukey Elementary, Thornton Elementary</t>
  </si>
  <si>
    <t>Cherrelyn Elementary</t>
  </si>
  <si>
    <t>Fulton Academy of Excellence, Sable Elementary, Vaughn Elementary</t>
  </si>
  <si>
    <t>Alicia Sanchez International School</t>
  </si>
  <si>
    <t>Colfax Elementary, Cowell Elementary, Eagleton Elementary, Lake International School/STRIVE Prep Lake</t>
  </si>
  <si>
    <t>Grant Beacon Middle School</t>
  </si>
  <si>
    <t>Munroe Elementary</t>
  </si>
  <si>
    <t>Brady Exploration School</t>
  </si>
  <si>
    <t>Jefferson Jr/Sr High School, Lumberg Elementary, Stevens Elementary</t>
  </si>
  <si>
    <t>Pennington Elementary</t>
  </si>
  <si>
    <t>Lake County Intermediate/Lake County High School</t>
  </si>
  <si>
    <t>Centennial Elementary, Northridge High School, Prairie Heights Middle School</t>
  </si>
  <si>
    <t xml:space="preserve">Cole Arts and Science Academy, Godsman Elementary, Johnson Elementary, </t>
  </si>
  <si>
    <t>Hinkley High School</t>
  </si>
  <si>
    <t>Columbine Elementary, International Academy of Denver at Harrington, John Amesse Elementary, Oakland Elementary,</t>
  </si>
  <si>
    <t>Welte Education Center</t>
  </si>
  <si>
    <t>Bruce Randolph School, Kunsmiller Creative Arts Academy</t>
  </si>
  <si>
    <t>Colorado Charter School Institute</t>
  </si>
  <si>
    <t>21st Century Cohort 8</t>
  </si>
  <si>
    <t>BEST Instruction</t>
  </si>
  <si>
    <t>78xB</t>
  </si>
  <si>
    <t>5367</t>
  </si>
  <si>
    <t>1050</t>
  </si>
  <si>
    <t>1540</t>
  </si>
  <si>
    <t>2600</t>
  </si>
  <si>
    <t>Las Animas School District RE-1</t>
  </si>
  <si>
    <t>South Conejos School District RE-10</t>
  </si>
  <si>
    <t>Ellicott School District # 22</t>
  </si>
  <si>
    <t>Ignacio School District 11-JT</t>
  </si>
  <si>
    <t>Moffat County School District 1</t>
  </si>
  <si>
    <t>Platte Canyon School District No 1</t>
  </si>
  <si>
    <t>Multiple Sites</t>
  </si>
  <si>
    <t>AIM Global</t>
  </si>
  <si>
    <t>Guadalupe Elementary</t>
  </si>
  <si>
    <t>Ellicott Elementary School</t>
  </si>
  <si>
    <t>Ignacio High School</t>
  </si>
  <si>
    <t>Moffat County High School</t>
  </si>
  <si>
    <t>Platte Canyon High School</t>
  </si>
  <si>
    <t>TPAAK</t>
  </si>
  <si>
    <t>High Flyers</t>
  </si>
  <si>
    <t>70xH</t>
  </si>
  <si>
    <t>6010</t>
  </si>
  <si>
    <t>0980</t>
  </si>
  <si>
    <t>2770</t>
  </si>
  <si>
    <t>9175</t>
  </si>
  <si>
    <t>Harrison School District Two</t>
  </si>
  <si>
    <t>Steamboat Springs School District RE 2</t>
  </si>
  <si>
    <t>Colorado River BOCES</t>
  </si>
  <si>
    <t>2145</t>
  </si>
  <si>
    <t>2186</t>
  </si>
  <si>
    <t>Green Valley High School</t>
  </si>
  <si>
    <t>Byers Middle School</t>
  </si>
  <si>
    <t>Soaring Eagles Elementary</t>
  </si>
  <si>
    <t>Tavelli Elementary School</t>
  </si>
  <si>
    <t>Strawberry Park Elementary</t>
  </si>
  <si>
    <t>Yampah Mountain School</t>
  </si>
  <si>
    <t>Pam Mueller 303-866-6905 or mueller_pam@cde.state.co.us</t>
  </si>
  <si>
    <t>JANUARY
2020</t>
  </si>
  <si>
    <t>FEBRUARY
2020</t>
  </si>
  <si>
    <t>MARCH
2020</t>
  </si>
  <si>
    <t>APRIL
2020</t>
  </si>
  <si>
    <t>MAY
2020</t>
  </si>
  <si>
    <t>JUNE
2020</t>
  </si>
  <si>
    <t>JULY
2020</t>
  </si>
  <si>
    <t>AUGUST
2020</t>
  </si>
  <si>
    <t>SEPTEMBER
2020</t>
  </si>
  <si>
    <t>Pam Mueller 303-866-6905 or Mueller_Pam@cde.state.co.us</t>
  </si>
  <si>
    <t>Durango Education Center</t>
  </si>
  <si>
    <t>School District#1 in the City and County of Denver and State of Colorado DBA Emily Griffith Technical School</t>
  </si>
  <si>
    <t>Right to Read of Weld County Inc</t>
  </si>
  <si>
    <t>Colorado Springs School District 11</t>
  </si>
  <si>
    <t xml:space="preserve">Adams State University  </t>
  </si>
  <si>
    <t>0310</t>
  </si>
  <si>
    <t>1220</t>
  </si>
  <si>
    <t>1390</t>
  </si>
  <si>
    <t>1590</t>
  </si>
  <si>
    <t>1620</t>
  </si>
  <si>
    <t>2820</t>
  </si>
  <si>
    <t xml:space="preserve">Y057 </t>
  </si>
  <si>
    <t>Y058</t>
  </si>
  <si>
    <t>Y059</t>
  </si>
  <si>
    <t>Y061</t>
  </si>
  <si>
    <t>Y062</t>
  </si>
  <si>
    <t>Y063</t>
  </si>
  <si>
    <t>Y064</t>
  </si>
  <si>
    <t>Y071</t>
  </si>
  <si>
    <t>Y072</t>
  </si>
  <si>
    <t>Y081</t>
  </si>
  <si>
    <t>Y049</t>
  </si>
  <si>
    <t>Arapahoe County School District #1</t>
  </si>
  <si>
    <t>Mc Clave School District RE 2</t>
  </si>
  <si>
    <t>Garfield County School District 16</t>
  </si>
  <si>
    <t>Huerfano School District Number RE-1</t>
  </si>
  <si>
    <t>Primero Reorganized School District Number 2</t>
  </si>
  <si>
    <t>Aguilar School District RE-6</t>
  </si>
  <si>
    <t>Mountain Valley School District R E1</t>
  </si>
  <si>
    <t>Silverton School District 1</t>
  </si>
  <si>
    <t>College Track</t>
  </si>
  <si>
    <t>Colorado Aerolab</t>
  </si>
  <si>
    <t>Boys and Girls Club of La Plata</t>
  </si>
  <si>
    <t>Heart &amp; Hand Center</t>
  </si>
  <si>
    <t>High Valley Community Center, Inc.</t>
  </si>
  <si>
    <t>Onward A Legacy Foundation-MCHS</t>
  </si>
  <si>
    <t>Onward A Legacy Foundation-SWOS</t>
  </si>
  <si>
    <t>Boys &amp; Girls Club of Larimer County</t>
  </si>
  <si>
    <t>Riverside Educational Center</t>
  </si>
  <si>
    <t>Boys Girls Club of Pueblo</t>
  </si>
  <si>
    <t>0504</t>
  </si>
  <si>
    <t>0503</t>
  </si>
  <si>
    <t>0464</t>
  </si>
  <si>
    <t>5666</t>
  </si>
  <si>
    <t>4496</t>
  </si>
  <si>
    <t>0520</t>
  </si>
  <si>
    <t>0040</t>
  </si>
  <si>
    <t>9212</t>
  </si>
  <si>
    <t>0108</t>
  </si>
  <si>
    <t>0109</t>
  </si>
  <si>
    <t>9486</t>
  </si>
  <si>
    <t>0612</t>
  </si>
  <si>
    <t>7160</t>
  </si>
  <si>
    <t>0058</t>
  </si>
  <si>
    <t>2224</t>
  </si>
  <si>
    <t>6146</t>
  </si>
  <si>
    <t>0054</t>
  </si>
  <si>
    <t>Y057</t>
  </si>
  <si>
    <t>Y862</t>
  </si>
  <si>
    <t>Welby Community School</t>
  </si>
  <si>
    <t>York International</t>
  </si>
  <si>
    <t>Federal Heights Elementary
McElwain Elementary
Rocky Mountain Elementary</t>
  </si>
  <si>
    <t>Clayton Elementary</t>
  </si>
  <si>
    <t>Aurora Hills Middle School
Kenton Elementary</t>
  </si>
  <si>
    <t>McClave Elementary
McClave Undivided High School</t>
  </si>
  <si>
    <t>Justice High Charter School</t>
  </si>
  <si>
    <t>Barnum Elementary
DCIS at Fairmont
Ellis Elementary
Hallett Academy</t>
  </si>
  <si>
    <t>Ridge View Academy Charter School</t>
  </si>
  <si>
    <t>Bea Underwood Elementary
Grand Valley Center for Family Learning
Grand Valley Middle School
Grand Valley High School</t>
  </si>
  <si>
    <t>John Mall High School</t>
  </si>
  <si>
    <t>Alameda International Junior/Senior High School</t>
  </si>
  <si>
    <t>Arvada K-8
Thomson Elementary</t>
  </si>
  <si>
    <t>West Park Elementary</t>
  </si>
  <si>
    <t>Bauder Elementary
Beattie Elementary
Poudre Community Academy</t>
  </si>
  <si>
    <t>Primero Elementary
Primero Junior/Senior High School</t>
  </si>
  <si>
    <t>Aguilar Elementary
Aguilar Junior/Senior High School</t>
  </si>
  <si>
    <t>Dos Rios Elementary</t>
  </si>
  <si>
    <t>Mountain Valley School</t>
  </si>
  <si>
    <t>Silverton Elementary
Silverton Middle School
Silverton High School</t>
  </si>
  <si>
    <t>New America School Lowry
New America School Thornton
New America School Lakewood</t>
  </si>
  <si>
    <t>Pinnacle Charter School Elementary</t>
  </si>
  <si>
    <t>Vega Collegiate Academy</t>
  </si>
  <si>
    <t>Beach Court Elementary
KIPP Northeast Denver Middle School
Hidden Lake High School</t>
  </si>
  <si>
    <t>Gateway High School
Rangeview High School</t>
  </si>
  <si>
    <t>Durango Big Picture High School</t>
  </si>
  <si>
    <t>Smith Elementary</t>
  </si>
  <si>
    <t>Del Norte Schools K-8</t>
  </si>
  <si>
    <t>Montezuma-Cortez High School</t>
  </si>
  <si>
    <t>Southwest Open Charter School</t>
  </si>
  <si>
    <t>Monroe Elementary
Truscott Elementary</t>
  </si>
  <si>
    <t>Bookcliff Middle School
Mount Garfield Middle School
Orchard Mesa Middle School
Rocky Mountain Elementary</t>
  </si>
  <si>
    <t>Heroes Academy PreK-5
Heroes Academy Middle School
Risley International Academy of Innovation</t>
  </si>
  <si>
    <t>Omar D Blair Charter School</t>
  </si>
  <si>
    <t>Ashley Elementary</t>
  </si>
  <si>
    <t>Harris Park Elementary
Mesa Elementary</t>
  </si>
  <si>
    <t>Wyman School</t>
  </si>
  <si>
    <t>Y067</t>
  </si>
  <si>
    <t>School District NO 1 in the City and County of Denver and State of Colorado</t>
  </si>
  <si>
    <t>Pueblo School District No. 60</t>
  </si>
  <si>
    <t>San Luis Valley Combined Educators</t>
  </si>
  <si>
    <t>.</t>
  </si>
  <si>
    <t>Y066</t>
  </si>
  <si>
    <t>Mesa County Public Librrary FDN</t>
  </si>
  <si>
    <t>Y027</t>
  </si>
  <si>
    <t xml:space="preserve">Colorado Northwestern Community College </t>
  </si>
  <si>
    <t>6914</t>
  </si>
  <si>
    <t>0860</t>
  </si>
  <si>
    <t>2740</t>
  </si>
  <si>
    <t>2810</t>
  </si>
  <si>
    <t>3000</t>
  </si>
  <si>
    <t>Brighton School District 27J</t>
  </si>
  <si>
    <t>Custer County Consolidated C 1 School District</t>
  </si>
  <si>
    <t>Delta County Joint School District No. 50</t>
  </si>
  <si>
    <t>Gunnison Watershed School District</t>
  </si>
  <si>
    <t>Hinsdale County RE-1 School District</t>
  </si>
  <si>
    <t>Laplata County School District 10 JT R.</t>
  </si>
  <si>
    <t>West End School District RE 2</t>
  </si>
  <si>
    <t>Ouray School District R-1</t>
  </si>
  <si>
    <t>Ouray County R-2 School District</t>
  </si>
  <si>
    <t>Monte Vista School District 8</t>
  </si>
  <si>
    <t>South Routt Re-3 School District</t>
  </si>
  <si>
    <t>Center Consolidated School District 26 Jt</t>
  </si>
  <si>
    <t>Norwood School District R2JT</t>
  </si>
  <si>
    <t>Summit School District RE 1</t>
  </si>
  <si>
    <t>Weld County School District RE-3J</t>
  </si>
  <si>
    <t>San Juan Board of Cooperative Services</t>
  </si>
  <si>
    <t xml:space="preserve">Total </t>
  </si>
  <si>
    <t>CDC Improving Student Health</t>
  </si>
  <si>
    <t>25xD</t>
  </si>
  <si>
    <t>7981</t>
  </si>
  <si>
    <t>Englewood 1</t>
  </si>
  <si>
    <t>Lake County RE - 1</t>
  </si>
  <si>
    <t>Valley RE - 1</t>
  </si>
  <si>
    <t>Weld County RE - 1</t>
  </si>
  <si>
    <t>Platte Valley RE - 7</t>
  </si>
  <si>
    <t>Title III PD</t>
  </si>
  <si>
    <t>Y073</t>
  </si>
  <si>
    <t>National Abstinence Education Foundation-DBA NAEF</t>
  </si>
  <si>
    <t>Y068</t>
  </si>
  <si>
    <t>A Caring Crisis Pregnancy Center</t>
  </si>
  <si>
    <t>Alternatives Pregnancy Center</t>
  </si>
  <si>
    <t>1040</t>
  </si>
  <si>
    <t>Archuleta School Dist 50 Joint</t>
  </si>
  <si>
    <t>Academy School District 20</t>
  </si>
  <si>
    <t>0126</t>
  </si>
  <si>
    <t>7233</t>
  </si>
  <si>
    <t>9053</t>
  </si>
  <si>
    <t>6679</t>
  </si>
  <si>
    <t>1561</t>
  </si>
  <si>
    <t>2994</t>
  </si>
  <si>
    <t>8787</t>
  </si>
  <si>
    <t>C023</t>
  </si>
  <si>
    <t>7244</t>
  </si>
  <si>
    <t>6242</t>
  </si>
  <si>
    <t>5191</t>
  </si>
  <si>
    <t>3691</t>
  </si>
  <si>
    <t>4384</t>
  </si>
  <si>
    <t>1917</t>
  </si>
  <si>
    <t>6775</t>
  </si>
  <si>
    <t>1505</t>
  </si>
  <si>
    <t>1633</t>
  </si>
  <si>
    <t>2196</t>
  </si>
  <si>
    <t>5431</t>
  </si>
  <si>
    <t>5453</t>
  </si>
  <si>
    <t>5845</t>
  </si>
  <si>
    <t>8825</t>
  </si>
  <si>
    <t>C030</t>
  </si>
  <si>
    <t>Academy Of Advanced Learning</t>
  </si>
  <si>
    <t>Rocky Mountain Prep - Fletcher Campus</t>
  </si>
  <si>
    <t>Rocky Mountain Prep Berkeley</t>
  </si>
  <si>
    <t>Colorado High School Charter - Ges</t>
  </si>
  <si>
    <t>5280 High School</t>
  </si>
  <si>
    <t>The Boys School Of Denver</t>
  </si>
  <si>
    <t>The Cube School</t>
  </si>
  <si>
    <t>Ascent Classical Academy of Douglas County</t>
  </si>
  <si>
    <t>New Summit Charter Academy</t>
  </si>
  <si>
    <t>Liberty Tree Academy</t>
  </si>
  <si>
    <t>Great Work Montessori</t>
  </si>
  <si>
    <t>Compass Community Collaborative School</t>
  </si>
  <si>
    <t>Pueblo Sch. For Arts &amp; Sciences At Fulton Heights</t>
  </si>
  <si>
    <t>Colorado Military Academy</t>
  </si>
  <si>
    <t>Colorado Early Colleges Aurora</t>
  </si>
  <si>
    <t>Colorado Early Colleges - Parker</t>
  </si>
  <si>
    <t>Monarch Classical School Of The Arts</t>
  </si>
  <si>
    <t>MONUMENT VIEW MONTESSORI CHARTER SCHOOL</t>
  </si>
  <si>
    <t>Thomas Maclaren State Charter School</t>
  </si>
  <si>
    <t>AXIS</t>
  </si>
  <si>
    <t>2055</t>
  </si>
  <si>
    <t>Dolores Re-4 School District</t>
  </si>
  <si>
    <t>Y941</t>
  </si>
  <si>
    <t>Center Viking Youth Club</t>
  </si>
  <si>
    <t>Pueblo School District 70</t>
  </si>
  <si>
    <t>Boulder Valley School District Re-2</t>
  </si>
  <si>
    <t>Montrose County School District RE-1J</t>
  </si>
  <si>
    <t>State Board for Community Colleges and Occupational Educational System</t>
  </si>
  <si>
    <t>Pikes Peak Library District Foundation</t>
  </si>
  <si>
    <t>Community Educational Outreach</t>
  </si>
  <si>
    <t>SEL Tutoring</t>
  </si>
  <si>
    <t>State Board for Community Colleges and Occupational Educational System dba Community College of Aurora</t>
  </si>
  <si>
    <t>Learning Source, The</t>
  </si>
  <si>
    <t>Spring Institute for Intercultural Learning, The</t>
  </si>
  <si>
    <t>Friends First, Inc.</t>
  </si>
  <si>
    <t>Center for Relationship Education, The</t>
  </si>
  <si>
    <t>Carry Forward</t>
  </si>
  <si>
    <t>Revert</t>
  </si>
  <si>
    <t>C032</t>
  </si>
  <si>
    <t>Coperni 3</t>
  </si>
  <si>
    <t>2700</t>
  </si>
  <si>
    <t>Pueblo School District #70</t>
  </si>
  <si>
    <t>Bella Villa Charter School</t>
  </si>
  <si>
    <t>C033</t>
  </si>
  <si>
    <t>Empower Community HS</t>
  </si>
  <si>
    <t>0130</t>
  </si>
  <si>
    <t>Cherry Creek School District #5</t>
  </si>
  <si>
    <t>C031</t>
  </si>
  <si>
    <t>Colorado Skies Academy</t>
  </si>
  <si>
    <t>0890</t>
  </si>
  <si>
    <t>Dolores County School District</t>
  </si>
  <si>
    <t>7902</t>
  </si>
  <si>
    <t>ADAMS-ARAPAHOE 28J</t>
  </si>
  <si>
    <t>3140</t>
  </si>
  <si>
    <t>WELD COUNTY S/D RE-8</t>
  </si>
  <si>
    <t>0079</t>
  </si>
  <si>
    <t>1371</t>
  </si>
  <si>
    <t>9084</t>
  </si>
  <si>
    <t>Bella Roma</t>
  </si>
  <si>
    <t>SEPT
2019</t>
  </si>
  <si>
    <t>North Park School                               Soroco MS-HS                                        West Grand Elementary and MS                                                        West Grand HS</t>
  </si>
  <si>
    <t>Joe Shields (303) 866-6034, shields_j@cde.state.co.us</t>
  </si>
  <si>
    <t>Marti Rodriguez (303) 866-6769, rodriguez_m@cde.state.co.us</t>
  </si>
  <si>
    <t>Steven Kaleda (303) 866-6024, kaleda_s@cde.state.co.us</t>
  </si>
  <si>
    <t>Evan Davis (303) 866-6129 or davis_e@cde.state.co.us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</si>
</sst>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.00_);_(&quot;$&quot;* \(\ #,##0.00\ \);_(&quot;$&quot;* &quot;-&quot;??_);_(\ @_ \)"/>
    <numFmt numFmtId="167" formatCode="_(* #,##0.00_);_(* \(\ #,##0.00\ \);_(* &quot;-&quot;??_);_(\ @_ \)"/>
    <numFmt numFmtId="168" formatCode="_(&quot;$&quot;* #,##0_);_(&quot;$&quot;* \(#,##0\);_(&quot;$&quot;* &quot;-&quot;??_);_(@_)"/>
    <numFmt numFmtId="169" formatCode="_(* #,##0.00_);_(* \(#,##0.00\);_(* &quot;-&quot;_);_(@_)"/>
    <numFmt numFmtId="170" formatCode="&quot;$&quot;#,##0"/>
  </numFmts>
  <fonts count="7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color indexed="8"/>
      <name val="Arial"/>
      <family val="2"/>
    </font>
    <font>
      <sz val="12"/>
      <name val="Helv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ourier"/>
      <family val="3"/>
    </font>
    <font>
      <sz val="8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rgb="FFC4D79B"/>
      </right>
      <top style="medium">
        <color indexed="64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indexed="64"/>
      </top>
      <bottom style="medium">
        <color rgb="FFC4D79B"/>
      </bottom>
      <diagonal/>
    </border>
    <border>
      <left/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theme="6" tint="0.399914548173467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6" tint="0.39991454817346722"/>
      </bottom>
      <diagonal/>
    </border>
    <border>
      <left/>
      <right style="medium">
        <color rgb="FFC4D79B"/>
      </right>
      <top/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/>
      <bottom style="medium">
        <color rgb="FFC4D79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theme="6" tint="0.39994506668294322"/>
      </left>
      <right/>
      <top style="medium">
        <color indexed="64"/>
      </top>
      <bottom/>
      <diagonal/>
    </border>
    <border>
      <left/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C4D79B"/>
      </top>
      <bottom style="medium">
        <color theme="6" tint="0.399914548173467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/>
      <top style="medium">
        <color rgb="FFC4D79B"/>
      </top>
      <bottom style="medium">
        <color rgb="FFC4D79B"/>
      </bottom>
      <diagonal/>
    </border>
    <border>
      <left/>
      <right/>
      <top/>
      <bottom style="medium">
        <color rgb="FFC4D79B"/>
      </bottom>
      <diagonal/>
    </border>
    <border>
      <left style="double">
        <color indexed="64"/>
      </left>
      <right style="thin">
        <color rgb="FFC4D79B"/>
      </right>
      <top style="double">
        <color indexed="64"/>
      </top>
      <bottom style="thin">
        <color rgb="FFC4D79B"/>
      </bottom>
      <diagonal/>
    </border>
    <border>
      <left style="thin">
        <color rgb="FFC4D79B"/>
      </left>
      <right style="thin">
        <color rgb="FFC4D79B"/>
      </right>
      <top style="double">
        <color indexed="64"/>
      </top>
      <bottom style="thin">
        <color rgb="FFC4D79B"/>
      </bottom>
      <diagonal/>
    </border>
    <border>
      <left style="thin">
        <color rgb="FFC4D79B"/>
      </left>
      <right style="double">
        <color indexed="64"/>
      </right>
      <top style="double">
        <color indexed="64"/>
      </top>
      <bottom style="thin">
        <color rgb="FFC4D79B"/>
      </bottom>
      <diagonal/>
    </border>
    <border>
      <left style="double">
        <color indexed="64"/>
      </left>
      <right style="thin">
        <color rgb="FFC4D79B"/>
      </right>
      <top style="thin">
        <color rgb="FFC4D79B"/>
      </top>
      <bottom style="thin">
        <color rgb="FFC4D79B"/>
      </bottom>
      <diagonal/>
    </border>
    <border>
      <left style="thin">
        <color rgb="FFC4D79B"/>
      </left>
      <right style="thin">
        <color rgb="FFC4D79B"/>
      </right>
      <top style="thin">
        <color rgb="FFC4D79B"/>
      </top>
      <bottom style="thin">
        <color rgb="FFC4D79B"/>
      </bottom>
      <diagonal/>
    </border>
    <border>
      <left style="thin">
        <color rgb="FFC4D79B"/>
      </left>
      <right style="double">
        <color indexed="64"/>
      </right>
      <top style="thin">
        <color rgb="FFC4D79B"/>
      </top>
      <bottom style="thin">
        <color rgb="FFC4D79B"/>
      </bottom>
      <diagonal/>
    </border>
    <border>
      <left/>
      <right/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rgb="FFC4D79B"/>
      </right>
      <top style="medium">
        <color theme="6" tint="0.39991454817346722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theme="6" tint="0.39991454817346722"/>
      </top>
      <bottom style="medium">
        <color rgb="FFC4D79B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6" tint="0.39991454817346722"/>
      </left>
      <right/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 style="thin">
        <color theme="6" tint="0.39988402966399123"/>
      </left>
      <right style="thin">
        <color theme="6" tint="0.39988402966399123"/>
      </right>
      <top style="thin">
        <color theme="6" tint="0.39988402966399123"/>
      </top>
      <bottom style="thin">
        <color theme="6" tint="0.39988402966399123"/>
      </bottom>
      <diagonal/>
    </border>
  </borders>
  <cellStyleXfs count="282">
    <xf numFmtId="0" fontId="0" fillId="0" borderId="0"/>
    <xf numFmtId="43" fontId="13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0" fontId="15" fillId="0" borderId="0"/>
    <xf numFmtId="44" fontId="14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4" fillId="0" borderId="0"/>
    <xf numFmtId="0" fontId="3" fillId="0" borderId="0"/>
    <xf numFmtId="43" fontId="12" fillId="0" borderId="0" applyFont="0" applyFill="0" applyBorder="0" applyAlignment="0" applyProtection="0"/>
    <xf numFmtId="0" fontId="14" fillId="0" borderId="0"/>
    <xf numFmtId="0" fontId="2" fillId="0" borderId="0"/>
    <xf numFmtId="9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4" borderId="17" applyNumberFormat="0" applyAlignment="0" applyProtection="0"/>
    <xf numFmtId="0" fontId="25" fillId="18" borderId="18" applyNumberFormat="0" applyAlignment="0" applyProtection="0"/>
    <xf numFmtId="44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17" applyNumberFormat="0" applyAlignment="0" applyProtection="0"/>
    <xf numFmtId="0" fontId="32" fillId="0" borderId="22" applyNumberFormat="0" applyFill="0" applyAlignment="0" applyProtection="0"/>
    <xf numFmtId="0" fontId="33" fillId="10" borderId="0" applyNumberFormat="0" applyBorder="0" applyAlignment="0" applyProtection="0"/>
    <xf numFmtId="0" fontId="2" fillId="0" borderId="0"/>
    <xf numFmtId="0" fontId="21" fillId="6" borderId="23" applyNumberFormat="0" applyFont="0" applyAlignment="0" applyProtection="0"/>
    <xf numFmtId="0" fontId="34" fillId="4" borderId="24" applyNumberFormat="0" applyAlignment="0" applyProtection="0"/>
    <xf numFmtId="0" fontId="35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2" fillId="0" borderId="0"/>
    <xf numFmtId="0" fontId="38" fillId="0" borderId="0"/>
    <xf numFmtId="167" fontId="38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9" fillId="0" borderId="0"/>
    <xf numFmtId="0" fontId="14" fillId="0" borderId="0"/>
    <xf numFmtId="5" fontId="41" fillId="0" borderId="0"/>
    <xf numFmtId="0" fontId="39" fillId="0" borderId="0"/>
    <xf numFmtId="0" fontId="2" fillId="0" borderId="0" applyFill="0"/>
    <xf numFmtId="0" fontId="40" fillId="0" borderId="0"/>
    <xf numFmtId="5" fontId="41" fillId="0" borderId="0"/>
    <xf numFmtId="0" fontId="3" fillId="0" borderId="0"/>
    <xf numFmtId="0" fontId="14" fillId="4" borderId="0"/>
    <xf numFmtId="0" fontId="12" fillId="0" borderId="0"/>
    <xf numFmtId="0" fontId="14" fillId="0" borderId="0"/>
    <xf numFmtId="0" fontId="2" fillId="0" borderId="0"/>
    <xf numFmtId="0" fontId="42" fillId="0" borderId="0"/>
    <xf numFmtId="43" fontId="42" fillId="0" borderId="0" applyFont="0" applyFill="0" applyBorder="0" applyAlignment="0" applyProtection="0"/>
    <xf numFmtId="0" fontId="38" fillId="0" borderId="0"/>
    <xf numFmtId="0" fontId="3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/>
    <xf numFmtId="0" fontId="45" fillId="0" borderId="0"/>
    <xf numFmtId="9" fontId="45" fillId="0" borderId="0" applyFont="0" applyFill="0" applyBorder="0" applyAlignment="0" applyProtection="0"/>
    <xf numFmtId="0" fontId="3" fillId="0" borderId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6" fillId="0" borderId="0"/>
    <xf numFmtId="0" fontId="46" fillId="0" borderId="0"/>
    <xf numFmtId="0" fontId="45" fillId="0" borderId="0"/>
    <xf numFmtId="9" fontId="45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44" fontId="3" fillId="0" borderId="0" applyFont="0" applyFill="0" applyBorder="0" applyAlignment="0" applyProtection="0"/>
    <xf numFmtId="44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/>
    <xf numFmtId="0" fontId="14" fillId="4" borderId="0"/>
    <xf numFmtId="0" fontId="4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1" applyNumberFormat="0" applyFill="0" applyAlignment="0" applyProtection="0"/>
    <xf numFmtId="0" fontId="52" fillId="0" borderId="32" applyNumberFormat="0" applyFill="0" applyAlignment="0" applyProtection="0"/>
    <xf numFmtId="0" fontId="53" fillId="0" borderId="3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34" applyNumberFormat="0" applyAlignment="0" applyProtection="0"/>
    <xf numFmtId="0" fontId="58" fillId="24" borderId="35" applyNumberFormat="0" applyAlignment="0" applyProtection="0"/>
    <xf numFmtId="0" fontId="59" fillId="24" borderId="34" applyNumberFormat="0" applyAlignment="0" applyProtection="0"/>
    <xf numFmtId="0" fontId="60" fillId="0" borderId="36" applyNumberFormat="0" applyFill="0" applyAlignment="0" applyProtection="0"/>
    <xf numFmtId="0" fontId="61" fillId="25" borderId="37" applyNumberFormat="0" applyAlignment="0" applyProtection="0"/>
    <xf numFmtId="0" fontId="62" fillId="0" borderId="0" applyNumberFormat="0" applyFill="0" applyBorder="0" applyAlignment="0" applyProtection="0"/>
    <xf numFmtId="0" fontId="3" fillId="26" borderId="38" applyNumberFormat="0" applyFont="0" applyAlignment="0" applyProtection="0"/>
    <xf numFmtId="0" fontId="63" fillId="0" borderId="0" applyNumberFormat="0" applyFill="0" applyBorder="0" applyAlignment="0" applyProtection="0"/>
    <xf numFmtId="0" fontId="4" fillId="0" borderId="39" applyNumberFormat="0" applyFill="0" applyAlignment="0" applyProtection="0"/>
    <xf numFmtId="0" fontId="6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64" fillId="50" borderId="0" applyNumberFormat="0" applyBorder="0" applyAlignment="0" applyProtection="0"/>
    <xf numFmtId="0" fontId="40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2" fillId="0" borderId="0"/>
    <xf numFmtId="0" fontId="1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vertical="top"/>
    </xf>
    <xf numFmtId="4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5" fontId="41" fillId="0" borderId="0"/>
    <xf numFmtId="0" fontId="14" fillId="0" borderId="0"/>
    <xf numFmtId="0" fontId="3" fillId="0" borderId="0"/>
    <xf numFmtId="5" fontId="41" fillId="0" borderId="0"/>
    <xf numFmtId="0" fontId="40" fillId="0" borderId="0"/>
    <xf numFmtId="0" fontId="14" fillId="4" borderId="0"/>
    <xf numFmtId="0" fontId="40" fillId="0" borderId="0"/>
    <xf numFmtId="0" fontId="66" fillId="4" borderId="0"/>
    <xf numFmtId="0" fontId="66" fillId="4" borderId="0"/>
    <xf numFmtId="0" fontId="3" fillId="0" borderId="0"/>
    <xf numFmtId="0" fontId="66" fillId="4" borderId="0"/>
    <xf numFmtId="0" fontId="40" fillId="0" borderId="0"/>
    <xf numFmtId="0" fontId="67" fillId="0" borderId="40">
      <alignment vertical="center"/>
    </xf>
    <xf numFmtId="0" fontId="68" fillId="0" borderId="40" applyNumberFormat="0" applyFont="0" applyFill="0" applyBorder="0" applyAlignment="0" applyProtection="0">
      <alignment vertical="center"/>
    </xf>
  </cellStyleXfs>
  <cellXfs count="318">
    <xf numFmtId="0" fontId="0" fillId="0" borderId="0" xfId="0"/>
    <xf numFmtId="3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/>
    <xf numFmtId="0" fontId="8" fillId="0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center"/>
    </xf>
    <xf numFmtId="4" fontId="0" fillId="0" borderId="0" xfId="0" applyNumberFormat="1" applyFill="1"/>
    <xf numFmtId="4" fontId="0" fillId="0" borderId="0" xfId="0" applyNumberForma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/>
    <xf numFmtId="0" fontId="8" fillId="2" borderId="0" xfId="0" applyFont="1" applyFill="1" applyAlignment="1">
      <alignment horizont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11" fillId="2" borderId="0" xfId="0" applyFont="1" applyFill="1"/>
    <xf numFmtId="0" fontId="6" fillId="2" borderId="0" xfId="0" applyFont="1" applyFill="1"/>
    <xf numFmtId="0" fontId="4" fillId="2" borderId="9" xfId="0" applyFont="1" applyFill="1" applyBorder="1"/>
    <xf numFmtId="0" fontId="0" fillId="0" borderId="0" xfId="0" applyFont="1"/>
    <xf numFmtId="3" fontId="17" fillId="2" borderId="7" xfId="0" applyNumberFormat="1" applyFont="1" applyFill="1" applyBorder="1" applyAlignment="1">
      <alignment horizontal="left"/>
    </xf>
    <xf numFmtId="38" fontId="0" fillId="0" borderId="0" xfId="0" applyNumberFormat="1" applyFill="1"/>
    <xf numFmtId="0" fontId="4" fillId="0" borderId="0" xfId="0" applyFont="1" applyFill="1"/>
    <xf numFmtId="0" fontId="4" fillId="3" borderId="4" xfId="0" applyFont="1" applyFill="1" applyBorder="1" applyAlignment="1">
      <alignment horizontal="center" wrapText="1"/>
    </xf>
    <xf numFmtId="17" fontId="4" fillId="0" borderId="3" xfId="0" quotePrefix="1" applyNumberFormat="1" applyFont="1" applyFill="1" applyBorder="1" applyAlignment="1">
      <alignment horizontal="center" vertical="center" wrapText="1"/>
    </xf>
    <xf numFmtId="17" fontId="4" fillId="0" borderId="1" xfId="0" quotePrefix="1" applyNumberFormat="1" applyFont="1" applyFill="1" applyBorder="1" applyAlignment="1">
      <alignment horizontal="center" vertical="center" wrapText="1"/>
    </xf>
    <xf numFmtId="4" fontId="0" fillId="2" borderId="7" xfId="0" applyNumberFormat="1" applyFill="1" applyBorder="1"/>
    <xf numFmtId="0" fontId="4" fillId="3" borderId="1" xfId="0" applyFont="1" applyFill="1" applyBorder="1" applyAlignment="1">
      <alignment horizontal="center" wrapText="1"/>
    </xf>
    <xf numFmtId="3" fontId="0" fillId="0" borderId="0" xfId="0" applyNumberFormat="1"/>
    <xf numFmtId="0" fontId="0" fillId="2" borderId="13" xfId="0" applyFont="1" applyFill="1" applyBorder="1"/>
    <xf numFmtId="0" fontId="7" fillId="2" borderId="0" xfId="0" applyNumberFormat="1" applyFont="1" applyFill="1"/>
    <xf numFmtId="0" fontId="9" fillId="2" borderId="0" xfId="0" applyNumberFormat="1" applyFont="1" applyFill="1"/>
    <xf numFmtId="0" fontId="4" fillId="0" borderId="2" xfId="0" applyNumberFormat="1" applyFont="1" applyFill="1" applyBorder="1" applyAlignment="1">
      <alignment horizontal="center" wrapText="1"/>
    </xf>
    <xf numFmtId="0" fontId="0" fillId="0" borderId="0" xfId="0" applyNumberFormat="1" applyFill="1" applyBorder="1"/>
    <xf numFmtId="0" fontId="0" fillId="0" borderId="0" xfId="0" applyNumberFormat="1"/>
    <xf numFmtId="3" fontId="0" fillId="0" borderId="0" xfId="0" applyNumberFormat="1" applyAlignment="1">
      <alignment vertical="top"/>
    </xf>
    <xf numFmtId="0" fontId="0" fillId="0" borderId="0" xfId="0" applyAlignment="1">
      <alignment wrapText="1"/>
    </xf>
    <xf numFmtId="2" fontId="9" fillId="2" borderId="0" xfId="0" quotePrefix="1" applyNumberFormat="1" applyFont="1" applyFill="1" applyAlignment="1">
      <alignment horizontal="left"/>
    </xf>
    <xf numFmtId="0" fontId="4" fillId="0" borderId="29" xfId="0" applyFont="1" applyFill="1" applyBorder="1" applyAlignment="1">
      <alignment horizontal="center" wrapText="1"/>
    </xf>
    <xf numFmtId="3" fontId="4" fillId="2" borderId="7" xfId="0" applyNumberFormat="1" applyFont="1" applyFill="1" applyBorder="1" applyAlignment="1">
      <alignment horizontal="center" vertical="center"/>
    </xf>
    <xf numFmtId="0" fontId="4" fillId="2" borderId="13" xfId="0" applyFont="1" applyFill="1" applyBorder="1"/>
    <xf numFmtId="3" fontId="4" fillId="2" borderId="7" xfId="0" applyNumberFormat="1" applyFont="1" applyFill="1" applyBorder="1" applyAlignment="1">
      <alignment vertical="top"/>
    </xf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wrapText="1"/>
    </xf>
    <xf numFmtId="17" fontId="4" fillId="0" borderId="1" xfId="0" quotePrefix="1" applyNumberFormat="1" applyFont="1" applyFill="1" applyBorder="1" applyAlignment="1">
      <alignment horizontal="center" wrapText="1"/>
    </xf>
    <xf numFmtId="0" fontId="10" fillId="2" borderId="0" xfId="0" applyFont="1" applyFill="1"/>
    <xf numFmtId="17" fontId="4" fillId="0" borderId="1" xfId="0" applyNumberFormat="1" applyFont="1" applyFill="1" applyBorder="1" applyAlignment="1">
      <alignment horizontal="center" wrapText="1"/>
    </xf>
    <xf numFmtId="3" fontId="4" fillId="2" borderId="7" xfId="0" applyNumberFormat="1" applyFont="1" applyFill="1" applyBorder="1"/>
    <xf numFmtId="17" fontId="4" fillId="0" borderId="3" xfId="0" quotePrefix="1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vertical="top" wrapText="1"/>
    </xf>
    <xf numFmtId="49" fontId="7" fillId="2" borderId="0" xfId="0" applyNumberFormat="1" applyFont="1" applyFill="1"/>
    <xf numFmtId="49" fontId="9" fillId="2" borderId="0" xfId="0" applyNumberFormat="1" applyFont="1" applyFill="1"/>
    <xf numFmtId="49" fontId="4" fillId="2" borderId="7" xfId="0" applyNumberFormat="1" applyFont="1" applyFill="1" applyBorder="1" applyAlignment="1">
      <alignment vertical="top"/>
    </xf>
    <xf numFmtId="49" fontId="0" fillId="0" borderId="0" xfId="0" applyNumberFormat="1"/>
    <xf numFmtId="49" fontId="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43" fontId="0" fillId="0" borderId="0" xfId="0" applyNumberFormat="1"/>
    <xf numFmtId="0" fontId="5" fillId="2" borderId="13" xfId="0" applyFont="1" applyFill="1" applyBorder="1" applyAlignment="1">
      <alignment horizontal="left" vertical="center" wrapText="1"/>
    </xf>
    <xf numFmtId="49" fontId="0" fillId="2" borderId="12" xfId="0" applyNumberFormat="1" applyFill="1" applyBorder="1" applyAlignment="1">
      <alignment horizontal="center" vertical="center"/>
    </xf>
    <xf numFmtId="41" fontId="17" fillId="2" borderId="13" xfId="0" applyNumberFormat="1" applyFont="1" applyFill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1" fontId="4" fillId="2" borderId="13" xfId="0" applyNumberFormat="1" applyFont="1" applyFill="1" applyBorder="1" applyAlignment="1">
      <alignment horizontal="right" vertical="center"/>
    </xf>
    <xf numFmtId="41" fontId="0" fillId="2" borderId="14" xfId="24" applyNumberFormat="1" applyFont="1" applyFill="1" applyBorder="1" applyAlignment="1">
      <alignment horizontal="right" vertical="center"/>
    </xf>
    <xf numFmtId="41" fontId="0" fillId="0" borderId="0" xfId="24" applyNumberFormat="1" applyFont="1" applyAlignment="1">
      <alignment horizontal="right" vertical="center"/>
    </xf>
    <xf numFmtId="41" fontId="0" fillId="0" borderId="0" xfId="24" applyNumberFormat="1" applyFont="1" applyFill="1" applyAlignment="1">
      <alignment horizontal="right" vertical="center"/>
    </xf>
    <xf numFmtId="49" fontId="0" fillId="2" borderId="13" xfId="0" applyNumberFormat="1" applyFont="1" applyFill="1" applyBorder="1" applyAlignment="1">
      <alignment horizontal="left" vertical="center" wrapText="1"/>
    </xf>
    <xf numFmtId="41" fontId="0" fillId="0" borderId="0" xfId="24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41" fontId="4" fillId="2" borderId="13" xfId="24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5" fillId="2" borderId="6" xfId="0" quotePrefix="1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vertical="center" wrapText="1"/>
    </xf>
    <xf numFmtId="41" fontId="0" fillId="2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5" fillId="2" borderId="8" xfId="0" applyNumberFormat="1" applyFont="1" applyFill="1" applyBorder="1" applyAlignment="1">
      <alignment horizontal="right" vertical="center"/>
    </xf>
    <xf numFmtId="0" fontId="17" fillId="2" borderId="6" xfId="0" quotePrefix="1" applyNumberFormat="1" applyFont="1" applyFill="1" applyBorder="1" applyAlignment="1">
      <alignment horizontal="center" vertical="center"/>
    </xf>
    <xf numFmtId="41" fontId="4" fillId="2" borderId="7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/>
    <xf numFmtId="0" fontId="0" fillId="0" borderId="0" xfId="0" applyFill="1" applyBorder="1" applyAlignment="1"/>
    <xf numFmtId="3" fontId="0" fillId="0" borderId="0" xfId="0" applyNumberFormat="1" applyAlignment="1"/>
    <xf numFmtId="0" fontId="0" fillId="0" borderId="0" xfId="0" applyAlignment="1"/>
    <xf numFmtId="49" fontId="0" fillId="2" borderId="7" xfId="0" quotePrefix="1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left" vertical="center" wrapText="1"/>
    </xf>
    <xf numFmtId="41" fontId="0" fillId="2" borderId="7" xfId="0" applyNumberForma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7" xfId="0" quotePrefix="1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0" fontId="9" fillId="2" borderId="0" xfId="0" quotePrefix="1" applyFont="1" applyFill="1"/>
    <xf numFmtId="41" fontId="5" fillId="2" borderId="7" xfId="0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9" fontId="4" fillId="2" borderId="7" xfId="0" applyNumberFormat="1" applyFont="1" applyFill="1" applyBorder="1" applyAlignment="1">
      <alignment horizontal="right" vertical="center"/>
    </xf>
    <xf numFmtId="41" fontId="0" fillId="2" borderId="7" xfId="24" applyNumberFormat="1" applyFont="1" applyFill="1" applyBorder="1" applyAlignment="1">
      <alignment horizontal="right" vertical="center"/>
    </xf>
    <xf numFmtId="49" fontId="0" fillId="2" borderId="0" xfId="0" quotePrefix="1" applyNumberForma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left" vertical="center" wrapText="1"/>
    </xf>
    <xf numFmtId="41" fontId="5" fillId="2" borderId="28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17" fillId="2" borderId="13" xfId="0" applyNumberFormat="1" applyFont="1" applyFill="1" applyBorder="1" applyAlignment="1">
      <alignment horizontal="right" vertical="center"/>
    </xf>
    <xf numFmtId="41" fontId="4" fillId="2" borderId="9" xfId="24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41" fontId="0" fillId="2" borderId="5" xfId="24" applyNumberFormat="1" applyFont="1" applyFill="1" applyBorder="1" applyAlignment="1">
      <alignment horizontal="right" vertical="center"/>
    </xf>
    <xf numFmtId="41" fontId="0" fillId="2" borderId="16" xfId="24" applyNumberFormat="1" applyFont="1" applyFill="1" applyBorder="1" applyAlignment="1">
      <alignment horizontal="right" vertical="center"/>
    </xf>
    <xf numFmtId="49" fontId="0" fillId="2" borderId="15" xfId="0" applyNumberFormat="1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horizontal="left" vertical="center" wrapText="1"/>
    </xf>
    <xf numFmtId="41" fontId="0" fillId="2" borderId="11" xfId="24" applyNumberFormat="1" applyFont="1" applyFill="1" applyBorder="1" applyAlignment="1">
      <alignment horizontal="right" vertical="center"/>
    </xf>
    <xf numFmtId="49" fontId="0" fillId="2" borderId="10" xfId="0" applyNumberFormat="1" applyFill="1" applyBorder="1" applyAlignment="1">
      <alignment horizontal="left" vertical="center" wrapText="1"/>
    </xf>
    <xf numFmtId="41" fontId="0" fillId="0" borderId="30" xfId="24" applyNumberFormat="1" applyFont="1" applyBorder="1" applyAlignment="1">
      <alignment horizontal="right" vertical="center"/>
    </xf>
    <xf numFmtId="41" fontId="4" fillId="2" borderId="7" xfId="24" applyNumberFormat="1" applyFont="1" applyFill="1" applyBorder="1" applyAlignment="1">
      <alignment horizontal="right" vertical="center"/>
    </xf>
    <xf numFmtId="41" fontId="0" fillId="2" borderId="8" xfId="0" applyNumberFormat="1" applyFont="1" applyFill="1" applyBorder="1" applyAlignment="1">
      <alignment horizontal="right" vertical="center"/>
    </xf>
    <xf numFmtId="170" fontId="0" fillId="0" borderId="0" xfId="0" applyNumberFormat="1"/>
    <xf numFmtId="170" fontId="4" fillId="0" borderId="0" xfId="0" applyNumberFormat="1" applyFont="1"/>
    <xf numFmtId="0" fontId="69" fillId="0" borderId="0" xfId="0" applyFont="1" applyBorder="1"/>
    <xf numFmtId="0" fontId="0" fillId="0" borderId="0" xfId="0" applyAlignment="1">
      <alignment vertical="center"/>
    </xf>
    <xf numFmtId="49" fontId="4" fillId="0" borderId="0" xfId="0" quotePrefix="1" applyNumberFormat="1" applyFont="1" applyFill="1" applyBorder="1" applyAlignment="1">
      <alignment horizontal="center" vertical="center" wrapText="1"/>
    </xf>
    <xf numFmtId="0" fontId="70" fillId="2" borderId="0" xfId="0" applyFont="1" applyFill="1"/>
    <xf numFmtId="49" fontId="0" fillId="2" borderId="13" xfId="0" applyNumberFormat="1" applyFont="1" applyFill="1" applyBorder="1" applyAlignment="1">
      <alignment vertical="center" wrapText="1"/>
    </xf>
    <xf numFmtId="49" fontId="0" fillId="2" borderId="12" xfId="0" quotePrefix="1" applyNumberFormat="1" applyFill="1" applyBorder="1" applyAlignment="1">
      <alignment horizontal="center" vertical="center"/>
    </xf>
    <xf numFmtId="41" fontId="0" fillId="0" borderId="42" xfId="24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wrapText="1"/>
    </xf>
    <xf numFmtId="2" fontId="7" fillId="2" borderId="0" xfId="0" quotePrefix="1" applyNumberFormat="1" applyFont="1" applyFill="1" applyAlignment="1">
      <alignment horizontal="left"/>
    </xf>
    <xf numFmtId="165" fontId="0" fillId="0" borderId="0" xfId="24" applyNumberFormat="1" applyFont="1" applyAlignment="1">
      <alignment wrapText="1"/>
    </xf>
    <xf numFmtId="41" fontId="5" fillId="2" borderId="13" xfId="0" applyNumberFormat="1" applyFont="1" applyFill="1" applyBorder="1" applyAlignment="1">
      <alignment horizontal="right" vertical="center" wrapText="1"/>
    </xf>
    <xf numFmtId="49" fontId="4" fillId="0" borderId="1" xfId="0" quotePrefix="1" applyNumberFormat="1" applyFont="1" applyFill="1" applyBorder="1" applyAlignment="1">
      <alignment horizontal="center" wrapText="1"/>
    </xf>
    <xf numFmtId="0" fontId="9" fillId="2" borderId="0" xfId="0" applyFont="1" applyFill="1" applyAlignment="1"/>
    <xf numFmtId="0" fontId="6" fillId="2" borderId="0" xfId="0" applyFont="1" applyFill="1" applyAlignment="1"/>
    <xf numFmtId="164" fontId="0" fillId="2" borderId="26" xfId="0" applyNumberForma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1" fontId="4" fillId="2" borderId="9" xfId="24" applyNumberFormat="1" applyFont="1" applyFill="1" applyBorder="1" applyAlignment="1">
      <alignment horizontal="left" vertical="center"/>
    </xf>
    <xf numFmtId="41" fontId="0" fillId="2" borderId="8" xfId="0" applyNumberForma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wrapText="1"/>
    </xf>
    <xf numFmtId="41" fontId="0" fillId="0" borderId="0" xfId="0" applyNumberFormat="1"/>
    <xf numFmtId="0" fontId="5" fillId="2" borderId="6" xfId="0" quotePrefix="1" applyNumberFormat="1" applyFont="1" applyFill="1" applyBorder="1" applyAlignment="1">
      <alignment horizontal="center" vertical="center" wrapText="1"/>
    </xf>
    <xf numFmtId="41" fontId="0" fillId="2" borderId="7" xfId="0" applyNumberFormat="1" applyFont="1" applyFill="1" applyBorder="1" applyAlignment="1">
      <alignment horizontal="right" vertical="center" wrapText="1"/>
    </xf>
    <xf numFmtId="41" fontId="5" fillId="2" borderId="7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wrapText="1"/>
    </xf>
    <xf numFmtId="43" fontId="5" fillId="2" borderId="28" xfId="0" applyNumberFormat="1" applyFont="1" applyFill="1" applyBorder="1" applyAlignment="1">
      <alignment horizontal="right" vertical="center"/>
    </xf>
    <xf numFmtId="43" fontId="0" fillId="2" borderId="7" xfId="24" applyNumberFormat="1" applyFont="1" applyFill="1" applyBorder="1" applyAlignment="1">
      <alignment horizontal="right" vertical="center"/>
    </xf>
    <xf numFmtId="43" fontId="0" fillId="2" borderId="13" xfId="0" applyNumberFormat="1" applyFont="1" applyFill="1" applyBorder="1" applyAlignment="1">
      <alignment horizontal="right" vertical="center"/>
    </xf>
    <xf numFmtId="43" fontId="0" fillId="0" borderId="0" xfId="0" applyNumberFormat="1" applyFill="1" applyAlignment="1">
      <alignment vertical="center"/>
    </xf>
    <xf numFmtId="43" fontId="17" fillId="2" borderId="13" xfId="0" applyNumberFormat="1" applyFont="1" applyFill="1" applyBorder="1" applyAlignment="1">
      <alignment horizontal="right" vertical="center"/>
    </xf>
    <xf numFmtId="43" fontId="4" fillId="2" borderId="13" xfId="0" applyNumberFormat="1" applyFont="1" applyFill="1" applyBorder="1" applyAlignment="1">
      <alignment horizontal="right" vertical="center"/>
    </xf>
    <xf numFmtId="49" fontId="0" fillId="0" borderId="43" xfId="0" applyNumberFormat="1" applyFill="1" applyBorder="1" applyAlignment="1">
      <alignment horizontal="center" vertical="center"/>
    </xf>
    <xf numFmtId="3" fontId="0" fillId="0" borderId="43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1" fontId="0" fillId="0" borderId="43" xfId="0" applyNumberFormat="1" applyFill="1" applyBorder="1" applyAlignment="1">
      <alignment horizontal="right" vertical="center"/>
    </xf>
    <xf numFmtId="43" fontId="4" fillId="2" borderId="40" xfId="0" quotePrefix="1" applyNumberFormat="1" applyFont="1" applyFill="1" applyBorder="1" applyAlignment="1">
      <alignment horizontal="center" wrapText="1"/>
    </xf>
    <xf numFmtId="49" fontId="0" fillId="2" borderId="9" xfId="24" applyNumberFormat="1" applyFont="1" applyFill="1" applyBorder="1" applyAlignment="1">
      <alignment horizontal="center" vertical="center"/>
    </xf>
    <xf numFmtId="0" fontId="0" fillId="51" borderId="44" xfId="0" applyFill="1" applyBorder="1"/>
    <xf numFmtId="169" fontId="0" fillId="0" borderId="0" xfId="0" applyNumberFormat="1"/>
    <xf numFmtId="43" fontId="0" fillId="2" borderId="7" xfId="0" applyNumberFormat="1" applyFill="1" applyBorder="1" applyAlignment="1">
      <alignment horizontal="right" vertical="center"/>
    </xf>
    <xf numFmtId="43" fontId="0" fillId="0" borderId="42" xfId="24" applyNumberFormat="1" applyFont="1" applyBorder="1" applyAlignment="1">
      <alignment horizontal="right" vertical="center"/>
    </xf>
    <xf numFmtId="43" fontId="0" fillId="0" borderId="30" xfId="24" applyNumberFormat="1" applyFont="1" applyBorder="1" applyAlignment="1">
      <alignment horizontal="right" vertical="center"/>
    </xf>
    <xf numFmtId="43" fontId="0" fillId="0" borderId="0" xfId="24" applyNumberFormat="1" applyFont="1" applyAlignment="1">
      <alignment horizontal="right" vertical="center"/>
    </xf>
    <xf numFmtId="43" fontId="0" fillId="0" borderId="0" xfId="0" applyNumberFormat="1" applyFill="1" applyBorder="1" applyAlignment="1">
      <alignment horizontal="right" vertical="center"/>
    </xf>
    <xf numFmtId="43" fontId="0" fillId="0" borderId="0" xfId="0" applyNumberFormat="1" applyFill="1"/>
    <xf numFmtId="43" fontId="0" fillId="0" borderId="0" xfId="24" applyNumberFormat="1" applyFont="1" applyFill="1" applyAlignment="1">
      <alignment horizontal="right" vertical="center"/>
    </xf>
    <xf numFmtId="43" fontId="4" fillId="2" borderId="7" xfId="0" applyNumberFormat="1" applyFont="1" applyFill="1" applyBorder="1" applyAlignment="1">
      <alignment horizontal="right" vertical="center"/>
    </xf>
    <xf numFmtId="49" fontId="0" fillId="0" borderId="45" xfId="0" applyNumberFormat="1" applyFill="1" applyBorder="1" applyAlignment="1">
      <alignment horizontal="center" vertical="center"/>
    </xf>
    <xf numFmtId="0" fontId="0" fillId="0" borderId="45" xfId="0" applyFill="1" applyBorder="1"/>
    <xf numFmtId="41" fontId="0" fillId="0" borderId="45" xfId="24" applyNumberFormat="1" applyFont="1" applyFill="1" applyBorder="1" applyAlignment="1">
      <alignment horizontal="right" vertical="center"/>
    </xf>
    <xf numFmtId="41" fontId="0" fillId="0" borderId="43" xfId="24" applyNumberFormat="1" applyFont="1" applyFill="1" applyBorder="1" applyAlignment="1">
      <alignment horizontal="right" vertical="center"/>
    </xf>
    <xf numFmtId="41" fontId="0" fillId="0" borderId="46" xfId="24" applyNumberFormat="1" applyFont="1" applyFill="1" applyBorder="1" applyAlignment="1">
      <alignment horizontal="right" vertical="center"/>
    </xf>
    <xf numFmtId="0" fontId="0" fillId="0" borderId="47" xfId="0" applyFont="1" applyFill="1" applyBorder="1"/>
    <xf numFmtId="43" fontId="0" fillId="0" borderId="30" xfId="24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17" fontId="4" fillId="0" borderId="29" xfId="0" quotePrefix="1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49" fontId="0" fillId="51" borderId="48" xfId="0" applyNumberFormat="1" applyFill="1" applyBorder="1" applyAlignment="1">
      <alignment horizontal="center" vertical="center"/>
    </xf>
    <xf numFmtId="0" fontId="0" fillId="51" borderId="48" xfId="0" applyFont="1" applyFill="1" applyBorder="1" applyAlignment="1">
      <alignment horizontal="center"/>
    </xf>
    <xf numFmtId="49" fontId="0" fillId="2" borderId="49" xfId="0" quotePrefix="1" applyNumberFormat="1" applyFont="1" applyFill="1" applyBorder="1" applyAlignment="1">
      <alignment horizontal="center" wrapText="1"/>
    </xf>
    <xf numFmtId="41" fontId="0" fillId="2" borderId="50" xfId="24" applyNumberFormat="1" applyFont="1" applyFill="1" applyBorder="1" applyAlignment="1">
      <alignment horizontal="center" vertical="center" wrapText="1"/>
    </xf>
    <xf numFmtId="49" fontId="0" fillId="2" borderId="52" xfId="0" quotePrefix="1" applyNumberFormat="1" applyFont="1" applyFill="1" applyBorder="1" applyAlignment="1">
      <alignment horizontal="center" wrapText="1"/>
    </xf>
    <xf numFmtId="41" fontId="0" fillId="2" borderId="53" xfId="24" applyNumberFormat="1" applyFont="1" applyFill="1" applyBorder="1" applyAlignment="1">
      <alignment horizontal="center" vertical="center" wrapText="1"/>
    </xf>
    <xf numFmtId="43" fontId="5" fillId="0" borderId="0" xfId="24" applyNumberFormat="1" applyFont="1" applyAlignment="1">
      <alignment horizontal="right" vertical="center"/>
    </xf>
    <xf numFmtId="41" fontId="0" fillId="0" borderId="0" xfId="0" applyNumberFormat="1" applyFill="1"/>
    <xf numFmtId="49" fontId="5" fillId="2" borderId="13" xfId="0" applyNumberFormat="1" applyFont="1" applyFill="1" applyBorder="1" applyAlignment="1">
      <alignment horizontal="left" vertical="center" wrapText="1"/>
    </xf>
    <xf numFmtId="49" fontId="3" fillId="2" borderId="9" xfId="24" applyNumberFormat="1" applyFont="1" applyFill="1" applyBorder="1" applyAlignment="1">
      <alignment horizontal="center" vertical="center"/>
    </xf>
    <xf numFmtId="49" fontId="3" fillId="2" borderId="9" xfId="24" applyNumberFormat="1" applyFont="1" applyFill="1" applyBorder="1" applyAlignment="1">
      <alignment horizontal="left" vertical="center"/>
    </xf>
    <xf numFmtId="49" fontId="0" fillId="2" borderId="9" xfId="24" quotePrefix="1" applyNumberFormat="1" applyFont="1" applyFill="1" applyBorder="1" applyAlignment="1">
      <alignment horizontal="center" vertical="center"/>
    </xf>
    <xf numFmtId="49" fontId="0" fillId="2" borderId="9" xfId="24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 wrapText="1"/>
    </xf>
    <xf numFmtId="0" fontId="0" fillId="2" borderId="7" xfId="24" applyNumberFormat="1" applyFont="1" applyFill="1" applyBorder="1" applyAlignment="1">
      <alignment horizontal="right" vertical="center"/>
    </xf>
    <xf numFmtId="41" fontId="0" fillId="2" borderId="7" xfId="24" applyNumberFormat="1" applyFont="1" applyFill="1" applyBorder="1" applyAlignment="1">
      <alignment horizontal="right" vertical="center" wrapText="1"/>
    </xf>
    <xf numFmtId="43" fontId="0" fillId="51" borderId="0" xfId="24" applyNumberFormat="1" applyFont="1" applyFill="1" applyAlignment="1">
      <alignment horizontal="right" vertical="center"/>
    </xf>
    <xf numFmtId="43" fontId="4" fillId="2" borderId="7" xfId="24" applyNumberFormat="1" applyFont="1" applyFill="1" applyBorder="1" applyAlignment="1">
      <alignment horizontal="right" vertical="center"/>
    </xf>
    <xf numFmtId="44" fontId="0" fillId="0" borderId="0" xfId="0" applyNumberFormat="1" applyFill="1"/>
    <xf numFmtId="41" fontId="4" fillId="0" borderId="55" xfId="24" applyNumberFormat="1" applyFont="1" applyFill="1" applyBorder="1" applyAlignment="1">
      <alignment horizontal="right" vertical="center"/>
    </xf>
    <xf numFmtId="43" fontId="0" fillId="0" borderId="0" xfId="24" applyNumberFormat="1" applyFont="1" applyBorder="1" applyAlignment="1">
      <alignment horizontal="right" vertical="center"/>
    </xf>
    <xf numFmtId="43" fontId="0" fillId="0" borderId="0" xfId="24" applyNumberFormat="1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horizontal="left" vertical="center" wrapText="1"/>
    </xf>
    <xf numFmtId="49" fontId="3" fillId="2" borderId="15" xfId="24" applyNumberFormat="1" applyFont="1" applyFill="1" applyBorder="1" applyAlignment="1">
      <alignment horizontal="left" vertical="center"/>
    </xf>
    <xf numFmtId="49" fontId="0" fillId="2" borderId="7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center" vertical="center"/>
    </xf>
    <xf numFmtId="49" fontId="0" fillId="2" borderId="43" xfId="0" applyNumberFormat="1" applyFill="1" applyBorder="1" applyAlignment="1">
      <alignment horizontal="left" vertical="center" wrapText="1"/>
    </xf>
    <xf numFmtId="49" fontId="0" fillId="2" borderId="43" xfId="0" applyNumberFormat="1" applyFill="1" applyBorder="1" applyAlignment="1">
      <alignment horizontal="center" vertical="center" wrapText="1"/>
    </xf>
    <xf numFmtId="43" fontId="0" fillId="2" borderId="43" xfId="0" applyNumberFormat="1" applyFill="1" applyBorder="1" applyAlignment="1">
      <alignment horizontal="right" vertical="center"/>
    </xf>
    <xf numFmtId="43" fontId="0" fillId="51" borderId="30" xfId="24" applyNumberFormat="1" applyFont="1" applyFill="1" applyBorder="1" applyAlignment="1">
      <alignment horizontal="right" vertical="center"/>
    </xf>
    <xf numFmtId="43" fontId="0" fillId="51" borderId="0" xfId="24" applyNumberFormat="1" applyFont="1" applyFill="1" applyBorder="1" applyAlignment="1">
      <alignment horizontal="right" vertical="center"/>
    </xf>
    <xf numFmtId="43" fontId="0" fillId="51" borderId="0" xfId="0" applyNumberFormat="1" applyFill="1" applyBorder="1" applyAlignment="1">
      <alignment horizontal="right" vertical="center"/>
    </xf>
    <xf numFmtId="43" fontId="5" fillId="51" borderId="0" xfId="24" applyNumberFormat="1" applyFont="1" applyFill="1" applyAlignment="1">
      <alignment horizontal="right" vertical="center"/>
    </xf>
    <xf numFmtId="4" fontId="0" fillId="2" borderId="7" xfId="0" applyNumberFormat="1" applyFill="1" applyBorder="1" applyAlignment="1">
      <alignment horizontal="center"/>
    </xf>
    <xf numFmtId="165" fontId="0" fillId="52" borderId="0" xfId="24" applyNumberFormat="1" applyFont="1" applyFill="1" applyAlignment="1">
      <alignment wrapText="1"/>
    </xf>
    <xf numFmtId="49" fontId="0" fillId="2" borderId="15" xfId="24" quotePrefix="1" applyNumberFormat="1" applyFont="1" applyFill="1" applyBorder="1" applyAlignment="1">
      <alignment horizontal="center" vertical="center"/>
    </xf>
    <xf numFmtId="49" fontId="0" fillId="2" borderId="56" xfId="24" applyNumberFormat="1" applyFont="1" applyFill="1" applyBorder="1" applyAlignment="1">
      <alignment horizontal="center" vertical="center"/>
    </xf>
    <xf numFmtId="49" fontId="3" fillId="2" borderId="13" xfId="24" applyNumberFormat="1" applyFont="1" applyFill="1" applyBorder="1" applyAlignment="1">
      <alignment horizontal="left" vertical="center"/>
    </xf>
    <xf numFmtId="49" fontId="5" fillId="2" borderId="56" xfId="0" applyNumberFormat="1" applyFont="1" applyFill="1" applyBorder="1" applyAlignment="1">
      <alignment horizontal="left" vertical="center" wrapText="1"/>
    </xf>
    <xf numFmtId="43" fontId="0" fillId="0" borderId="30" xfId="0" applyNumberFormat="1" applyFill="1" applyBorder="1" applyAlignment="1">
      <alignment horizontal="right" vertical="center"/>
    </xf>
    <xf numFmtId="17" fontId="4" fillId="0" borderId="30" xfId="0" quotePrefix="1" applyNumberFormat="1" applyFont="1" applyFill="1" applyBorder="1" applyAlignment="1">
      <alignment horizontal="center" vertical="center" wrapText="1"/>
    </xf>
    <xf numFmtId="17" fontId="4" fillId="0" borderId="29" xfId="0" quotePrefix="1" applyNumberFormat="1" applyFont="1" applyFill="1" applyBorder="1" applyAlignment="1">
      <alignment horizontal="center" vertical="center" wrapText="1"/>
    </xf>
    <xf numFmtId="41" fontId="0" fillId="0" borderId="58" xfId="24" applyNumberFormat="1" applyFont="1" applyFill="1" applyBorder="1" applyAlignment="1">
      <alignment horizontal="right" vertical="center"/>
    </xf>
    <xf numFmtId="0" fontId="0" fillId="0" borderId="58" xfId="0" applyBorder="1"/>
    <xf numFmtId="0" fontId="0" fillId="0" borderId="58" xfId="0" applyFill="1" applyBorder="1"/>
    <xf numFmtId="43" fontId="4" fillId="2" borderId="9" xfId="24" applyNumberFormat="1" applyFont="1" applyFill="1" applyBorder="1" applyAlignment="1">
      <alignment horizontal="right" vertical="center"/>
    </xf>
    <xf numFmtId="41" fontId="0" fillId="2" borderId="60" xfId="24" applyNumberFormat="1" applyFont="1" applyFill="1" applyBorder="1" applyAlignment="1">
      <alignment horizontal="right" vertical="center"/>
    </xf>
    <xf numFmtId="41" fontId="0" fillId="0" borderId="61" xfId="24" applyNumberFormat="1" applyFont="1" applyFill="1" applyBorder="1" applyAlignment="1">
      <alignment horizontal="right" vertical="center"/>
    </xf>
    <xf numFmtId="0" fontId="0" fillId="0" borderId="61" xfId="0" applyBorder="1"/>
    <xf numFmtId="0" fontId="0" fillId="0" borderId="61" xfId="0" applyFill="1" applyBorder="1"/>
    <xf numFmtId="41" fontId="0" fillId="53" borderId="61" xfId="24" applyNumberFormat="1" applyFont="1" applyFill="1" applyBorder="1" applyAlignment="1">
      <alignment horizontal="right" vertical="center"/>
    </xf>
    <xf numFmtId="41" fontId="0" fillId="51" borderId="61" xfId="24" applyNumberFormat="1" applyFont="1" applyFill="1" applyBorder="1" applyAlignment="1">
      <alignment horizontal="right" vertical="center"/>
    </xf>
    <xf numFmtId="168" fontId="0" fillId="0" borderId="61" xfId="0" applyNumberFormat="1" applyFill="1" applyBorder="1"/>
    <xf numFmtId="3" fontId="0" fillId="0" borderId="61" xfId="0" applyNumberFormat="1" applyFill="1" applyBorder="1"/>
    <xf numFmtId="0" fontId="0" fillId="2" borderId="61" xfId="0" applyFill="1" applyBorder="1"/>
    <xf numFmtId="3" fontId="0" fillId="2" borderId="61" xfId="0" applyNumberFormat="1" applyFill="1" applyBorder="1"/>
    <xf numFmtId="3" fontId="0" fillId="0" borderId="61" xfId="0" applyNumberFormat="1" applyBorder="1"/>
    <xf numFmtId="4" fontId="0" fillId="0" borderId="0" xfId="24" applyNumberFormat="1" applyFont="1" applyAlignment="1">
      <alignment horizontal="right" vertical="center"/>
    </xf>
    <xf numFmtId="4" fontId="0" fillId="52" borderId="0" xfId="24" applyNumberFormat="1" applyFont="1" applyFill="1" applyAlignment="1">
      <alignment horizontal="right" vertical="center"/>
    </xf>
    <xf numFmtId="4" fontId="0" fillId="54" borderId="0" xfId="24" applyNumberFormat="1" applyFont="1" applyFill="1" applyAlignment="1">
      <alignment horizontal="right" vertical="center"/>
    </xf>
    <xf numFmtId="4" fontId="0" fillId="0" borderId="0" xfId="24" applyNumberFormat="1" applyFont="1" applyFill="1" applyBorder="1" applyAlignment="1">
      <alignment horizontal="right" vertical="center"/>
    </xf>
    <xf numFmtId="4" fontId="4" fillId="2" borderId="9" xfId="24" applyNumberFormat="1" applyFont="1" applyFill="1" applyBorder="1" applyAlignment="1">
      <alignment horizontal="right" vertical="center"/>
    </xf>
    <xf numFmtId="4" fontId="0" fillId="0" borderId="58" xfId="24" applyNumberFormat="1" applyFont="1" applyFill="1" applyBorder="1" applyAlignment="1">
      <alignment horizontal="right" vertical="center"/>
    </xf>
    <xf numFmtId="4" fontId="4" fillId="0" borderId="58" xfId="0" quotePrefix="1" applyNumberFormat="1" applyFont="1" applyFill="1" applyBorder="1" applyAlignment="1">
      <alignment horizontal="right" vertical="center" wrapText="1"/>
    </xf>
    <xf numFmtId="4" fontId="0" fillId="0" borderId="0" xfId="24" applyNumberFormat="1" applyFont="1" applyFill="1" applyAlignment="1">
      <alignment horizontal="right" vertical="center"/>
    </xf>
    <xf numFmtId="4" fontId="0" fillId="0" borderId="0" xfId="0" applyNumberFormat="1"/>
    <xf numFmtId="4" fontId="3" fillId="2" borderId="5" xfId="24" applyNumberFormat="1" applyFont="1" applyFill="1" applyBorder="1" applyAlignment="1">
      <alignment horizontal="right" vertical="center"/>
    </xf>
    <xf numFmtId="4" fontId="3" fillId="2" borderId="9" xfId="24" applyNumberFormat="1" applyFont="1" applyFill="1" applyBorder="1" applyAlignment="1">
      <alignment horizontal="right" vertical="center"/>
    </xf>
    <xf numFmtId="4" fontId="3" fillId="2" borderId="59" xfId="24" applyNumberFormat="1" applyFont="1" applyFill="1" applyBorder="1" applyAlignment="1">
      <alignment horizontal="right" vertical="center"/>
    </xf>
    <xf numFmtId="4" fontId="0" fillId="51" borderId="58" xfId="24" applyNumberFormat="1" applyFont="1" applyFill="1" applyBorder="1" applyAlignment="1">
      <alignment horizontal="right" vertical="center"/>
    </xf>
    <xf numFmtId="4" fontId="0" fillId="0" borderId="58" xfId="0" applyNumberFormat="1" applyBorder="1"/>
    <xf numFmtId="4" fontId="0" fillId="2" borderId="5" xfId="0" applyNumberFormat="1" applyFill="1" applyBorder="1" applyAlignment="1">
      <alignment horizontal="right" vertical="center"/>
    </xf>
    <xf numFmtId="4" fontId="3" fillId="2" borderId="0" xfId="24" applyNumberFormat="1" applyFont="1" applyFill="1" applyBorder="1" applyAlignment="1">
      <alignment horizontal="right" vertical="center"/>
    </xf>
    <xf numFmtId="4" fontId="0" fillId="0" borderId="58" xfId="0" applyNumberFormat="1" applyFill="1" applyBorder="1"/>
    <xf numFmtId="4" fontId="0" fillId="0" borderId="58" xfId="0" quotePrefix="1" applyNumberFormat="1" applyFont="1" applyFill="1" applyBorder="1" applyAlignment="1">
      <alignment horizontal="right" vertical="center" wrapText="1"/>
    </xf>
    <xf numFmtId="4" fontId="4" fillId="51" borderId="58" xfId="0" quotePrefix="1" applyNumberFormat="1" applyFont="1" applyFill="1" applyBorder="1" applyAlignment="1">
      <alignment horizontal="right" vertical="center" wrapText="1"/>
    </xf>
    <xf numFmtId="4" fontId="0" fillId="51" borderId="58" xfId="0" quotePrefix="1" applyNumberFormat="1" applyFont="1" applyFill="1" applyBorder="1" applyAlignment="1">
      <alignment horizontal="right" vertical="center" wrapText="1"/>
    </xf>
    <xf numFmtId="4" fontId="5" fillId="51" borderId="58" xfId="24" applyNumberFormat="1" applyFont="1" applyFill="1" applyBorder="1" applyAlignment="1">
      <alignment horizontal="right" vertical="center"/>
    </xf>
    <xf numFmtId="4" fontId="0" fillId="2" borderId="9" xfId="0" applyNumberFormat="1" applyFill="1" applyBorder="1" applyAlignment="1">
      <alignment horizontal="right" vertical="center"/>
    </xf>
    <xf numFmtId="4" fontId="3" fillId="2" borderId="57" xfId="24" applyNumberFormat="1" applyFont="1" applyFill="1" applyBorder="1" applyAlignment="1">
      <alignment horizontal="right" vertical="center"/>
    </xf>
    <xf numFmtId="4" fontId="3" fillId="2" borderId="16" xfId="24" applyNumberFormat="1" applyFont="1" applyFill="1" applyBorder="1" applyAlignment="1">
      <alignment horizontal="right" vertical="center"/>
    </xf>
    <xf numFmtId="4" fontId="4" fillId="0" borderId="55" xfId="24" applyNumberFormat="1" applyFont="1" applyFill="1" applyBorder="1" applyAlignment="1">
      <alignment horizontal="right" vertical="center"/>
    </xf>
    <xf numFmtId="4" fontId="4" fillId="2" borderId="59" xfId="24" applyNumberFormat="1" applyFont="1" applyFill="1" applyBorder="1" applyAlignment="1">
      <alignment horizontal="right" vertical="center"/>
    </xf>
    <xf numFmtId="4" fontId="0" fillId="2" borderId="50" xfId="0" quotePrefix="1" applyNumberFormat="1" applyFont="1" applyFill="1" applyBorder="1" applyAlignment="1">
      <alignment horizontal="center" wrapText="1"/>
    </xf>
    <xf numFmtId="4" fontId="0" fillId="2" borderId="50" xfId="24" applyNumberFormat="1" applyFont="1" applyFill="1" applyBorder="1" applyAlignment="1">
      <alignment horizontal="right" vertical="center"/>
    </xf>
    <xf numFmtId="4" fontId="0" fillId="2" borderId="50" xfId="0" applyNumberFormat="1" applyFill="1" applyBorder="1" applyAlignment="1">
      <alignment vertical="center"/>
    </xf>
    <xf numFmtId="4" fontId="0" fillId="2" borderId="51" xfId="0" applyNumberFormat="1" applyFill="1" applyBorder="1" applyAlignment="1">
      <alignment vertical="center"/>
    </xf>
    <xf numFmtId="4" fontId="0" fillId="0" borderId="0" xfId="24" applyNumberFormat="1" applyFont="1" applyAlignment="1">
      <alignment vertical="center"/>
    </xf>
    <xf numFmtId="4" fontId="0" fillId="2" borderId="53" xfId="0" quotePrefix="1" applyNumberFormat="1" applyFont="1" applyFill="1" applyBorder="1" applyAlignment="1">
      <alignment horizontal="center" wrapText="1"/>
    </xf>
    <xf numFmtId="4" fontId="0" fillId="2" borderId="53" xfId="24" applyNumberFormat="1" applyFont="1" applyFill="1" applyBorder="1" applyAlignment="1">
      <alignment horizontal="right" vertical="center"/>
    </xf>
    <xf numFmtId="4" fontId="0" fillId="2" borderId="53" xfId="0" applyNumberFormat="1" applyFill="1" applyBorder="1" applyAlignment="1">
      <alignment vertical="center"/>
    </xf>
    <xf numFmtId="4" fontId="0" fillId="2" borderId="54" xfId="0" applyNumberFormat="1" applyFill="1" applyBorder="1" applyAlignment="1">
      <alignment vertical="center"/>
    </xf>
    <xf numFmtId="4" fontId="0" fillId="52" borderId="0" xfId="24" applyNumberFormat="1" applyFont="1" applyFill="1" applyAlignment="1">
      <alignment vertical="center"/>
    </xf>
    <xf numFmtId="4" fontId="0" fillId="54" borderId="0" xfId="24" applyNumberFormat="1" applyFont="1" applyFill="1" applyAlignment="1">
      <alignment vertical="center"/>
    </xf>
    <xf numFmtId="4" fontId="17" fillId="51" borderId="48" xfId="0" applyNumberFormat="1" applyFont="1" applyFill="1" applyBorder="1" applyAlignment="1">
      <alignment horizontal="right" vertical="center" wrapText="1"/>
    </xf>
    <xf numFmtId="4" fontId="0" fillId="51" borderId="44" xfId="24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/>
    </xf>
    <xf numFmtId="4" fontId="0" fillId="2" borderId="7" xfId="24" applyNumberFormat="1" applyFont="1" applyFill="1" applyBorder="1" applyAlignment="1">
      <alignment horizontal="right" vertical="center"/>
    </xf>
    <xf numFmtId="4" fontId="0" fillId="2" borderId="13" xfId="24" applyNumberFormat="1" applyFont="1" applyFill="1" applyBorder="1" applyAlignment="1">
      <alignment horizontal="right" vertical="center"/>
    </xf>
    <xf numFmtId="4" fontId="0" fillId="2" borderId="14" xfId="24" applyNumberFormat="1" applyFont="1" applyFill="1" applyBorder="1" applyAlignment="1">
      <alignment horizontal="right" vertical="center"/>
    </xf>
    <xf numFmtId="4" fontId="0" fillId="51" borderId="0" xfId="24" applyNumberFormat="1" applyFont="1" applyFill="1" applyAlignment="1">
      <alignment horizontal="right" vertical="center"/>
    </xf>
    <xf numFmtId="4" fontId="0" fillId="0" borderId="0" xfId="0" applyNumberFormat="1" applyFont="1"/>
    <xf numFmtId="4" fontId="4" fillId="2" borderId="13" xfId="24" applyNumberFormat="1" applyFont="1" applyFill="1" applyBorder="1" applyAlignment="1">
      <alignment horizontal="right" vertical="center"/>
    </xf>
    <xf numFmtId="4" fontId="0" fillId="0" borderId="43" xfId="24" applyNumberFormat="1" applyFont="1" applyFill="1" applyBorder="1" applyAlignment="1">
      <alignment horizontal="right" vertical="center"/>
    </xf>
    <xf numFmtId="4" fontId="4" fillId="2" borderId="7" xfId="24" applyNumberFormat="1" applyFont="1" applyFill="1" applyBorder="1" applyAlignment="1">
      <alignment horizontal="right" vertical="center"/>
    </xf>
    <xf numFmtId="4" fontId="0" fillId="2" borderId="7" xfId="0" applyNumberFormat="1" applyFill="1" applyBorder="1" applyAlignment="1">
      <alignment horizontal="right" vertical="center"/>
    </xf>
    <xf numFmtId="4" fontId="0" fillId="0" borderId="42" xfId="24" applyNumberFormat="1" applyFont="1" applyBorder="1" applyAlignment="1">
      <alignment horizontal="right" vertical="center"/>
    </xf>
    <xf numFmtId="4" fontId="0" fillId="0" borderId="30" xfId="24" applyNumberFormat="1" applyFont="1" applyBorder="1" applyAlignment="1">
      <alignment horizontal="right" vertical="center"/>
    </xf>
    <xf numFmtId="4" fontId="0" fillId="0" borderId="0" xfId="0" applyNumberFormat="1" applyAlignment="1">
      <alignment vertical="top"/>
    </xf>
    <xf numFmtId="4" fontId="0" fillId="0" borderId="0" xfId="24" applyNumberFormat="1" applyFont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4" fontId="4" fillId="0" borderId="0" xfId="0" applyNumberFormat="1" applyFont="1"/>
    <xf numFmtId="49" fontId="0" fillId="0" borderId="7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" fontId="0" fillId="0" borderId="7" xfId="0" applyNumberForma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4" fontId="0" fillId="0" borderId="7" xfId="24" applyNumberFormat="1" applyFont="1" applyBorder="1" applyAlignment="1">
      <alignment horizontal="right" vertical="center"/>
    </xf>
    <xf numFmtId="4" fontId="0" fillId="0" borderId="7" xfId="0" applyNumberFormat="1" applyFill="1" applyBorder="1"/>
    <xf numFmtId="49" fontId="4" fillId="2" borderId="43" xfId="0" applyNumberFormat="1" applyFont="1" applyFill="1" applyBorder="1" applyAlignment="1">
      <alignment horizontal="center" vertical="center"/>
    </xf>
    <xf numFmtId="3" fontId="4" fillId="2" borderId="43" xfId="0" applyNumberFormat="1" applyFont="1" applyFill="1" applyBorder="1" applyAlignment="1">
      <alignment vertical="top"/>
    </xf>
    <xf numFmtId="49" fontId="4" fillId="2" borderId="43" xfId="0" applyNumberFormat="1" applyFont="1" applyFill="1" applyBorder="1" applyAlignment="1">
      <alignment vertical="top"/>
    </xf>
    <xf numFmtId="4" fontId="4" fillId="2" borderId="43" xfId="0" applyNumberFormat="1" applyFont="1" applyFill="1" applyBorder="1" applyAlignment="1">
      <alignment horizontal="right" vertical="center"/>
    </xf>
    <xf numFmtId="0" fontId="18" fillId="2" borderId="41" xfId="0" applyFont="1" applyFill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0" fillId="0" borderId="41" xfId="0" applyBorder="1" applyAlignment="1"/>
  </cellXfs>
  <cellStyles count="282">
    <cellStyle name="20% - Accent1" xfId="180" builtinId="30" customBuiltin="1"/>
    <cellStyle name="20% - Accent1 2" xfId="25" xr:uid="{00000000-0005-0000-0000-000001000000}"/>
    <cellStyle name="20% - Accent2" xfId="184" builtinId="34" customBuiltin="1"/>
    <cellStyle name="20% - Accent2 2" xfId="26" xr:uid="{00000000-0005-0000-0000-000003000000}"/>
    <cellStyle name="20% - Accent3" xfId="188" builtinId="38" customBuiltin="1"/>
    <cellStyle name="20% - Accent3 2" xfId="27" xr:uid="{00000000-0005-0000-0000-000005000000}"/>
    <cellStyle name="20% - Accent4" xfId="192" builtinId="42" customBuiltin="1"/>
    <cellStyle name="20% - Accent4 2" xfId="28" xr:uid="{00000000-0005-0000-0000-000007000000}"/>
    <cellStyle name="20% - Accent5" xfId="196" builtinId="46" customBuiltin="1"/>
    <cellStyle name="20% - Accent5 2" xfId="29" xr:uid="{00000000-0005-0000-0000-000009000000}"/>
    <cellStyle name="20% - Accent6" xfId="200" builtinId="50" customBuiltin="1"/>
    <cellStyle name="20% - Accent6 2" xfId="30" xr:uid="{00000000-0005-0000-0000-00000B000000}"/>
    <cellStyle name="40% - Accent1" xfId="181" builtinId="31" customBuiltin="1"/>
    <cellStyle name="40% - Accent1 2" xfId="31" xr:uid="{00000000-0005-0000-0000-00000D000000}"/>
    <cellStyle name="40% - Accent2" xfId="185" builtinId="35" customBuiltin="1"/>
    <cellStyle name="40% - Accent2 2" xfId="32" xr:uid="{00000000-0005-0000-0000-00000F000000}"/>
    <cellStyle name="40% - Accent3" xfId="189" builtinId="39" customBuiltin="1"/>
    <cellStyle name="40% - Accent3 2" xfId="33" xr:uid="{00000000-0005-0000-0000-000011000000}"/>
    <cellStyle name="40% - Accent4" xfId="193" builtinId="43" customBuiltin="1"/>
    <cellStyle name="40% - Accent4 2" xfId="34" xr:uid="{00000000-0005-0000-0000-000013000000}"/>
    <cellStyle name="40% - Accent5" xfId="197" builtinId="47" customBuiltin="1"/>
    <cellStyle name="40% - Accent5 2" xfId="35" xr:uid="{00000000-0005-0000-0000-000015000000}"/>
    <cellStyle name="40% - Accent6" xfId="201" builtinId="51" customBuiltin="1"/>
    <cellStyle name="40% - Accent6 2" xfId="36" xr:uid="{00000000-0005-0000-0000-000017000000}"/>
    <cellStyle name="60% - Accent1" xfId="182" builtinId="32" customBuiltin="1"/>
    <cellStyle name="60% - Accent1 2" xfId="37" xr:uid="{00000000-0005-0000-0000-000019000000}"/>
    <cellStyle name="60% - Accent2" xfId="186" builtinId="36" customBuiltin="1"/>
    <cellStyle name="60% - Accent2 2" xfId="38" xr:uid="{00000000-0005-0000-0000-00001B000000}"/>
    <cellStyle name="60% - Accent3" xfId="190" builtinId="40" customBuiltin="1"/>
    <cellStyle name="60% - Accent3 2" xfId="39" xr:uid="{00000000-0005-0000-0000-00001D000000}"/>
    <cellStyle name="60% - Accent4" xfId="194" builtinId="44" customBuiltin="1"/>
    <cellStyle name="60% - Accent4 2" xfId="40" xr:uid="{00000000-0005-0000-0000-00001F000000}"/>
    <cellStyle name="60% - Accent5" xfId="198" builtinId="48" customBuiltin="1"/>
    <cellStyle name="60% - Accent5 2" xfId="41" xr:uid="{00000000-0005-0000-0000-000021000000}"/>
    <cellStyle name="60% - Accent6" xfId="202" builtinId="52" customBuiltin="1"/>
    <cellStyle name="60% - Accent6 2" xfId="42" xr:uid="{00000000-0005-0000-0000-000023000000}"/>
    <cellStyle name="Accent1" xfId="179" builtinId="29" customBuiltin="1"/>
    <cellStyle name="Accent1 2" xfId="43" xr:uid="{00000000-0005-0000-0000-000025000000}"/>
    <cellStyle name="Accent2" xfId="183" builtinId="33" customBuiltin="1"/>
    <cellStyle name="Accent2 2" xfId="44" xr:uid="{00000000-0005-0000-0000-000027000000}"/>
    <cellStyle name="Accent3" xfId="187" builtinId="37" customBuiltin="1"/>
    <cellStyle name="Accent3 2" xfId="45" xr:uid="{00000000-0005-0000-0000-000029000000}"/>
    <cellStyle name="Accent4" xfId="191" builtinId="41" customBuiltin="1"/>
    <cellStyle name="Accent4 2" xfId="46" xr:uid="{00000000-0005-0000-0000-00002B000000}"/>
    <cellStyle name="Accent5" xfId="195" builtinId="45" customBuiltin="1"/>
    <cellStyle name="Accent5 2" xfId="47" xr:uid="{00000000-0005-0000-0000-00002D000000}"/>
    <cellStyle name="Accent6" xfId="199" builtinId="49" customBuiltin="1"/>
    <cellStyle name="Accent6 2" xfId="48" xr:uid="{00000000-0005-0000-0000-00002F000000}"/>
    <cellStyle name="Bad" xfId="168" builtinId="27" customBuiltin="1"/>
    <cellStyle name="Bad 2" xfId="49" xr:uid="{00000000-0005-0000-0000-000031000000}"/>
    <cellStyle name="Calculation" xfId="172" builtinId="22" customBuiltin="1"/>
    <cellStyle name="Calculation 2" xfId="50" xr:uid="{00000000-0005-0000-0000-000033000000}"/>
    <cellStyle name="Check Cell" xfId="174" builtinId="23" customBuiltin="1"/>
    <cellStyle name="Check Cell 2" xfId="51" xr:uid="{00000000-0005-0000-0000-000035000000}"/>
    <cellStyle name="Comma" xfId="24" builtinId="3"/>
    <cellStyle name="Comma 12" xfId="205" xr:uid="{00000000-0005-0000-0000-000037000000}"/>
    <cellStyle name="Comma 12 2" xfId="206" xr:uid="{00000000-0005-0000-0000-000038000000}"/>
    <cellStyle name="Comma 12 2 2" xfId="207" xr:uid="{00000000-0005-0000-0000-000039000000}"/>
    <cellStyle name="Comma 12 3" xfId="208" xr:uid="{00000000-0005-0000-0000-00003A000000}"/>
    <cellStyle name="Comma 2" xfId="1" xr:uid="{00000000-0005-0000-0000-00003B000000}"/>
    <cellStyle name="Comma 2 2" xfId="5" xr:uid="{00000000-0005-0000-0000-00003C000000}"/>
    <cellStyle name="Comma 2 2 2" xfId="80" xr:uid="{00000000-0005-0000-0000-00003D000000}"/>
    <cellStyle name="Comma 2 2 2 2" xfId="266" xr:uid="{00000000-0005-0000-0000-00003E000000}"/>
    <cellStyle name="Comma 2 3" xfId="6" xr:uid="{00000000-0005-0000-0000-00003F000000}"/>
    <cellStyle name="Comma 2 3 2" xfId="81" xr:uid="{00000000-0005-0000-0000-000040000000}"/>
    <cellStyle name="Comma 2 3 3" xfId="265" xr:uid="{00000000-0005-0000-0000-000041000000}"/>
    <cellStyle name="Comma 2 4" xfId="4" xr:uid="{00000000-0005-0000-0000-000042000000}"/>
    <cellStyle name="Comma 2 4 2" xfId="75" xr:uid="{00000000-0005-0000-0000-000043000000}"/>
    <cellStyle name="Comma 2 4 3" xfId="79" xr:uid="{00000000-0005-0000-0000-000044000000}"/>
    <cellStyle name="Comma 2 4 4" xfId="73" xr:uid="{00000000-0005-0000-0000-000045000000}"/>
    <cellStyle name="Comma 2 5" xfId="20" xr:uid="{00000000-0005-0000-0000-000046000000}"/>
    <cellStyle name="Comma 3" xfId="17" xr:uid="{00000000-0005-0000-0000-000047000000}"/>
    <cellStyle name="Comma 3 2" xfId="87" xr:uid="{00000000-0005-0000-0000-000048000000}"/>
    <cellStyle name="Comma 4" xfId="92" xr:uid="{00000000-0005-0000-0000-000049000000}"/>
    <cellStyle name="Comma 4 2" xfId="116" xr:uid="{00000000-0005-0000-0000-00004A000000}"/>
    <cellStyle name="Comma 5" xfId="111" xr:uid="{00000000-0005-0000-0000-00004B000000}"/>
    <cellStyle name="Comma 5 2" xfId="141" xr:uid="{00000000-0005-0000-0000-00004C000000}"/>
    <cellStyle name="Comma 6" xfId="209" xr:uid="{00000000-0005-0000-0000-00004D000000}"/>
    <cellStyle name="Comma 6 2" xfId="210" xr:uid="{00000000-0005-0000-0000-00004E000000}"/>
    <cellStyle name="Comma 8" xfId="117" xr:uid="{00000000-0005-0000-0000-00004F000000}"/>
    <cellStyle name="Comma0" xfId="93" xr:uid="{00000000-0005-0000-0000-000050000000}"/>
    <cellStyle name="Comma0 2" xfId="94" xr:uid="{00000000-0005-0000-0000-000051000000}"/>
    <cellStyle name="Currency 2" xfId="12" xr:uid="{00000000-0005-0000-0000-000052000000}"/>
    <cellStyle name="Currency 2 2" xfId="85" xr:uid="{00000000-0005-0000-0000-000053000000}"/>
    <cellStyle name="Currency 2 2 2" xfId="125" xr:uid="{00000000-0005-0000-0000-000054000000}"/>
    <cellStyle name="Currency 2 2 2 2" xfId="267" xr:uid="{00000000-0005-0000-0000-000055000000}"/>
    <cellStyle name="Currency 2 3" xfId="136" xr:uid="{00000000-0005-0000-0000-000056000000}"/>
    <cellStyle name="Currency 3" xfId="15" xr:uid="{00000000-0005-0000-0000-000057000000}"/>
    <cellStyle name="Currency 3 2" xfId="96" xr:uid="{00000000-0005-0000-0000-000058000000}"/>
    <cellStyle name="Currency 3 3" xfId="126" xr:uid="{00000000-0005-0000-0000-000059000000}"/>
    <cellStyle name="Currency 4" xfId="95" xr:uid="{00000000-0005-0000-0000-00005A000000}"/>
    <cellStyle name="Currency 4 2" xfId="137" xr:uid="{00000000-0005-0000-0000-00005B000000}"/>
    <cellStyle name="Currency 4 2 2" xfId="148" xr:uid="{00000000-0005-0000-0000-00005C000000}"/>
    <cellStyle name="Currency 4 2 3" xfId="161" xr:uid="{00000000-0005-0000-0000-00005D000000}"/>
    <cellStyle name="Currency 4 3" xfId="140" xr:uid="{00000000-0005-0000-0000-00005E000000}"/>
    <cellStyle name="Currency 4 4" xfId="156" xr:uid="{00000000-0005-0000-0000-00005F000000}"/>
    <cellStyle name="Currency 5" xfId="152" xr:uid="{00000000-0005-0000-0000-000060000000}"/>
    <cellStyle name="Currency 6" xfId="115" xr:uid="{00000000-0005-0000-0000-000061000000}"/>
    <cellStyle name="Currency 8" xfId="52" xr:uid="{00000000-0005-0000-0000-000062000000}"/>
    <cellStyle name="Explanatory Text" xfId="177" builtinId="53" customBuiltin="1"/>
    <cellStyle name="Explanatory Text 2" xfId="53" xr:uid="{00000000-0005-0000-0000-000064000000}"/>
    <cellStyle name="Good" xfId="167" builtinId="26" customBuiltin="1"/>
    <cellStyle name="Good 2" xfId="54" xr:uid="{00000000-0005-0000-0000-000066000000}"/>
    <cellStyle name="Heading 1" xfId="163" builtinId="16" customBuiltin="1"/>
    <cellStyle name="Heading 1 2" xfId="55" xr:uid="{00000000-0005-0000-0000-000068000000}"/>
    <cellStyle name="Heading 2" xfId="164" builtinId="17" customBuiltin="1"/>
    <cellStyle name="Heading 2 2" xfId="56" xr:uid="{00000000-0005-0000-0000-00006A000000}"/>
    <cellStyle name="Heading 3" xfId="165" builtinId="18" customBuiltin="1"/>
    <cellStyle name="Heading 3 2" xfId="57" xr:uid="{00000000-0005-0000-0000-00006C000000}"/>
    <cellStyle name="Heading 4" xfId="166" builtinId="19" customBuiltin="1"/>
    <cellStyle name="Heading 4 2" xfId="58" xr:uid="{00000000-0005-0000-0000-00006E000000}"/>
    <cellStyle name="Hyperlink" xfId="281" builtinId="8" customBuiltin="1"/>
    <cellStyle name="Hyperlink 2" xfId="120" xr:uid="{00000000-0005-0000-0000-000070000000}"/>
    <cellStyle name="Hyperlink 2 2" xfId="133" xr:uid="{00000000-0005-0000-0000-000071000000}"/>
    <cellStyle name="Hyperlink 2 3" xfId="151" xr:uid="{00000000-0005-0000-0000-000072000000}"/>
    <cellStyle name="Hyperlink 3" xfId="131" xr:uid="{00000000-0005-0000-0000-000073000000}"/>
    <cellStyle name="Hyperlink 4" xfId="157" xr:uid="{00000000-0005-0000-0000-000074000000}"/>
    <cellStyle name="Input" xfId="170" builtinId="20" customBuiltin="1"/>
    <cellStyle name="Input 2" xfId="59" xr:uid="{00000000-0005-0000-0000-000076000000}"/>
    <cellStyle name="Linked Cell" xfId="173" builtinId="24" customBuiltin="1"/>
    <cellStyle name="Linked Cell 2" xfId="60" xr:uid="{00000000-0005-0000-0000-000078000000}"/>
    <cellStyle name="Neutral" xfId="169" builtinId="28" customBuiltin="1"/>
    <cellStyle name="Neutral 2" xfId="61" xr:uid="{00000000-0005-0000-0000-00007A000000}"/>
    <cellStyle name="Normal" xfId="0" builtinId="0"/>
    <cellStyle name="Normal 10" xfId="97" xr:uid="{00000000-0005-0000-0000-00007C000000}"/>
    <cellStyle name="Normal 10 2" xfId="204" xr:uid="{00000000-0005-0000-0000-00007D000000}"/>
    <cellStyle name="Normal 10 2 2" xfId="212" xr:uid="{00000000-0005-0000-0000-00007E000000}"/>
    <cellStyle name="Normal 10 3" xfId="211" xr:uid="{00000000-0005-0000-0000-00007F000000}"/>
    <cellStyle name="Normal 11" xfId="98" xr:uid="{00000000-0005-0000-0000-000080000000}"/>
    <cellStyle name="Normal 11 2" xfId="142" xr:uid="{00000000-0005-0000-0000-000081000000}"/>
    <cellStyle name="Normal 11 3" xfId="213" xr:uid="{00000000-0005-0000-0000-000082000000}"/>
    <cellStyle name="Normal 12" xfId="91" xr:uid="{00000000-0005-0000-0000-000083000000}"/>
    <cellStyle name="Normal 12 2" xfId="215" xr:uid="{00000000-0005-0000-0000-000084000000}"/>
    <cellStyle name="Normal 12 3" xfId="214" xr:uid="{00000000-0005-0000-0000-000085000000}"/>
    <cellStyle name="Normal 13" xfId="110" xr:uid="{00000000-0005-0000-0000-000086000000}"/>
    <cellStyle name="Normal 13 2" xfId="143" xr:uid="{00000000-0005-0000-0000-000087000000}"/>
    <cellStyle name="Normal 13 3" xfId="279" xr:uid="{00000000-0005-0000-0000-000088000000}"/>
    <cellStyle name="Normal 2" xfId="2" xr:uid="{00000000-0005-0000-0000-000089000000}"/>
    <cellStyle name="Normal 2 2" xfId="8" xr:uid="{00000000-0005-0000-0000-00008A000000}"/>
    <cellStyle name="Normal 2 2 2" xfId="69" xr:uid="{00000000-0005-0000-0000-00008B000000}"/>
    <cellStyle name="Normal 2 2 2 2" xfId="154" xr:uid="{00000000-0005-0000-0000-00008C000000}"/>
    <cellStyle name="Normal 2 2 2 3" xfId="216" xr:uid="{00000000-0005-0000-0000-00008D000000}"/>
    <cellStyle name="Normal 2 2 3" xfId="68" xr:uid="{00000000-0005-0000-0000-00008E000000}"/>
    <cellStyle name="Normal 2 2 4" xfId="99" xr:uid="{00000000-0005-0000-0000-00008F000000}"/>
    <cellStyle name="Normal 2 2 5" xfId="113" xr:uid="{00000000-0005-0000-0000-000090000000}"/>
    <cellStyle name="Normal 2 2 5 2" xfId="277" xr:uid="{00000000-0005-0000-0000-000091000000}"/>
    <cellStyle name="Normal 2 3" xfId="9" xr:uid="{00000000-0005-0000-0000-000092000000}"/>
    <cellStyle name="Normal 2 3 2" xfId="100" xr:uid="{00000000-0005-0000-0000-000093000000}"/>
    <cellStyle name="Normal 2 3 2 2" xfId="218" xr:uid="{00000000-0005-0000-0000-000094000000}"/>
    <cellStyle name="Normal 2 3 3" xfId="153" xr:uid="{00000000-0005-0000-0000-000095000000}"/>
    <cellStyle name="Normal 2 3 3 2" xfId="268" xr:uid="{00000000-0005-0000-0000-000096000000}"/>
    <cellStyle name="Normal 2 3 4" xfId="217" xr:uid="{00000000-0005-0000-0000-000097000000}"/>
    <cellStyle name="Normal 2 4" xfId="7" xr:uid="{00000000-0005-0000-0000-000098000000}"/>
    <cellStyle name="Normal 2 4 2" xfId="76" xr:uid="{00000000-0005-0000-0000-000099000000}"/>
    <cellStyle name="Normal 2 4 3" xfId="82" xr:uid="{00000000-0005-0000-0000-00009A000000}"/>
    <cellStyle name="Normal 2 4 3 2" xfId="269" xr:uid="{00000000-0005-0000-0000-00009B000000}"/>
    <cellStyle name="Normal 2 4 4" xfId="72" xr:uid="{00000000-0005-0000-0000-00009C000000}"/>
    <cellStyle name="Normal 2 4 5" xfId="101" xr:uid="{00000000-0005-0000-0000-00009D000000}"/>
    <cellStyle name="Normal 2 4 5 2" xfId="144" xr:uid="{00000000-0005-0000-0000-00009E000000}"/>
    <cellStyle name="Normal 2 5" xfId="18" xr:uid="{00000000-0005-0000-0000-00009F000000}"/>
    <cellStyle name="Normal 2 5 2" xfId="219" xr:uid="{00000000-0005-0000-0000-0000A0000000}"/>
    <cellStyle name="Normal 2 6" xfId="78" xr:uid="{00000000-0005-0000-0000-0000A1000000}"/>
    <cellStyle name="Normal 2 6 2" xfId="275" xr:uid="{00000000-0005-0000-0000-0000A2000000}"/>
    <cellStyle name="Normal 2 7" xfId="112" xr:uid="{00000000-0005-0000-0000-0000A3000000}"/>
    <cellStyle name="Normal 2 8" xfId="150" xr:uid="{00000000-0005-0000-0000-0000A4000000}"/>
    <cellStyle name="Normal 2 9" xfId="280" xr:uid="{00000000-0005-0000-0000-0000A5000000}"/>
    <cellStyle name="Normal 2_Sheet1" xfId="102" xr:uid="{00000000-0005-0000-0000-0000A6000000}"/>
    <cellStyle name="Normal 3" xfId="13" xr:uid="{00000000-0005-0000-0000-0000A7000000}"/>
    <cellStyle name="Normal 3 10" xfId="278" xr:uid="{00000000-0005-0000-0000-0000A8000000}"/>
    <cellStyle name="Normal 3 2" xfId="10" xr:uid="{00000000-0005-0000-0000-0000A9000000}"/>
    <cellStyle name="Normal 3 2 2" xfId="83" xr:uid="{00000000-0005-0000-0000-0000AA000000}"/>
    <cellStyle name="Normal 3 2 2 2" xfId="159" xr:uid="{00000000-0005-0000-0000-0000AB000000}"/>
    <cellStyle name="Normal 3 2 2 2 2" xfId="220" xr:uid="{00000000-0005-0000-0000-0000AC000000}"/>
    <cellStyle name="Normal 3 2 3" xfId="104" xr:uid="{00000000-0005-0000-0000-0000AD000000}"/>
    <cellStyle name="Normal 3 2 3 2" xfId="221" xr:uid="{00000000-0005-0000-0000-0000AE000000}"/>
    <cellStyle name="Normal 3 2 4" xfId="134" xr:uid="{00000000-0005-0000-0000-0000AF000000}"/>
    <cellStyle name="Normal 3 2 4 2" xfId="271" xr:uid="{00000000-0005-0000-0000-0000B0000000}"/>
    <cellStyle name="Normal 3 3" xfId="11" xr:uid="{00000000-0005-0000-0000-0000B1000000}"/>
    <cellStyle name="Normal 3 3 2" xfId="84" xr:uid="{00000000-0005-0000-0000-0000B2000000}"/>
    <cellStyle name="Normal 3 3 2 2" xfId="158" xr:uid="{00000000-0005-0000-0000-0000B3000000}"/>
    <cellStyle name="Normal 3 3 2 2 2" xfId="222" xr:uid="{00000000-0005-0000-0000-0000B4000000}"/>
    <cellStyle name="Normal 3 3 3" xfId="132" xr:uid="{00000000-0005-0000-0000-0000B5000000}"/>
    <cellStyle name="Normal 3 3 3 2" xfId="223" xr:uid="{00000000-0005-0000-0000-0000B6000000}"/>
    <cellStyle name="Normal 3 3 4" xfId="272" xr:uid="{00000000-0005-0000-0000-0000B7000000}"/>
    <cellStyle name="Normal 3 4" xfId="19" xr:uid="{00000000-0005-0000-0000-0000B8000000}"/>
    <cellStyle name="Normal 3 4 2" xfId="127" xr:uid="{00000000-0005-0000-0000-0000B9000000}"/>
    <cellStyle name="Normal 3 4 2 2" xfId="226" xr:uid="{00000000-0005-0000-0000-0000BA000000}"/>
    <cellStyle name="Normal 3 4 2 3" xfId="225" xr:uid="{00000000-0005-0000-0000-0000BB000000}"/>
    <cellStyle name="Normal 3 4 3" xfId="227" xr:uid="{00000000-0005-0000-0000-0000BC000000}"/>
    <cellStyle name="Normal 3 4 4" xfId="224" xr:uid="{00000000-0005-0000-0000-0000BD000000}"/>
    <cellStyle name="Normal 3 5" xfId="77" xr:uid="{00000000-0005-0000-0000-0000BE000000}"/>
    <cellStyle name="Normal 3 5 2" xfId="229" xr:uid="{00000000-0005-0000-0000-0000BF000000}"/>
    <cellStyle name="Normal 3 5 2 2" xfId="230" xr:uid="{00000000-0005-0000-0000-0000C0000000}"/>
    <cellStyle name="Normal 3 5 3" xfId="231" xr:uid="{00000000-0005-0000-0000-0000C1000000}"/>
    <cellStyle name="Normal 3 5 4" xfId="228" xr:uid="{00000000-0005-0000-0000-0000C2000000}"/>
    <cellStyle name="Normal 3 6" xfId="71" xr:uid="{00000000-0005-0000-0000-0000C3000000}"/>
    <cellStyle name="Normal 3 6 2" xfId="233" xr:uid="{00000000-0005-0000-0000-0000C4000000}"/>
    <cellStyle name="Normal 3 6 3" xfId="232" xr:uid="{00000000-0005-0000-0000-0000C5000000}"/>
    <cellStyle name="Normal 3 7" xfId="103" xr:uid="{00000000-0005-0000-0000-0000C6000000}"/>
    <cellStyle name="Normal 3 7 2" xfId="234" xr:uid="{00000000-0005-0000-0000-0000C7000000}"/>
    <cellStyle name="Normal 3 8" xfId="264" xr:uid="{00000000-0005-0000-0000-0000C8000000}"/>
    <cellStyle name="Normal 3 9" xfId="270" xr:uid="{00000000-0005-0000-0000-0000C9000000}"/>
    <cellStyle name="Normal 4" xfId="14" xr:uid="{00000000-0005-0000-0000-0000CA000000}"/>
    <cellStyle name="Normal 4 2" xfId="21" xr:uid="{00000000-0005-0000-0000-0000CB000000}"/>
    <cellStyle name="Normal 4 2 2" xfId="89" xr:uid="{00000000-0005-0000-0000-0000CC000000}"/>
    <cellStyle name="Normal 4 2 2 2" xfId="237" xr:uid="{00000000-0005-0000-0000-0000CD000000}"/>
    <cellStyle name="Normal 4 2 2 3" xfId="236" xr:uid="{00000000-0005-0000-0000-0000CE000000}"/>
    <cellStyle name="Normal 4 2 3" xfId="106" xr:uid="{00000000-0005-0000-0000-0000CF000000}"/>
    <cellStyle name="Normal 4 2 3 2" xfId="238" xr:uid="{00000000-0005-0000-0000-0000D0000000}"/>
    <cellStyle name="Normal 4 2 4" xfId="135" xr:uid="{00000000-0005-0000-0000-0000D1000000}"/>
    <cellStyle name="Normal 4 2 4 2" xfId="273" xr:uid="{00000000-0005-0000-0000-0000D2000000}"/>
    <cellStyle name="Normal 4 2 5" xfId="235" xr:uid="{00000000-0005-0000-0000-0000D3000000}"/>
    <cellStyle name="Normal 4 3" xfId="86" xr:uid="{00000000-0005-0000-0000-0000D4000000}"/>
    <cellStyle name="Normal 4 3 2" xfId="128" xr:uid="{00000000-0005-0000-0000-0000D5000000}"/>
    <cellStyle name="Normal 4 3 2 2" xfId="241" xr:uid="{00000000-0005-0000-0000-0000D6000000}"/>
    <cellStyle name="Normal 4 3 2 3" xfId="240" xr:uid="{00000000-0005-0000-0000-0000D7000000}"/>
    <cellStyle name="Normal 4 3 3" xfId="242" xr:uid="{00000000-0005-0000-0000-0000D8000000}"/>
    <cellStyle name="Normal 4 3 4" xfId="239" xr:uid="{00000000-0005-0000-0000-0000D9000000}"/>
    <cellStyle name="Normal 4 4" xfId="70" xr:uid="{00000000-0005-0000-0000-0000DA000000}"/>
    <cellStyle name="Normal 4 4 2" xfId="244" xr:uid="{00000000-0005-0000-0000-0000DB000000}"/>
    <cellStyle name="Normal 4 4 2 2" xfId="245" xr:uid="{00000000-0005-0000-0000-0000DC000000}"/>
    <cellStyle name="Normal 4 4 3" xfId="246" xr:uid="{00000000-0005-0000-0000-0000DD000000}"/>
    <cellStyle name="Normal 4 4 4" xfId="243" xr:uid="{00000000-0005-0000-0000-0000DE000000}"/>
    <cellStyle name="Normal 4 5" xfId="105" xr:uid="{00000000-0005-0000-0000-0000DF000000}"/>
    <cellStyle name="Normal 4 5 2" xfId="248" xr:uid="{00000000-0005-0000-0000-0000E0000000}"/>
    <cellStyle name="Normal 4 5 2 2" xfId="249" xr:uid="{00000000-0005-0000-0000-0000E1000000}"/>
    <cellStyle name="Normal 4 5 3" xfId="250" xr:uid="{00000000-0005-0000-0000-0000E2000000}"/>
    <cellStyle name="Normal 4 5 4" xfId="247" xr:uid="{00000000-0005-0000-0000-0000E3000000}"/>
    <cellStyle name="Normal 4 6" xfId="121" xr:uid="{00000000-0005-0000-0000-0000E4000000}"/>
    <cellStyle name="Normal 4 6 2" xfId="251" xr:uid="{00000000-0005-0000-0000-0000E5000000}"/>
    <cellStyle name="Normal 4 7" xfId="252" xr:uid="{00000000-0005-0000-0000-0000E6000000}"/>
    <cellStyle name="Normal 4 8" xfId="276" xr:uid="{00000000-0005-0000-0000-0000E7000000}"/>
    <cellStyle name="Normal 4 9" xfId="203" xr:uid="{00000000-0005-0000-0000-0000E8000000}"/>
    <cellStyle name="Normal 5" xfId="16" xr:uid="{00000000-0005-0000-0000-0000E9000000}"/>
    <cellStyle name="Normal 5 2" xfId="22" xr:uid="{00000000-0005-0000-0000-0000EA000000}"/>
    <cellStyle name="Normal 5 2 2" xfId="274" xr:uid="{00000000-0005-0000-0000-0000EB000000}"/>
    <cellStyle name="Normal 5 3" xfId="129" xr:uid="{00000000-0005-0000-0000-0000EC000000}"/>
    <cellStyle name="Normal 5 3 2" xfId="146" xr:uid="{00000000-0005-0000-0000-0000ED000000}"/>
    <cellStyle name="Normal 5 4" xfId="253" xr:uid="{00000000-0005-0000-0000-0000EE000000}"/>
    <cellStyle name="Normal 6" xfId="62" xr:uid="{00000000-0005-0000-0000-0000EF000000}"/>
    <cellStyle name="Normal 6 2" xfId="107" xr:uid="{00000000-0005-0000-0000-0000F0000000}"/>
    <cellStyle name="Normal 6 2 2" xfId="124" xr:uid="{00000000-0005-0000-0000-0000F1000000}"/>
    <cellStyle name="Normal 6 2 2 2" xfId="256" xr:uid="{00000000-0005-0000-0000-0000F2000000}"/>
    <cellStyle name="Normal 6 2 3" xfId="255" xr:uid="{00000000-0005-0000-0000-0000F3000000}"/>
    <cellStyle name="Normal 6 3" xfId="257" xr:uid="{00000000-0005-0000-0000-0000F4000000}"/>
    <cellStyle name="Normal 6 4" xfId="254" xr:uid="{00000000-0005-0000-0000-0000F5000000}"/>
    <cellStyle name="Normal 7" xfId="108" xr:uid="{00000000-0005-0000-0000-0000F6000000}"/>
    <cellStyle name="Normal 7 2" xfId="114" xr:uid="{00000000-0005-0000-0000-0000F7000000}"/>
    <cellStyle name="Normal 7 2 2" xfId="160" xr:uid="{00000000-0005-0000-0000-0000F8000000}"/>
    <cellStyle name="Normal 7 2 2 2" xfId="260" xr:uid="{00000000-0005-0000-0000-0000F9000000}"/>
    <cellStyle name="Normal 7 2 3" xfId="259" xr:uid="{00000000-0005-0000-0000-0000FA000000}"/>
    <cellStyle name="Normal 7 3" xfId="122" xr:uid="{00000000-0005-0000-0000-0000FB000000}"/>
    <cellStyle name="Normal 7 3 2" xfId="145" xr:uid="{00000000-0005-0000-0000-0000FC000000}"/>
    <cellStyle name="Normal 7 3 3" xfId="261" xr:uid="{00000000-0005-0000-0000-0000FD000000}"/>
    <cellStyle name="Normal 7 4" xfId="155" xr:uid="{00000000-0005-0000-0000-0000FE000000}"/>
    <cellStyle name="Normal 7 4 2" xfId="258" xr:uid="{00000000-0005-0000-0000-0000FF000000}"/>
    <cellStyle name="Normal 8" xfId="90" xr:uid="{00000000-0005-0000-0000-000000010000}"/>
    <cellStyle name="Normal 8 2" xfId="149" xr:uid="{00000000-0005-0000-0000-000001010000}"/>
    <cellStyle name="Normal 8 2 2" xfId="262" xr:uid="{00000000-0005-0000-0000-000002010000}"/>
    <cellStyle name="Normal 9" xfId="109" xr:uid="{00000000-0005-0000-0000-000003010000}"/>
    <cellStyle name="Normal 9 2" xfId="263" xr:uid="{00000000-0005-0000-0000-000004010000}"/>
    <cellStyle name="Note" xfId="176" builtinId="10" customBuiltin="1"/>
    <cellStyle name="Note 2" xfId="63" xr:uid="{00000000-0005-0000-0000-000006010000}"/>
    <cellStyle name="Output" xfId="171" builtinId="21" customBuiltin="1"/>
    <cellStyle name="Output 2" xfId="64" xr:uid="{00000000-0005-0000-0000-000008010000}"/>
    <cellStyle name="Percent 2" xfId="3" xr:uid="{00000000-0005-0000-0000-000009010000}"/>
    <cellStyle name="Percent 2 2" xfId="23" xr:uid="{00000000-0005-0000-0000-00000A010000}"/>
    <cellStyle name="Percent 2 2 2" xfId="88" xr:uid="{00000000-0005-0000-0000-00000B010000}"/>
    <cellStyle name="Percent 2 2 3" xfId="130" xr:uid="{00000000-0005-0000-0000-00000C010000}"/>
    <cellStyle name="Percent 2 2 3 2" xfId="147" xr:uid="{00000000-0005-0000-0000-00000D010000}"/>
    <cellStyle name="Percent 2 2 4" xfId="139" xr:uid="{00000000-0005-0000-0000-00000E010000}"/>
    <cellStyle name="Percent 2 3" xfId="118" xr:uid="{00000000-0005-0000-0000-00000F010000}"/>
    <cellStyle name="Percent 3" xfId="74" xr:uid="{00000000-0005-0000-0000-000010010000}"/>
    <cellStyle name="Percent 3 2" xfId="119" xr:uid="{00000000-0005-0000-0000-000011010000}"/>
    <cellStyle name="Percent 4" xfId="123" xr:uid="{00000000-0005-0000-0000-000012010000}"/>
    <cellStyle name="Percent 4 2" xfId="138" xr:uid="{00000000-0005-0000-0000-000013010000}"/>
    <cellStyle name="Title" xfId="162" builtinId="15" customBuiltin="1"/>
    <cellStyle name="Title 2" xfId="65" xr:uid="{00000000-0005-0000-0000-000015010000}"/>
    <cellStyle name="Total" xfId="178" builtinId="25" customBuiltin="1"/>
    <cellStyle name="Total 2" xfId="66" xr:uid="{00000000-0005-0000-0000-000017010000}"/>
    <cellStyle name="Warning Text" xfId="175" builtinId="11" customBuiltin="1"/>
    <cellStyle name="Warning Text 2" xfId="67" xr:uid="{00000000-0005-0000-0000-000019010000}"/>
  </cellStyles>
  <dxfs count="0"/>
  <tableStyles count="0" defaultTableStyle="TableStyleMedium9" defaultPivotStyle="PivotStyleLight16"/>
  <colors>
    <mruColors>
      <color rgb="FFCCFFCC"/>
      <color rgb="FFC3E6BA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>
    <tabColor theme="2"/>
  </sheetPr>
  <dimension ref="A1:DF57"/>
  <sheetViews>
    <sheetView zoomScale="96" zoomScaleNormal="96" workbookViewId="0">
      <pane xSplit="7" ySplit="8" topLeftCell="H9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D19" sqref="D19"/>
    </sheetView>
  </sheetViews>
  <sheetFormatPr defaultColWidth="8.88671875" defaultRowHeight="14.4" x14ac:dyDescent="0.3"/>
  <cols>
    <col min="1" max="1" width="8.88671875" style="65"/>
    <col min="2" max="2" width="31.5546875" style="44" customWidth="1"/>
    <col min="3" max="3" width="11.109375" style="65" customWidth="1"/>
    <col min="4" max="4" width="30.5546875" style="44" customWidth="1"/>
    <col min="5" max="5" width="16.6640625" style="45" customWidth="1"/>
    <col min="6" max="7" width="14.6640625" style="45" customWidth="1"/>
    <col min="8" max="26" width="15.6640625" style="44" customWidth="1"/>
    <col min="27" max="28" width="21.33203125" style="44" customWidth="1"/>
    <col min="29" max="16384" width="8.88671875" style="44"/>
  </cols>
  <sheetData>
    <row r="1" spans="1:110" s="45" customFormat="1" ht="21" x14ac:dyDescent="0.4">
      <c r="A1" s="62" t="s">
        <v>0</v>
      </c>
      <c r="B1" s="53"/>
      <c r="C1" s="66" t="s">
        <v>167</v>
      </c>
      <c r="D1" s="50"/>
      <c r="E1" s="50"/>
      <c r="F1" s="50"/>
      <c r="G1" s="54"/>
      <c r="H1" s="53"/>
      <c r="I1" s="48"/>
      <c r="J1" s="66" t="str">
        <f>$C$1</f>
        <v>21st Century Cohort 7</v>
      </c>
      <c r="K1" s="53"/>
      <c r="L1" s="53"/>
      <c r="M1" s="48"/>
      <c r="N1" s="53"/>
      <c r="O1" s="53"/>
      <c r="P1" s="66" t="str">
        <f>$C$1</f>
        <v>21st Century Cohort 7</v>
      </c>
      <c r="Q1" s="48"/>
      <c r="R1" s="48"/>
      <c r="S1" s="53"/>
      <c r="T1" s="48"/>
      <c r="U1" s="53"/>
      <c r="V1" s="53"/>
      <c r="W1" s="66" t="str">
        <f>$C$1</f>
        <v>21st Century Cohort 7</v>
      </c>
      <c r="X1" s="53"/>
      <c r="Y1" s="48"/>
      <c r="Z1" s="53"/>
      <c r="AA1" s="47"/>
      <c r="AB1" s="47"/>
    </row>
    <row r="2" spans="1:110" s="3" customFormat="1" ht="21" x14ac:dyDescent="0.4">
      <c r="A2" s="47" t="s">
        <v>171</v>
      </c>
      <c r="B2" s="49"/>
      <c r="C2" s="62" t="s">
        <v>173</v>
      </c>
      <c r="D2" s="48"/>
      <c r="E2" s="48"/>
      <c r="F2" s="48"/>
      <c r="G2" s="15"/>
      <c r="H2" s="49"/>
      <c r="I2" s="49"/>
      <c r="J2" s="50" t="str">
        <f>"FY"&amp;$C$4</f>
        <v>FY2018-19</v>
      </c>
      <c r="K2" s="49"/>
      <c r="L2" s="49"/>
      <c r="M2" s="49"/>
      <c r="N2" s="49"/>
      <c r="O2" s="49"/>
      <c r="P2" s="50" t="str">
        <f>"FY"&amp;$C$4</f>
        <v>FY2018-19</v>
      </c>
      <c r="Q2" s="49"/>
      <c r="R2" s="49"/>
      <c r="S2" s="49"/>
      <c r="T2" s="49"/>
      <c r="U2" s="49"/>
      <c r="V2" s="49"/>
      <c r="W2" s="50" t="str">
        <f>"FY"&amp;$C$4</f>
        <v>FY2018-19</v>
      </c>
      <c r="X2" s="49"/>
      <c r="Y2" s="49"/>
      <c r="Z2" s="49"/>
      <c r="AA2" s="47"/>
      <c r="AB2" s="47"/>
    </row>
    <row r="3" spans="1:110" s="45" customFormat="1" ht="15.6" x14ac:dyDescent="0.3">
      <c r="A3" s="63" t="s">
        <v>1</v>
      </c>
      <c r="B3" s="53"/>
      <c r="C3" s="67">
        <v>5287</v>
      </c>
      <c r="D3" s="50"/>
      <c r="E3" s="50"/>
      <c r="F3" s="50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4"/>
    </row>
    <row r="4" spans="1:110" s="45" customFormat="1" ht="15.6" x14ac:dyDescent="0.3">
      <c r="A4" s="63" t="s">
        <v>2</v>
      </c>
      <c r="B4" s="53"/>
      <c r="C4" s="67" t="s">
        <v>188</v>
      </c>
      <c r="D4" s="50"/>
      <c r="E4" s="50"/>
      <c r="F4" s="50"/>
      <c r="G4" s="5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</row>
    <row r="5" spans="1:110" s="45" customFormat="1" ht="15.6" x14ac:dyDescent="0.3">
      <c r="A5" s="63" t="s">
        <v>18</v>
      </c>
      <c r="B5" s="53"/>
      <c r="C5" s="63" t="s">
        <v>508</v>
      </c>
      <c r="D5" s="50"/>
      <c r="E5" s="50"/>
      <c r="F5" s="50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2"/>
      <c r="AB5" s="52"/>
    </row>
    <row r="6" spans="1:110" s="45" customFormat="1" ht="15.6" x14ac:dyDescent="0.3">
      <c r="A6" s="63" t="s">
        <v>19</v>
      </c>
      <c r="B6" s="53"/>
      <c r="C6" s="67" t="s">
        <v>509</v>
      </c>
      <c r="D6" s="50"/>
      <c r="E6" s="50"/>
      <c r="F6" s="50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2"/>
      <c r="AB6" s="52"/>
    </row>
    <row r="7" spans="1:110" s="45" customFormat="1" ht="24" thickBot="1" x14ac:dyDescent="0.5">
      <c r="A7" s="315"/>
      <c r="B7" s="316"/>
      <c r="C7" s="316"/>
      <c r="D7" s="316"/>
      <c r="E7" s="316"/>
      <c r="F7" s="317"/>
      <c r="G7" s="317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2"/>
      <c r="AB7" s="52"/>
    </row>
    <row r="8" spans="1:110" ht="29.4" thickBot="1" x14ac:dyDescent="0.35">
      <c r="A8" s="11" t="s">
        <v>161</v>
      </c>
      <c r="B8" s="12" t="s">
        <v>155</v>
      </c>
      <c r="C8" s="11" t="s">
        <v>168</v>
      </c>
      <c r="D8" s="12" t="s">
        <v>44</v>
      </c>
      <c r="E8" s="13" t="s">
        <v>15</v>
      </c>
      <c r="F8" s="12" t="s">
        <v>16</v>
      </c>
      <c r="G8" s="29" t="s">
        <v>17</v>
      </c>
      <c r="H8" s="26" t="s">
        <v>67</v>
      </c>
      <c r="I8" s="27" t="s">
        <v>68</v>
      </c>
      <c r="J8" s="26" t="s">
        <v>69</v>
      </c>
      <c r="K8" s="27" t="s">
        <v>141</v>
      </c>
      <c r="L8" s="26" t="s">
        <v>142</v>
      </c>
      <c r="M8" s="27" t="s">
        <v>152</v>
      </c>
      <c r="N8" s="27" t="s">
        <v>143</v>
      </c>
      <c r="O8" s="27" t="s">
        <v>144</v>
      </c>
      <c r="P8" s="27" t="s">
        <v>145</v>
      </c>
      <c r="Q8" s="27" t="s">
        <v>146</v>
      </c>
      <c r="R8" s="27" t="s">
        <v>147</v>
      </c>
      <c r="S8" s="27" t="s">
        <v>148</v>
      </c>
      <c r="T8" s="26" t="s">
        <v>149</v>
      </c>
      <c r="U8" s="27" t="s">
        <v>150</v>
      </c>
      <c r="V8" s="27" t="s">
        <v>151</v>
      </c>
      <c r="W8" s="27" t="s">
        <v>189</v>
      </c>
      <c r="X8" s="26" t="s">
        <v>190</v>
      </c>
      <c r="Y8" s="27" t="s">
        <v>153</v>
      </c>
      <c r="Z8" s="27" t="s">
        <v>151</v>
      </c>
      <c r="AA8" s="12" t="s">
        <v>183</v>
      </c>
      <c r="AB8" s="12" t="s">
        <v>184</v>
      </c>
    </row>
    <row r="9" spans="1:110" s="37" customFormat="1" ht="15" thickBot="1" x14ac:dyDescent="0.35">
      <c r="A9" s="98" t="s">
        <v>70</v>
      </c>
      <c r="B9" s="95" t="s">
        <v>191</v>
      </c>
      <c r="C9" s="94" t="s">
        <v>106</v>
      </c>
      <c r="D9" s="95" t="s">
        <v>109</v>
      </c>
      <c r="E9" s="297">
        <v>137061</v>
      </c>
      <c r="F9" s="297">
        <f t="shared" ref="F9:F30" si="0">SUM(H9:AB9)</f>
        <v>126284.14</v>
      </c>
      <c r="G9" s="297">
        <f t="shared" ref="G9:G32" si="1">E9-F9</f>
        <v>10776.86</v>
      </c>
      <c r="H9" s="298"/>
      <c r="I9" s="299"/>
      <c r="J9" s="299"/>
      <c r="K9" s="248"/>
      <c r="L9" s="299"/>
      <c r="M9" s="299"/>
      <c r="N9" s="299"/>
      <c r="O9" s="299">
        <f>12678+6491+55068</f>
        <v>74237</v>
      </c>
      <c r="P9" s="299"/>
      <c r="Q9" s="299">
        <v>8315</v>
      </c>
      <c r="R9" s="299">
        <v>1320</v>
      </c>
      <c r="S9" s="299"/>
      <c r="T9" s="299">
        <v>14112</v>
      </c>
      <c r="U9" s="299"/>
      <c r="V9" s="299">
        <v>28300.14</v>
      </c>
      <c r="W9" s="299"/>
      <c r="X9" s="299"/>
      <c r="Y9" s="299"/>
      <c r="Z9" s="299"/>
      <c r="AA9" s="256"/>
      <c r="AB9" s="256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0"/>
    </row>
    <row r="10" spans="1:110" s="37" customFormat="1" ht="72.599999999999994" thickBot="1" x14ac:dyDescent="0.35">
      <c r="A10" s="98" t="s">
        <v>22</v>
      </c>
      <c r="B10" s="95" t="s">
        <v>83</v>
      </c>
      <c r="C10" s="99" t="s">
        <v>200</v>
      </c>
      <c r="D10" s="95" t="s">
        <v>213</v>
      </c>
      <c r="E10" s="297">
        <v>834512</v>
      </c>
      <c r="F10" s="297">
        <f t="shared" si="0"/>
        <v>627230</v>
      </c>
      <c r="G10" s="297">
        <f t="shared" si="1"/>
        <v>207282</v>
      </c>
      <c r="H10" s="248"/>
      <c r="I10" s="248"/>
      <c r="J10" s="248"/>
      <c r="K10" s="248"/>
      <c r="L10" s="248"/>
      <c r="M10" s="248">
        <v>116783</v>
      </c>
      <c r="N10" s="248">
        <v>55920</v>
      </c>
      <c r="O10" s="248">
        <v>49864</v>
      </c>
      <c r="P10" s="248">
        <v>65555</v>
      </c>
      <c r="Q10" s="248">
        <v>79139</v>
      </c>
      <c r="R10" s="248">
        <v>72188</v>
      </c>
      <c r="S10" s="248">
        <v>83041</v>
      </c>
      <c r="T10" s="248">
        <v>70627</v>
      </c>
      <c r="U10" s="248">
        <v>34113</v>
      </c>
      <c r="V10" s="248"/>
      <c r="W10" s="248"/>
      <c r="X10" s="248"/>
      <c r="Y10" s="248"/>
      <c r="Z10" s="248"/>
      <c r="AA10" s="256"/>
      <c r="AB10" s="256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</row>
    <row r="11" spans="1:110" s="37" customFormat="1" ht="29.4" thickBot="1" x14ac:dyDescent="0.35">
      <c r="A11" s="98" t="s">
        <v>23</v>
      </c>
      <c r="B11" s="95" t="s">
        <v>192</v>
      </c>
      <c r="C11" s="94" t="s">
        <v>107</v>
      </c>
      <c r="D11" s="95" t="s">
        <v>110</v>
      </c>
      <c r="E11" s="297">
        <v>131117</v>
      </c>
      <c r="F11" s="297">
        <f t="shared" si="0"/>
        <v>131117</v>
      </c>
      <c r="G11" s="297">
        <f t="shared" si="1"/>
        <v>0</v>
      </c>
      <c r="H11" s="301"/>
      <c r="I11" s="301">
        <v>706</v>
      </c>
      <c r="J11" s="301">
        <v>10550</v>
      </c>
      <c r="K11" s="248">
        <v>14153</v>
      </c>
      <c r="L11" s="301">
        <v>10714</v>
      </c>
      <c r="M11" s="301">
        <v>13848</v>
      </c>
      <c r="N11" s="301">
        <v>12289</v>
      </c>
      <c r="O11" s="301">
        <v>7650</v>
      </c>
      <c r="P11" s="301">
        <v>10801</v>
      </c>
      <c r="Q11" s="301">
        <v>13800</v>
      </c>
      <c r="R11" s="301">
        <v>13715</v>
      </c>
      <c r="S11" s="301">
        <v>6937</v>
      </c>
      <c r="T11" s="301">
        <v>6854</v>
      </c>
      <c r="U11" s="301">
        <v>9100</v>
      </c>
      <c r="V11" s="301"/>
      <c r="W11" s="301"/>
      <c r="X11" s="301"/>
      <c r="Y11" s="301"/>
      <c r="Z11" s="301"/>
      <c r="AA11" s="256"/>
      <c r="AB11" s="256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</row>
    <row r="12" spans="1:110" s="37" customFormat="1" ht="15" thickBot="1" x14ac:dyDescent="0.35">
      <c r="A12" s="98" t="s">
        <v>23</v>
      </c>
      <c r="B12" s="95" t="s">
        <v>192</v>
      </c>
      <c r="C12" s="94" t="s">
        <v>201</v>
      </c>
      <c r="D12" s="95" t="s">
        <v>214</v>
      </c>
      <c r="E12" s="297">
        <v>140250</v>
      </c>
      <c r="F12" s="297">
        <f t="shared" si="0"/>
        <v>135323</v>
      </c>
      <c r="G12" s="297">
        <f t="shared" si="1"/>
        <v>4927</v>
      </c>
      <c r="H12" s="302"/>
      <c r="I12" s="302">
        <v>8955</v>
      </c>
      <c r="J12" s="302">
        <v>10751</v>
      </c>
      <c r="K12" s="248">
        <v>7953</v>
      </c>
      <c r="L12" s="302">
        <v>8101</v>
      </c>
      <c r="M12" s="302">
        <v>6857</v>
      </c>
      <c r="N12" s="302">
        <v>6841</v>
      </c>
      <c r="O12" s="302">
        <v>6762</v>
      </c>
      <c r="P12" s="302">
        <v>9875</v>
      </c>
      <c r="Q12" s="302">
        <v>12642</v>
      </c>
      <c r="R12" s="302">
        <v>10395</v>
      </c>
      <c r="S12" s="248">
        <v>10126</v>
      </c>
      <c r="T12" s="302">
        <v>8549</v>
      </c>
      <c r="U12" s="302">
        <f>11258+5000</f>
        <v>16258</v>
      </c>
      <c r="V12" s="302">
        <v>11258</v>
      </c>
      <c r="W12" s="302"/>
      <c r="X12" s="302"/>
      <c r="Y12" s="302"/>
      <c r="Z12" s="301"/>
      <c r="AA12" s="256"/>
      <c r="AB12" s="256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</row>
    <row r="13" spans="1:110" s="37" customFormat="1" ht="15" thickBot="1" x14ac:dyDescent="0.35">
      <c r="A13" s="98" t="s">
        <v>23</v>
      </c>
      <c r="B13" s="95" t="s">
        <v>192</v>
      </c>
      <c r="C13" s="94" t="s">
        <v>202</v>
      </c>
      <c r="D13" s="95" t="s">
        <v>111</v>
      </c>
      <c r="E13" s="297">
        <v>140250</v>
      </c>
      <c r="F13" s="297">
        <f t="shared" si="0"/>
        <v>140250</v>
      </c>
      <c r="G13" s="297">
        <f t="shared" si="1"/>
        <v>0</v>
      </c>
      <c r="H13" s="248"/>
      <c r="I13" s="248">
        <v>8471</v>
      </c>
      <c r="J13" s="248">
        <v>12377</v>
      </c>
      <c r="K13" s="248">
        <v>7622</v>
      </c>
      <c r="L13" s="248">
        <f>7947+28470</f>
        <v>36417</v>
      </c>
      <c r="M13" s="248"/>
      <c r="N13" s="300"/>
      <c r="O13" s="248"/>
      <c r="P13" s="248">
        <v>5644</v>
      </c>
      <c r="Q13" s="248">
        <v>14809</v>
      </c>
      <c r="R13" s="248">
        <v>15707</v>
      </c>
      <c r="S13" s="248">
        <v>7550</v>
      </c>
      <c r="T13" s="248">
        <v>7598</v>
      </c>
      <c r="U13" s="248">
        <v>13103</v>
      </c>
      <c r="V13" s="248">
        <v>10952</v>
      </c>
      <c r="W13" s="248"/>
      <c r="X13" s="248"/>
      <c r="Y13" s="248"/>
      <c r="Z13" s="248"/>
      <c r="AA13" s="6"/>
      <c r="AB13" s="6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  <c r="DD13" s="300"/>
      <c r="DE13" s="300"/>
      <c r="DF13" s="300"/>
    </row>
    <row r="14" spans="1:110" s="37" customFormat="1" ht="43.8" thickBot="1" x14ac:dyDescent="0.35">
      <c r="A14" s="98" t="s">
        <v>4</v>
      </c>
      <c r="B14" s="95" t="s">
        <v>100</v>
      </c>
      <c r="C14" s="94" t="s">
        <v>203</v>
      </c>
      <c r="D14" s="95" t="s">
        <v>215</v>
      </c>
      <c r="E14" s="297">
        <v>420750</v>
      </c>
      <c r="F14" s="297">
        <f t="shared" si="0"/>
        <v>388025.76</v>
      </c>
      <c r="G14" s="297">
        <f t="shared" si="1"/>
        <v>32724.239999999991</v>
      </c>
      <c r="H14" s="248"/>
      <c r="I14" s="248"/>
      <c r="J14" s="248"/>
      <c r="K14" s="248">
        <v>31070</v>
      </c>
      <c r="L14" s="248">
        <v>27944</v>
      </c>
      <c r="M14" s="248">
        <v>24171</v>
      </c>
      <c r="N14" s="248">
        <v>13551</v>
      </c>
      <c r="O14" s="248">
        <v>26107</v>
      </c>
      <c r="P14" s="248"/>
      <c r="Q14" s="248">
        <v>30828</v>
      </c>
      <c r="R14" s="248">
        <v>18134</v>
      </c>
      <c r="S14" s="248">
        <v>35793</v>
      </c>
      <c r="T14" s="248"/>
      <c r="U14" s="248"/>
      <c r="V14" s="248">
        <v>180427.76</v>
      </c>
      <c r="W14" s="248"/>
      <c r="X14" s="248"/>
      <c r="Y14" s="248"/>
      <c r="Z14" s="248"/>
      <c r="AA14" s="6"/>
      <c r="AB14" s="6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  <c r="DD14" s="300"/>
      <c r="DE14" s="300"/>
      <c r="DF14" s="300"/>
    </row>
    <row r="15" spans="1:110" s="37" customFormat="1" ht="15" thickBot="1" x14ac:dyDescent="0.35">
      <c r="A15" s="98" t="s">
        <v>5</v>
      </c>
      <c r="B15" s="95" t="s">
        <v>193</v>
      </c>
      <c r="C15" s="94" t="s">
        <v>204</v>
      </c>
      <c r="D15" s="95" t="s">
        <v>216</v>
      </c>
      <c r="E15" s="297">
        <v>140250</v>
      </c>
      <c r="F15" s="297">
        <f t="shared" si="0"/>
        <v>135527.39000000001</v>
      </c>
      <c r="G15" s="297">
        <f t="shared" si="1"/>
        <v>4722.609999999986</v>
      </c>
      <c r="H15" s="248"/>
      <c r="I15" s="248"/>
      <c r="J15" s="248">
        <v>15368</v>
      </c>
      <c r="K15" s="248">
        <v>9167</v>
      </c>
      <c r="L15" s="248">
        <v>10549</v>
      </c>
      <c r="M15" s="248">
        <v>10258</v>
      </c>
      <c r="N15" s="248">
        <v>10060</v>
      </c>
      <c r="O15" s="248"/>
      <c r="P15" s="248">
        <v>14587</v>
      </c>
      <c r="Q15" s="248">
        <v>13597</v>
      </c>
      <c r="R15" s="302">
        <f>30183</f>
        <v>30183</v>
      </c>
      <c r="S15" s="248">
        <v>16202</v>
      </c>
      <c r="T15" s="248">
        <v>5508</v>
      </c>
      <c r="U15" s="248"/>
      <c r="V15" s="248">
        <v>48.39</v>
      </c>
      <c r="W15" s="248"/>
      <c r="X15" s="248"/>
      <c r="Y15" s="248"/>
      <c r="Z15" s="248"/>
      <c r="AA15" s="256"/>
      <c r="AB15" s="256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0"/>
      <c r="CN15" s="300"/>
      <c r="CO15" s="300"/>
      <c r="CP15" s="300"/>
      <c r="CQ15" s="300"/>
      <c r="CR15" s="300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0"/>
    </row>
    <row r="16" spans="1:110" s="37" customFormat="1" ht="58.2" thickBot="1" x14ac:dyDescent="0.35">
      <c r="A16" s="98" t="s">
        <v>53</v>
      </c>
      <c r="B16" s="95" t="s">
        <v>194</v>
      </c>
      <c r="C16" s="97" t="s">
        <v>205</v>
      </c>
      <c r="D16" s="95" t="s">
        <v>217</v>
      </c>
      <c r="E16" s="297">
        <v>501126</v>
      </c>
      <c r="F16" s="297">
        <f t="shared" si="0"/>
        <v>501126</v>
      </c>
      <c r="G16" s="297">
        <f t="shared" si="1"/>
        <v>0</v>
      </c>
      <c r="H16" s="248"/>
      <c r="I16" s="248"/>
      <c r="J16" s="248"/>
      <c r="K16" s="248"/>
      <c r="L16" s="248">
        <v>73579</v>
      </c>
      <c r="M16" s="248">
        <v>40607</v>
      </c>
      <c r="N16" s="248">
        <v>32822</v>
      </c>
      <c r="O16" s="248">
        <v>73565</v>
      </c>
      <c r="P16" s="248">
        <v>45322</v>
      </c>
      <c r="Q16" s="248">
        <v>36400</v>
      </c>
      <c r="R16" s="248">
        <v>38700</v>
      </c>
      <c r="S16" s="248">
        <v>36175</v>
      </c>
      <c r="T16" s="248">
        <f>14781+27315</f>
        <v>42096</v>
      </c>
      <c r="U16" s="248">
        <f>49587.7+32272.3</f>
        <v>81860</v>
      </c>
      <c r="V16" s="248"/>
      <c r="W16" s="248"/>
      <c r="X16" s="248"/>
      <c r="Y16" s="248"/>
      <c r="Z16" s="248"/>
      <c r="AA16" s="256"/>
      <c r="AB16" s="256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</row>
    <row r="17" spans="1:110" s="37" customFormat="1" ht="43.8" thickBot="1" x14ac:dyDescent="0.35">
      <c r="A17" s="98" t="s">
        <v>53</v>
      </c>
      <c r="B17" s="95" t="s">
        <v>194</v>
      </c>
      <c r="C17" s="94" t="s">
        <v>206</v>
      </c>
      <c r="D17" s="95" t="s">
        <v>218</v>
      </c>
      <c r="E17" s="297">
        <v>120000</v>
      </c>
      <c r="F17" s="297">
        <f t="shared" si="0"/>
        <v>119999.03</v>
      </c>
      <c r="G17" s="297">
        <f t="shared" si="1"/>
        <v>0.97000000000116415</v>
      </c>
      <c r="H17" s="248"/>
      <c r="I17" s="248"/>
      <c r="J17" s="248"/>
      <c r="K17" s="248"/>
      <c r="L17" s="248"/>
      <c r="M17" s="248">
        <v>25527</v>
      </c>
      <c r="N17" s="248">
        <f>9268+9268</f>
        <v>18536</v>
      </c>
      <c r="O17" s="248"/>
      <c r="P17" s="248">
        <v>10874</v>
      </c>
      <c r="Q17" s="248"/>
      <c r="R17" s="248">
        <v>18531</v>
      </c>
      <c r="S17" s="248"/>
      <c r="T17" s="248">
        <v>37061</v>
      </c>
      <c r="U17" s="248"/>
      <c r="V17" s="248">
        <v>9470.0300000000007</v>
      </c>
      <c r="W17" s="248"/>
      <c r="X17" s="248"/>
      <c r="Y17" s="248"/>
      <c r="Z17" s="248"/>
      <c r="AA17" s="255"/>
      <c r="AB17" s="255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00"/>
      <c r="CE17" s="300"/>
      <c r="CF17" s="300"/>
      <c r="CG17" s="300"/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</row>
    <row r="18" spans="1:110" s="37" customFormat="1" ht="43.8" thickBot="1" x14ac:dyDescent="0.35">
      <c r="A18" s="98" t="s">
        <v>53</v>
      </c>
      <c r="B18" s="95" t="s">
        <v>194</v>
      </c>
      <c r="C18" s="94" t="s">
        <v>207</v>
      </c>
      <c r="D18" s="95" t="s">
        <v>219</v>
      </c>
      <c r="E18" s="297">
        <v>122599</v>
      </c>
      <c r="F18" s="297">
        <f t="shared" si="0"/>
        <v>117515</v>
      </c>
      <c r="G18" s="297">
        <f t="shared" si="1"/>
        <v>5084</v>
      </c>
      <c r="H18" s="248"/>
      <c r="I18" s="248"/>
      <c r="J18" s="248"/>
      <c r="K18" s="248"/>
      <c r="L18" s="248">
        <v>16020</v>
      </c>
      <c r="M18" s="248">
        <v>12806</v>
      </c>
      <c r="N18" s="248">
        <v>12942</v>
      </c>
      <c r="O18" s="248"/>
      <c r="P18" s="248">
        <v>11793</v>
      </c>
      <c r="Q18" s="248">
        <v>11052</v>
      </c>
      <c r="R18" s="301">
        <v>14878</v>
      </c>
      <c r="S18" s="248">
        <f>18061+10314</f>
        <v>28375</v>
      </c>
      <c r="T18" s="248">
        <v>9649</v>
      </c>
      <c r="U18" s="248"/>
      <c r="V18" s="248"/>
      <c r="W18" s="248"/>
      <c r="X18" s="248"/>
      <c r="Y18" s="248"/>
      <c r="Z18" s="248"/>
      <c r="AA18" s="256"/>
      <c r="AB18" s="256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</row>
    <row r="19" spans="1:110" s="37" customFormat="1" ht="43.8" thickBot="1" x14ac:dyDescent="0.35">
      <c r="A19" s="98" t="s">
        <v>53</v>
      </c>
      <c r="B19" s="95" t="s">
        <v>194</v>
      </c>
      <c r="C19" s="94" t="s">
        <v>208</v>
      </c>
      <c r="D19" s="95" t="s">
        <v>112</v>
      </c>
      <c r="E19" s="297">
        <v>135891</v>
      </c>
      <c r="F19" s="297">
        <f t="shared" si="0"/>
        <v>131893.76000000001</v>
      </c>
      <c r="G19" s="297">
        <f t="shared" si="1"/>
        <v>3997.2399999999907</v>
      </c>
      <c r="H19" s="248"/>
      <c r="I19" s="248"/>
      <c r="J19" s="248"/>
      <c r="K19" s="248"/>
      <c r="L19" s="248">
        <v>21834</v>
      </c>
      <c r="M19" s="248">
        <v>13379</v>
      </c>
      <c r="N19" s="248"/>
      <c r="O19" s="248"/>
      <c r="P19" s="248">
        <v>38650</v>
      </c>
      <c r="Q19" s="248"/>
      <c r="R19" s="248"/>
      <c r="S19" s="248">
        <f>28350+14024</f>
        <v>42374</v>
      </c>
      <c r="T19" s="248"/>
      <c r="U19" s="248">
        <v>7828.38</v>
      </c>
      <c r="V19" s="248">
        <v>7828.38</v>
      </c>
      <c r="W19" s="248"/>
      <c r="X19" s="248"/>
      <c r="Y19" s="248"/>
      <c r="Z19" s="248"/>
      <c r="AA19" s="256"/>
      <c r="AB19" s="256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</row>
    <row r="20" spans="1:110" s="37" customFormat="1" ht="15" thickBot="1" x14ac:dyDescent="0.35">
      <c r="A20" s="98" t="s">
        <v>29</v>
      </c>
      <c r="B20" s="95" t="s">
        <v>89</v>
      </c>
      <c r="C20" s="94" t="s">
        <v>108</v>
      </c>
      <c r="D20" s="95" t="s">
        <v>220</v>
      </c>
      <c r="E20" s="297">
        <v>128457</v>
      </c>
      <c r="F20" s="297">
        <f t="shared" si="0"/>
        <v>108642.54</v>
      </c>
      <c r="G20" s="297">
        <f t="shared" si="1"/>
        <v>19814.460000000006</v>
      </c>
      <c r="H20" s="248"/>
      <c r="I20" s="248"/>
      <c r="J20" s="248"/>
      <c r="K20" s="248">
        <v>8230</v>
      </c>
      <c r="L20" s="248">
        <v>6979</v>
      </c>
      <c r="M20" s="248">
        <v>7030</v>
      </c>
      <c r="N20" s="248">
        <v>32197</v>
      </c>
      <c r="O20" s="248">
        <v>13210</v>
      </c>
      <c r="P20" s="248">
        <v>9621</v>
      </c>
      <c r="Q20" s="248"/>
      <c r="R20" s="248">
        <v>7248</v>
      </c>
      <c r="S20" s="248">
        <f>6346+6935</f>
        <v>13281</v>
      </c>
      <c r="T20" s="248">
        <v>4913</v>
      </c>
      <c r="U20" s="248"/>
      <c r="V20" s="248">
        <v>5933.54</v>
      </c>
      <c r="W20" s="248"/>
      <c r="X20" s="248"/>
      <c r="Y20" s="248"/>
      <c r="Z20" s="248"/>
      <c r="AA20" s="256"/>
      <c r="AB20" s="256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</row>
    <row r="21" spans="1:110" s="37" customFormat="1" ht="43.8" thickBot="1" x14ac:dyDescent="0.35">
      <c r="A21" s="98" t="s">
        <v>29</v>
      </c>
      <c r="B21" s="95" t="s">
        <v>89</v>
      </c>
      <c r="C21" s="94" t="s">
        <v>209</v>
      </c>
      <c r="D21" s="95" t="s">
        <v>221</v>
      </c>
      <c r="E21" s="297">
        <v>363058</v>
      </c>
      <c r="F21" s="297">
        <f t="shared" si="0"/>
        <v>344398.68</v>
      </c>
      <c r="G21" s="297">
        <f t="shared" si="1"/>
        <v>18659.320000000007</v>
      </c>
      <c r="H21" s="248"/>
      <c r="I21" s="248"/>
      <c r="J21" s="248"/>
      <c r="K21" s="248">
        <v>34734</v>
      </c>
      <c r="L21" s="248">
        <v>67107</v>
      </c>
      <c r="M21" s="248">
        <v>38958</v>
      </c>
      <c r="N21" s="248">
        <v>30893</v>
      </c>
      <c r="O21" s="248">
        <v>26216</v>
      </c>
      <c r="P21" s="248">
        <v>34044</v>
      </c>
      <c r="Q21" s="248"/>
      <c r="R21" s="301">
        <v>30648</v>
      </c>
      <c r="S21" s="248">
        <f>25589+34877</f>
        <v>60466</v>
      </c>
      <c r="T21" s="248">
        <v>14114</v>
      </c>
      <c r="U21" s="248"/>
      <c r="V21" s="248">
        <v>7218.68</v>
      </c>
      <c r="W21" s="248"/>
      <c r="X21" s="248"/>
      <c r="Y21" s="248"/>
      <c r="Z21" s="248"/>
      <c r="AA21" s="255"/>
      <c r="AB21" s="255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0"/>
      <c r="CM21" s="300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</row>
    <row r="22" spans="1:110" s="37" customFormat="1" ht="15" thickBot="1" x14ac:dyDescent="0.35">
      <c r="A22" s="98" t="s">
        <v>29</v>
      </c>
      <c r="B22" s="95" t="s">
        <v>89</v>
      </c>
      <c r="C22" s="94" t="s">
        <v>210</v>
      </c>
      <c r="D22" s="95" t="s">
        <v>222</v>
      </c>
      <c r="E22" s="297">
        <v>117653</v>
      </c>
      <c r="F22" s="297">
        <f t="shared" si="0"/>
        <v>117653</v>
      </c>
      <c r="G22" s="297">
        <f t="shared" si="1"/>
        <v>0</v>
      </c>
      <c r="H22" s="248"/>
      <c r="I22" s="248"/>
      <c r="J22" s="248"/>
      <c r="K22" s="248">
        <v>9745</v>
      </c>
      <c r="L22" s="248">
        <v>15308</v>
      </c>
      <c r="M22" s="248">
        <v>11495</v>
      </c>
      <c r="N22" s="248">
        <v>10238</v>
      </c>
      <c r="O22" s="248">
        <v>8471</v>
      </c>
      <c r="P22" s="248">
        <v>11109</v>
      </c>
      <c r="Q22" s="248"/>
      <c r="R22" s="248">
        <v>12133</v>
      </c>
      <c r="S22" s="248">
        <f>9972+10162</f>
        <v>20134</v>
      </c>
      <c r="T22" s="248">
        <v>7807</v>
      </c>
      <c r="U22" s="248"/>
      <c r="V22" s="248">
        <v>11213</v>
      </c>
      <c r="W22" s="248"/>
      <c r="X22" s="248"/>
      <c r="Y22" s="248"/>
      <c r="Z22" s="248"/>
      <c r="AA22" s="255"/>
      <c r="AB22" s="255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300"/>
      <c r="CO22" s="300"/>
      <c r="CP22" s="300"/>
      <c r="CQ22" s="300"/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</row>
    <row r="23" spans="1:110" s="37" customFormat="1" ht="29.4" thickBot="1" x14ac:dyDescent="0.35">
      <c r="A23" s="98" t="s">
        <v>34</v>
      </c>
      <c r="B23" s="95" t="s">
        <v>195</v>
      </c>
      <c r="C23" s="94" t="s">
        <v>211</v>
      </c>
      <c r="D23" s="95" t="s">
        <v>223</v>
      </c>
      <c r="E23" s="297">
        <v>125324</v>
      </c>
      <c r="F23" s="297">
        <f t="shared" si="0"/>
        <v>110224</v>
      </c>
      <c r="G23" s="297">
        <f t="shared" si="1"/>
        <v>15100</v>
      </c>
      <c r="H23" s="248"/>
      <c r="I23" s="248"/>
      <c r="J23" s="248"/>
      <c r="K23" s="248"/>
      <c r="L23" s="248"/>
      <c r="M23" s="248">
        <v>32222</v>
      </c>
      <c r="N23" s="248"/>
      <c r="O23" s="248">
        <v>16584</v>
      </c>
      <c r="P23" s="248">
        <v>10646</v>
      </c>
      <c r="Q23" s="248"/>
      <c r="R23" s="301"/>
      <c r="S23" s="248">
        <f>19235+9708</f>
        <v>28943</v>
      </c>
      <c r="T23" s="248"/>
      <c r="U23" s="248"/>
      <c r="V23" s="248">
        <v>21829</v>
      </c>
      <c r="W23" s="248"/>
      <c r="X23" s="248"/>
      <c r="Y23" s="248"/>
      <c r="Z23" s="248"/>
      <c r="AA23" s="256"/>
      <c r="AB23" s="256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</row>
    <row r="24" spans="1:110" s="37" customFormat="1" ht="43.8" thickBot="1" x14ac:dyDescent="0.35">
      <c r="A24" s="98" t="s">
        <v>28</v>
      </c>
      <c r="B24" s="95" t="s">
        <v>93</v>
      </c>
      <c r="C24" s="94" t="s">
        <v>212</v>
      </c>
      <c r="D24" s="95" t="s">
        <v>224</v>
      </c>
      <c r="E24" s="297">
        <v>332906</v>
      </c>
      <c r="F24" s="297">
        <f t="shared" si="0"/>
        <v>314891.53999999998</v>
      </c>
      <c r="G24" s="297">
        <f t="shared" si="1"/>
        <v>18014.460000000021</v>
      </c>
      <c r="H24" s="248"/>
      <c r="I24" s="248"/>
      <c r="J24" s="248"/>
      <c r="K24" s="248">
        <v>58306</v>
      </c>
      <c r="L24" s="248">
        <v>31530</v>
      </c>
      <c r="M24" s="248">
        <v>28839</v>
      </c>
      <c r="N24" s="248">
        <v>24848</v>
      </c>
      <c r="O24" s="248">
        <v>13072</v>
      </c>
      <c r="P24" s="248"/>
      <c r="Q24" s="248">
        <v>62894</v>
      </c>
      <c r="R24" s="248">
        <v>42228.72</v>
      </c>
      <c r="S24" s="248">
        <v>23296.02</v>
      </c>
      <c r="T24" s="248"/>
      <c r="U24" s="248"/>
      <c r="V24" s="248">
        <v>29877.8</v>
      </c>
      <c r="W24" s="248"/>
      <c r="X24" s="248"/>
      <c r="Y24" s="248"/>
      <c r="Z24" s="248"/>
      <c r="AA24" s="256"/>
      <c r="AB24" s="256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</row>
    <row r="25" spans="1:110" s="37" customFormat="1" ht="43.8" thickBot="1" x14ac:dyDescent="0.35">
      <c r="A25" s="97" t="s">
        <v>103</v>
      </c>
      <c r="B25" s="95" t="s">
        <v>196</v>
      </c>
      <c r="C25" s="99"/>
      <c r="D25" s="95" t="s">
        <v>225</v>
      </c>
      <c r="E25" s="297">
        <v>378327</v>
      </c>
      <c r="F25" s="297">
        <f t="shared" si="0"/>
        <v>355212</v>
      </c>
      <c r="G25" s="297">
        <f t="shared" si="1"/>
        <v>23115</v>
      </c>
      <c r="H25" s="248"/>
      <c r="I25" s="248"/>
      <c r="J25" s="248"/>
      <c r="K25" s="248">
        <v>23200</v>
      </c>
      <c r="L25" s="248">
        <v>36469</v>
      </c>
      <c r="M25" s="248">
        <v>33919</v>
      </c>
      <c r="N25" s="248">
        <v>22605</v>
      </c>
      <c r="O25" s="248"/>
      <c r="P25" s="248">
        <f>41535+31970</f>
        <v>73505</v>
      </c>
      <c r="Q25" s="248"/>
      <c r="R25" s="248">
        <f>26923+29950</f>
        <v>56873</v>
      </c>
      <c r="S25" s="248">
        <v>51781</v>
      </c>
      <c r="T25" s="248">
        <v>56860</v>
      </c>
      <c r="U25" s="248"/>
      <c r="V25" s="248"/>
      <c r="W25" s="248"/>
      <c r="X25" s="248"/>
      <c r="Y25" s="248"/>
      <c r="Z25" s="248"/>
      <c r="AA25" s="256"/>
      <c r="AB25" s="256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</row>
    <row r="26" spans="1:110" s="37" customFormat="1" ht="29.4" thickBot="1" x14ac:dyDescent="0.35">
      <c r="A26" s="97" t="s">
        <v>77</v>
      </c>
      <c r="B26" s="95" t="s">
        <v>197</v>
      </c>
      <c r="C26" s="99"/>
      <c r="D26" s="95" t="s">
        <v>226</v>
      </c>
      <c r="E26" s="297">
        <v>69787</v>
      </c>
      <c r="F26" s="297">
        <f t="shared" si="0"/>
        <v>69787</v>
      </c>
      <c r="G26" s="297">
        <f t="shared" si="1"/>
        <v>0</v>
      </c>
      <c r="H26" s="248"/>
      <c r="I26" s="248"/>
      <c r="J26" s="248"/>
      <c r="K26" s="248"/>
      <c r="L26" s="248"/>
      <c r="M26" s="248"/>
      <c r="N26" s="248"/>
      <c r="O26" s="248">
        <f>6624+4150+4177+4383+5642+4361+3402</f>
        <v>32739</v>
      </c>
      <c r="P26" s="248">
        <v>5105</v>
      </c>
      <c r="Q26" s="248">
        <v>5945</v>
      </c>
      <c r="R26" s="248">
        <v>4238</v>
      </c>
      <c r="S26" s="248">
        <v>7045</v>
      </c>
      <c r="T26" s="248"/>
      <c r="U26" s="248">
        <f>12122.08+2592.92</f>
        <v>14715</v>
      </c>
      <c r="V26" s="248"/>
      <c r="W26" s="248"/>
      <c r="X26" s="248"/>
      <c r="Y26" s="248"/>
      <c r="Z26" s="248"/>
      <c r="AA26" s="256"/>
      <c r="AB26" s="256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</row>
    <row r="27" spans="1:110" s="37" customFormat="1" ht="29.4" thickBot="1" x14ac:dyDescent="0.35">
      <c r="A27" s="97" t="s">
        <v>104</v>
      </c>
      <c r="B27" s="95" t="s">
        <v>198</v>
      </c>
      <c r="C27" s="99"/>
      <c r="D27" s="95" t="s">
        <v>113</v>
      </c>
      <c r="E27" s="297">
        <v>80000</v>
      </c>
      <c r="F27" s="297">
        <f t="shared" si="0"/>
        <v>79944</v>
      </c>
      <c r="G27" s="297">
        <f t="shared" si="1"/>
        <v>56</v>
      </c>
      <c r="H27" s="248"/>
      <c r="I27" s="248"/>
      <c r="J27" s="248"/>
      <c r="K27" s="248">
        <v>6294</v>
      </c>
      <c r="L27" s="248">
        <f>6210+2690</f>
        <v>8900</v>
      </c>
      <c r="M27" s="248"/>
      <c r="N27" s="248">
        <v>9102</v>
      </c>
      <c r="O27" s="248">
        <v>2935</v>
      </c>
      <c r="P27" s="248">
        <f>2615+3972</f>
        <v>6587</v>
      </c>
      <c r="Q27" s="248">
        <v>9688</v>
      </c>
      <c r="R27" s="248"/>
      <c r="S27" s="248">
        <f>7176+18703</f>
        <v>25879</v>
      </c>
      <c r="T27" s="248">
        <v>10559</v>
      </c>
      <c r="U27" s="248"/>
      <c r="V27" s="248"/>
      <c r="W27" s="248"/>
      <c r="X27" s="248"/>
      <c r="Y27" s="248"/>
      <c r="Z27" s="248"/>
      <c r="AA27" s="256"/>
      <c r="AB27" s="256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</row>
    <row r="28" spans="1:110" s="37" customFormat="1" ht="58.2" thickBot="1" x14ac:dyDescent="0.35">
      <c r="A28" s="97" t="s">
        <v>14</v>
      </c>
      <c r="B28" s="95" t="s">
        <v>24</v>
      </c>
      <c r="C28" s="99"/>
      <c r="D28" s="95" t="s">
        <v>227</v>
      </c>
      <c r="E28" s="297">
        <v>351004</v>
      </c>
      <c r="F28" s="297">
        <f t="shared" si="0"/>
        <v>307764</v>
      </c>
      <c r="G28" s="297">
        <f t="shared" si="1"/>
        <v>43240</v>
      </c>
      <c r="H28" s="248"/>
      <c r="I28" s="248"/>
      <c r="J28" s="248"/>
      <c r="K28" s="248">
        <v>51334</v>
      </c>
      <c r="L28" s="248">
        <f>18646+6395</f>
        <v>25041</v>
      </c>
      <c r="M28" s="248"/>
      <c r="N28" s="248">
        <v>25304</v>
      </c>
      <c r="O28" s="248"/>
      <c r="P28" s="248">
        <f>15830+22710+21872</f>
        <v>60412</v>
      </c>
      <c r="Q28" s="248"/>
      <c r="R28" s="248">
        <f>18280+18068</f>
        <v>36348</v>
      </c>
      <c r="S28" s="248">
        <v>21199</v>
      </c>
      <c r="T28" s="248"/>
      <c r="U28" s="248"/>
      <c r="V28" s="248">
        <f>70070+18056</f>
        <v>88126</v>
      </c>
      <c r="W28" s="248"/>
      <c r="X28" s="248"/>
      <c r="Y28" s="248"/>
      <c r="Z28" s="248"/>
      <c r="AA28" s="255"/>
      <c r="AB28" s="255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</row>
    <row r="29" spans="1:110" s="37" customFormat="1" ht="15" thickBot="1" x14ac:dyDescent="0.35">
      <c r="A29" s="97" t="s">
        <v>105</v>
      </c>
      <c r="B29" s="95" t="s">
        <v>199</v>
      </c>
      <c r="C29" s="98"/>
      <c r="D29" s="95" t="s">
        <v>228</v>
      </c>
      <c r="E29" s="297">
        <v>140250</v>
      </c>
      <c r="F29" s="297">
        <f t="shared" si="0"/>
        <v>138899.26999999999</v>
      </c>
      <c r="G29" s="297">
        <f t="shared" si="1"/>
        <v>1350.7300000000105</v>
      </c>
      <c r="H29" s="248"/>
      <c r="I29" s="248"/>
      <c r="J29" s="248">
        <v>16249</v>
      </c>
      <c r="K29" s="248">
        <v>9574</v>
      </c>
      <c r="L29" s="248">
        <f>9276+16189</f>
        <v>25465</v>
      </c>
      <c r="M29" s="248">
        <v>10476</v>
      </c>
      <c r="N29" s="248">
        <v>8649</v>
      </c>
      <c r="O29" s="248">
        <v>13191</v>
      </c>
      <c r="P29" s="248">
        <v>11976</v>
      </c>
      <c r="Q29" s="248">
        <v>16109</v>
      </c>
      <c r="R29" s="248">
        <v>13411</v>
      </c>
      <c r="S29" s="248"/>
      <c r="T29" s="248">
        <v>10537</v>
      </c>
      <c r="U29" s="248">
        <v>3262.27</v>
      </c>
      <c r="V29" s="248"/>
      <c r="W29" s="248"/>
      <c r="X29" s="248"/>
      <c r="Y29" s="248"/>
      <c r="Z29" s="248"/>
      <c r="AA29" s="256"/>
      <c r="AB29" s="256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  <c r="CG29" s="300"/>
      <c r="CH29" s="300"/>
      <c r="CI29" s="300"/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</row>
    <row r="30" spans="1:110" s="37" customFormat="1" ht="29.4" thickBot="1" x14ac:dyDescent="0.35">
      <c r="A30" s="97" t="s">
        <v>99</v>
      </c>
      <c r="B30" s="95" t="s">
        <v>101</v>
      </c>
      <c r="C30" s="99"/>
      <c r="D30" s="95" t="s">
        <v>229</v>
      </c>
      <c r="E30" s="297">
        <v>174306</v>
      </c>
      <c r="F30" s="297">
        <f t="shared" si="0"/>
        <v>132664.34</v>
      </c>
      <c r="G30" s="297">
        <f t="shared" si="1"/>
        <v>41641.660000000003</v>
      </c>
      <c r="H30" s="248"/>
      <c r="I30" s="248"/>
      <c r="J30" s="248">
        <v>9281</v>
      </c>
      <c r="K30" s="248">
        <v>1710</v>
      </c>
      <c r="L30" s="248">
        <v>6158</v>
      </c>
      <c r="M30" s="248"/>
      <c r="N30" s="248">
        <f>12261+17924</f>
        <v>30185</v>
      </c>
      <c r="O30" s="248">
        <v>4873</v>
      </c>
      <c r="P30" s="248">
        <v>11594</v>
      </c>
      <c r="Q30" s="248">
        <v>12046</v>
      </c>
      <c r="R30" s="248">
        <v>12292</v>
      </c>
      <c r="S30" s="248">
        <v>9480</v>
      </c>
      <c r="T30" s="248"/>
      <c r="U30" s="248"/>
      <c r="V30" s="248">
        <v>35045.339999999997</v>
      </c>
      <c r="W30" s="248"/>
      <c r="X30" s="248"/>
      <c r="Y30" s="248"/>
      <c r="Z30" s="248"/>
      <c r="AA30" s="256"/>
      <c r="AB30" s="256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300"/>
      <c r="BV30" s="300"/>
      <c r="BW30" s="300"/>
      <c r="BX30" s="300"/>
      <c r="BY30" s="300"/>
      <c r="BZ30" s="300"/>
      <c r="CA30" s="300"/>
      <c r="CB30" s="300"/>
      <c r="CC30" s="300"/>
      <c r="CD30" s="300"/>
      <c r="CE30" s="300"/>
      <c r="CF30" s="300"/>
      <c r="CG30" s="300"/>
      <c r="CH30" s="300"/>
      <c r="CI30" s="300"/>
      <c r="CJ30" s="300"/>
      <c r="CK30" s="300"/>
      <c r="CL30" s="300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300"/>
      <c r="CY30" s="300"/>
      <c r="CZ30" s="300"/>
      <c r="DA30" s="300"/>
      <c r="DB30" s="300"/>
      <c r="DC30" s="300"/>
      <c r="DD30" s="300"/>
      <c r="DE30" s="300"/>
      <c r="DF30" s="300"/>
    </row>
    <row r="31" spans="1:110" ht="15" thickBot="1" x14ac:dyDescent="0.35">
      <c r="A31" s="311"/>
      <c r="B31" s="312"/>
      <c r="C31" s="313"/>
      <c r="D31" s="312"/>
      <c r="E31" s="314">
        <f>SUM(E8:E30)</f>
        <v>5084878</v>
      </c>
      <c r="F31" s="314">
        <f>SUM(F8:F29)</f>
        <v>4501707.1099999994</v>
      </c>
      <c r="G31" s="297">
        <f t="shared" si="1"/>
        <v>583170.8900000006</v>
      </c>
      <c r="H31" s="308">
        <f>SUM(H8:H29)</f>
        <v>0</v>
      </c>
      <c r="I31" s="308">
        <f>SUM(I8:I29)</f>
        <v>18132</v>
      </c>
      <c r="J31" s="308">
        <f>SUM(J8:J29)</f>
        <v>65295</v>
      </c>
      <c r="K31" s="308">
        <f t="shared" ref="K31:AB31" si="2">SUM(K8:K30)</f>
        <v>273092</v>
      </c>
      <c r="L31" s="308">
        <f t="shared" si="2"/>
        <v>428115</v>
      </c>
      <c r="M31" s="308">
        <f t="shared" si="2"/>
        <v>427175</v>
      </c>
      <c r="N31" s="308">
        <f t="shared" si="2"/>
        <v>356982</v>
      </c>
      <c r="O31" s="308">
        <f t="shared" si="2"/>
        <v>369476</v>
      </c>
      <c r="P31" s="308">
        <f t="shared" si="2"/>
        <v>447700</v>
      </c>
      <c r="Q31" s="308">
        <f t="shared" si="2"/>
        <v>327264</v>
      </c>
      <c r="R31" s="308">
        <f t="shared" si="2"/>
        <v>449170.72</v>
      </c>
      <c r="S31" s="308">
        <f t="shared" si="2"/>
        <v>528077.02</v>
      </c>
      <c r="T31" s="308">
        <f t="shared" si="2"/>
        <v>306844</v>
      </c>
      <c r="U31" s="308">
        <f t="shared" si="2"/>
        <v>180239.65</v>
      </c>
      <c r="V31" s="308">
        <f t="shared" si="2"/>
        <v>447528.06000000006</v>
      </c>
      <c r="W31" s="308">
        <f t="shared" si="2"/>
        <v>0</v>
      </c>
      <c r="X31" s="308">
        <f t="shared" si="2"/>
        <v>0</v>
      </c>
      <c r="Y31" s="308">
        <f t="shared" si="2"/>
        <v>0</v>
      </c>
      <c r="Z31" s="308">
        <f t="shared" si="2"/>
        <v>0</v>
      </c>
      <c r="AA31" s="308">
        <f t="shared" si="2"/>
        <v>0</v>
      </c>
      <c r="AB31" s="308">
        <f t="shared" si="2"/>
        <v>0</v>
      </c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3"/>
      <c r="BZ31" s="303"/>
      <c r="CA31" s="303"/>
      <c r="CB31" s="303"/>
      <c r="CC31" s="303"/>
      <c r="CD31" s="303"/>
      <c r="CE31" s="303"/>
      <c r="CF31" s="303"/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</row>
    <row r="32" spans="1:110" s="14" customFormat="1" ht="15" thickBot="1" x14ac:dyDescent="0.35">
      <c r="A32" s="304"/>
      <c r="B32" s="305"/>
      <c r="C32" s="306"/>
      <c r="D32" s="305"/>
      <c r="E32" s="307"/>
      <c r="F32" s="307"/>
      <c r="G32" s="297">
        <f t="shared" si="1"/>
        <v>0</v>
      </c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10"/>
      <c r="AB32" s="310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</row>
    <row r="33" spans="3:110" x14ac:dyDescent="0.3">
      <c r="E33" s="6"/>
      <c r="F33" s="6"/>
      <c r="G33" s="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</row>
    <row r="34" spans="3:110" x14ac:dyDescent="0.3">
      <c r="C34" s="46"/>
      <c r="D34" s="46"/>
      <c r="E34" s="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</row>
    <row r="35" spans="3:110" x14ac:dyDescent="0.3">
      <c r="C35" s="46"/>
      <c r="D35" s="46"/>
      <c r="E35" s="46"/>
      <c r="F35" s="44"/>
      <c r="G35" s="44"/>
      <c r="Q35" s="30"/>
      <c r="AA35" s="30"/>
      <c r="AB35" s="30"/>
    </row>
    <row r="36" spans="3:110" x14ac:dyDescent="0.3">
      <c r="C36" s="46"/>
      <c r="D36" s="46"/>
      <c r="E36" s="46"/>
      <c r="F36" s="44"/>
      <c r="G36" s="44"/>
      <c r="AA36" s="30"/>
      <c r="AB36" s="30"/>
    </row>
    <row r="37" spans="3:110" x14ac:dyDescent="0.3">
      <c r="C37" s="46"/>
      <c r="D37" s="46"/>
      <c r="E37" s="46"/>
      <c r="F37" s="44"/>
      <c r="G37" s="44"/>
      <c r="AA37" s="30"/>
      <c r="AB37" s="30"/>
    </row>
    <row r="38" spans="3:110" x14ac:dyDescent="0.3">
      <c r="C38" s="46"/>
      <c r="D38" s="46"/>
      <c r="E38" s="46"/>
      <c r="F38" s="44"/>
      <c r="G38" s="44"/>
      <c r="AA38" s="30"/>
      <c r="AB38" s="30"/>
    </row>
    <row r="39" spans="3:110" x14ac:dyDescent="0.3">
      <c r="C39" s="46"/>
      <c r="D39" s="46"/>
      <c r="E39" s="46"/>
      <c r="F39" s="44"/>
      <c r="G39" s="44"/>
      <c r="AA39" s="30"/>
      <c r="AB39" s="30"/>
    </row>
    <row r="40" spans="3:110" x14ac:dyDescent="0.3">
      <c r="C40" s="46"/>
      <c r="D40" s="46"/>
      <c r="E40" s="46"/>
      <c r="F40" s="44"/>
      <c r="G40" s="44"/>
      <c r="AA40" s="30"/>
      <c r="AB40" s="30"/>
    </row>
    <row r="41" spans="3:110" x14ac:dyDescent="0.3">
      <c r="C41" s="46"/>
      <c r="D41" s="46"/>
      <c r="E41" s="46"/>
      <c r="F41" s="44"/>
      <c r="G41" s="44"/>
      <c r="AA41" s="30"/>
      <c r="AB41" s="30"/>
    </row>
    <row r="42" spans="3:110" x14ac:dyDescent="0.3">
      <c r="C42" s="46"/>
      <c r="D42" s="46"/>
      <c r="E42" s="46"/>
      <c r="F42" s="44"/>
      <c r="G42" s="44"/>
      <c r="AA42" s="30"/>
      <c r="AB42" s="30"/>
    </row>
    <row r="43" spans="3:110" x14ac:dyDescent="0.3">
      <c r="C43" s="46"/>
      <c r="D43" s="46"/>
      <c r="E43" s="46"/>
      <c r="F43" s="44"/>
      <c r="G43" s="44"/>
      <c r="AA43" s="30"/>
      <c r="AB43" s="30"/>
    </row>
    <row r="44" spans="3:110" x14ac:dyDescent="0.3">
      <c r="C44" s="46"/>
      <c r="D44" s="46"/>
      <c r="E44" s="46"/>
      <c r="F44" s="44"/>
      <c r="G44" s="44"/>
      <c r="AA44" s="30"/>
      <c r="AB44" s="30"/>
    </row>
    <row r="45" spans="3:110" x14ac:dyDescent="0.3">
      <c r="C45" s="46"/>
      <c r="D45" s="46"/>
      <c r="E45" s="46"/>
      <c r="F45" s="44"/>
      <c r="G45" s="44"/>
      <c r="AA45" s="30"/>
      <c r="AB45" s="30"/>
    </row>
    <row r="46" spans="3:110" x14ac:dyDescent="0.3">
      <c r="C46" s="46"/>
      <c r="D46" s="46"/>
      <c r="E46" s="46"/>
      <c r="F46" s="44"/>
      <c r="G46" s="44"/>
    </row>
    <row r="47" spans="3:110" x14ac:dyDescent="0.3">
      <c r="C47" s="46"/>
      <c r="D47" s="46"/>
      <c r="E47" s="46"/>
      <c r="F47" s="44"/>
      <c r="G47" s="44"/>
    </row>
    <row r="48" spans="3:110" x14ac:dyDescent="0.3">
      <c r="C48" s="46"/>
      <c r="D48" s="46"/>
      <c r="E48" s="46"/>
      <c r="F48" s="44"/>
      <c r="G48" s="44"/>
    </row>
    <row r="49" spans="3:7" x14ac:dyDescent="0.3">
      <c r="C49" s="46"/>
      <c r="D49" s="46"/>
      <c r="E49" s="46"/>
      <c r="F49" s="44"/>
      <c r="G49" s="44"/>
    </row>
    <row r="50" spans="3:7" x14ac:dyDescent="0.3">
      <c r="E50" s="46"/>
      <c r="F50" s="46"/>
      <c r="G50" s="46"/>
    </row>
    <row r="51" spans="3:7" x14ac:dyDescent="0.3">
      <c r="E51" s="46"/>
      <c r="F51" s="46"/>
      <c r="G51" s="46"/>
    </row>
    <row r="52" spans="3:7" x14ac:dyDescent="0.3">
      <c r="E52" s="46"/>
      <c r="F52" s="46"/>
      <c r="G52" s="46"/>
    </row>
    <row r="53" spans="3:7" x14ac:dyDescent="0.3">
      <c r="E53" s="46"/>
      <c r="F53" s="46"/>
      <c r="G53" s="46"/>
    </row>
    <row r="54" spans="3:7" x14ac:dyDescent="0.3">
      <c r="E54" s="46"/>
      <c r="F54" s="46"/>
      <c r="G54" s="46"/>
    </row>
    <row r="55" spans="3:7" x14ac:dyDescent="0.3">
      <c r="F55" s="46"/>
      <c r="G55" s="46"/>
    </row>
    <row r="56" spans="3:7" x14ac:dyDescent="0.3">
      <c r="F56" s="46"/>
      <c r="G56" s="46"/>
    </row>
    <row r="57" spans="3:7" x14ac:dyDescent="0.3">
      <c r="F57" s="46"/>
      <c r="G57" s="46"/>
    </row>
  </sheetData>
  <autoFilter ref="A8:DF8" xr:uid="{00000000-0009-0000-0000-000000000000}">
    <sortState xmlns:xlrd2="http://schemas.microsoft.com/office/spreadsheetml/2017/richdata2" ref="A9:DF32">
      <sortCondition ref="A8"/>
    </sortState>
  </autoFilter>
  <sortState xmlns:xlrd2="http://schemas.microsoft.com/office/spreadsheetml/2017/richdata2" ref="A9:AJ30">
    <sortCondition ref="A9:A30"/>
  </sortState>
  <mergeCells count="1">
    <mergeCell ref="A7:G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9">
    <tabColor theme="2"/>
  </sheetPr>
  <dimension ref="A1:AJ30"/>
  <sheetViews>
    <sheetView workbookViewId="0">
      <pane xSplit="7" ySplit="8" topLeftCell="N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C5" sqref="C5:C6"/>
    </sheetView>
  </sheetViews>
  <sheetFormatPr defaultRowHeight="14.4" x14ac:dyDescent="0.3"/>
  <cols>
    <col min="1" max="1" width="27.109375" customWidth="1"/>
    <col min="2" max="2" width="42.6640625" customWidth="1"/>
    <col min="3" max="3" width="18.6640625" customWidth="1"/>
    <col min="4" max="4" width="14.5546875" customWidth="1"/>
    <col min="5" max="5" width="14.44140625" customWidth="1"/>
    <col min="6" max="6" width="13.33203125" customWidth="1"/>
    <col min="7" max="9" width="9.33203125" bestFit="1" customWidth="1"/>
    <col min="10" max="10" width="14.5546875" customWidth="1"/>
    <col min="11" max="11" width="9.33203125" customWidth="1"/>
    <col min="12" max="12" width="13" customWidth="1"/>
    <col min="13" max="13" width="12.5546875" customWidth="1"/>
    <col min="14" max="14" width="10.109375" bestFit="1" customWidth="1"/>
    <col min="15" max="15" width="12.33203125" customWidth="1"/>
    <col min="16" max="16" width="9.88671875" bestFit="1" customWidth="1"/>
    <col min="17" max="17" width="10.109375" bestFit="1" customWidth="1"/>
    <col min="18" max="20" width="9.33203125" bestFit="1" customWidth="1"/>
    <col min="21" max="21" width="10.6640625" bestFit="1" customWidth="1"/>
    <col min="22" max="30" width="9.33203125" bestFit="1" customWidth="1"/>
  </cols>
  <sheetData>
    <row r="1" spans="1:36" ht="21" x14ac:dyDescent="0.4">
      <c r="A1" s="47" t="s">
        <v>0</v>
      </c>
      <c r="B1" s="53"/>
      <c r="C1" s="48" t="s">
        <v>96</v>
      </c>
      <c r="D1" s="48"/>
      <c r="E1" s="48"/>
      <c r="F1" s="47"/>
      <c r="G1" s="49"/>
      <c r="H1" s="54"/>
      <c r="I1" s="54"/>
      <c r="J1" s="48"/>
      <c r="K1" s="48"/>
      <c r="L1" s="48"/>
      <c r="M1" s="47"/>
      <c r="N1" s="47" t="str">
        <f>$C$1</f>
        <v>IEL CIVICS</v>
      </c>
      <c r="O1" s="49"/>
      <c r="P1" s="49"/>
      <c r="Q1" s="54"/>
      <c r="R1" s="54"/>
      <c r="S1" s="48"/>
      <c r="T1" s="47" t="str">
        <f>$C$1</f>
        <v>IEL CIVICS</v>
      </c>
      <c r="U1" s="47"/>
      <c r="V1" s="47"/>
      <c r="W1" s="48"/>
      <c r="X1" s="48"/>
      <c r="Y1" s="47"/>
      <c r="Z1" s="47"/>
      <c r="AA1" s="47" t="str">
        <f>$C$1</f>
        <v>IEL CIVICS</v>
      </c>
      <c r="AB1" s="49"/>
      <c r="AC1" s="54"/>
      <c r="AD1" s="54"/>
      <c r="AE1" s="54"/>
      <c r="AF1" s="48"/>
      <c r="AG1" s="47"/>
      <c r="AH1" s="47" t="str">
        <f>$C$1</f>
        <v>IEL CIVICS</v>
      </c>
      <c r="AI1" s="47"/>
      <c r="AJ1" s="47"/>
    </row>
    <row r="2" spans="1:36" ht="32.4" x14ac:dyDescent="0.4">
      <c r="A2" s="47" t="s">
        <v>171</v>
      </c>
      <c r="B2" s="47"/>
      <c r="C2" s="47" t="s">
        <v>176</v>
      </c>
      <c r="D2" s="47"/>
      <c r="E2" s="47"/>
      <c r="F2" s="47"/>
      <c r="G2" s="132"/>
      <c r="H2" s="132"/>
      <c r="I2" s="132"/>
      <c r="J2" s="15"/>
      <c r="K2" s="15"/>
      <c r="L2" s="15"/>
      <c r="M2" s="15"/>
      <c r="N2" s="51" t="str">
        <f>"FY"&amp;$C$4</f>
        <v>FY2018-19</v>
      </c>
      <c r="O2" s="15"/>
      <c r="P2" s="15"/>
      <c r="Q2" s="15"/>
      <c r="R2" s="15"/>
      <c r="S2" s="15"/>
      <c r="T2" s="137" t="str">
        <f>"FY"&amp;$C$4</f>
        <v>FY2018-19</v>
      </c>
      <c r="U2" s="15"/>
      <c r="V2" s="15"/>
      <c r="W2" s="15"/>
      <c r="X2" s="15"/>
      <c r="Y2" s="15"/>
      <c r="Z2" s="15"/>
      <c r="AA2" s="137" t="str">
        <f>"FY"&amp;$C$4</f>
        <v>FY2018-19</v>
      </c>
      <c r="AB2" s="15"/>
      <c r="AC2" s="15"/>
      <c r="AD2" s="15"/>
      <c r="AE2" s="15"/>
      <c r="AF2" s="15"/>
      <c r="AG2" s="15"/>
      <c r="AH2" s="137" t="str">
        <f>"FY"&amp;$C$4</f>
        <v>FY2018-19</v>
      </c>
      <c r="AI2" s="47"/>
      <c r="AJ2" s="47"/>
    </row>
    <row r="3" spans="1:36" ht="15.6" x14ac:dyDescent="0.3">
      <c r="A3" s="50" t="s">
        <v>1</v>
      </c>
      <c r="B3" s="53"/>
      <c r="C3" s="51">
        <v>6002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 ht="15.6" x14ac:dyDescent="0.3">
      <c r="A4" s="50" t="s">
        <v>2</v>
      </c>
      <c r="B4" s="53"/>
      <c r="C4" s="51" t="s">
        <v>188</v>
      </c>
      <c r="D4" s="51"/>
      <c r="E4" s="51"/>
      <c r="F4" s="19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ht="15.6" x14ac:dyDescent="0.3">
      <c r="A5" s="50" t="s">
        <v>18</v>
      </c>
      <c r="B5" s="50"/>
      <c r="C5" s="63" t="s">
        <v>508</v>
      </c>
      <c r="D5" s="50"/>
      <c r="E5" s="50"/>
      <c r="F5" s="50"/>
      <c r="G5" s="9"/>
      <c r="H5" s="9"/>
      <c r="I5" s="9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</row>
    <row r="6" spans="1:36" ht="15.6" x14ac:dyDescent="0.3">
      <c r="A6" s="50" t="s">
        <v>19</v>
      </c>
      <c r="B6" s="50"/>
      <c r="C6" s="67" t="s">
        <v>509</v>
      </c>
      <c r="D6" s="50"/>
      <c r="E6" s="50"/>
      <c r="F6" s="50"/>
      <c r="G6" s="9"/>
      <c r="H6" s="9"/>
      <c r="I6" s="9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21.6" thickBot="1" x14ac:dyDescent="0.45">
      <c r="A7" s="47"/>
      <c r="B7" s="50"/>
      <c r="C7" s="53"/>
      <c r="D7" s="53"/>
      <c r="E7" s="53"/>
      <c r="F7" s="50"/>
      <c r="G7" s="9"/>
      <c r="H7" s="9"/>
      <c r="I7" s="9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ht="43.8" thickBot="1" x14ac:dyDescent="0.35">
      <c r="A8" s="11" t="s">
        <v>161</v>
      </c>
      <c r="B8" s="12" t="s">
        <v>155</v>
      </c>
      <c r="C8" s="13" t="s">
        <v>15</v>
      </c>
      <c r="D8" s="55" t="s">
        <v>124</v>
      </c>
      <c r="E8" s="55" t="s">
        <v>163</v>
      </c>
      <c r="F8" s="12" t="s">
        <v>16</v>
      </c>
      <c r="G8" s="25" t="s">
        <v>17</v>
      </c>
      <c r="H8" s="26" t="s">
        <v>67</v>
      </c>
      <c r="I8" s="27" t="s">
        <v>68</v>
      </c>
      <c r="J8" s="26" t="s">
        <v>69</v>
      </c>
      <c r="K8" s="27" t="s">
        <v>141</v>
      </c>
      <c r="L8" s="26" t="s">
        <v>142</v>
      </c>
      <c r="M8" s="27" t="s">
        <v>152</v>
      </c>
      <c r="N8" s="27" t="s">
        <v>143</v>
      </c>
      <c r="O8" s="27" t="s">
        <v>144</v>
      </c>
      <c r="P8" s="27" t="s">
        <v>145</v>
      </c>
      <c r="Q8" s="27" t="s">
        <v>146</v>
      </c>
      <c r="R8" s="27" t="s">
        <v>147</v>
      </c>
      <c r="S8" s="27" t="s">
        <v>148</v>
      </c>
      <c r="T8" s="26" t="s">
        <v>149</v>
      </c>
      <c r="U8" s="27" t="s">
        <v>150</v>
      </c>
      <c r="V8" s="27" t="s">
        <v>506</v>
      </c>
      <c r="W8" s="27" t="s">
        <v>189</v>
      </c>
      <c r="X8" s="26" t="s">
        <v>190</v>
      </c>
      <c r="Y8" s="27" t="s">
        <v>153</v>
      </c>
      <c r="Z8" s="27" t="s">
        <v>270</v>
      </c>
      <c r="AA8" s="27" t="s">
        <v>271</v>
      </c>
      <c r="AB8" s="27" t="s">
        <v>272</v>
      </c>
      <c r="AC8" s="27" t="s">
        <v>273</v>
      </c>
      <c r="AD8" s="27" t="s">
        <v>274</v>
      </c>
      <c r="AE8" s="27" t="s">
        <v>275</v>
      </c>
      <c r="AF8" s="26" t="s">
        <v>276</v>
      </c>
      <c r="AG8" s="27" t="s">
        <v>277</v>
      </c>
      <c r="AH8" s="27" t="s">
        <v>278</v>
      </c>
      <c r="AI8" s="12" t="s">
        <v>183</v>
      </c>
      <c r="AJ8" s="12" t="s">
        <v>184</v>
      </c>
    </row>
    <row r="9" spans="1:36" ht="15" thickBot="1" x14ac:dyDescent="0.35">
      <c r="A9" s="105" t="s">
        <v>78</v>
      </c>
      <c r="B9" s="105" t="s">
        <v>283</v>
      </c>
      <c r="C9" s="289">
        <v>137264</v>
      </c>
      <c r="D9" s="289">
        <v>7092</v>
      </c>
      <c r="E9" s="289">
        <f t="shared" ref="E9:E16" si="0">C9+D9</f>
        <v>144356</v>
      </c>
      <c r="F9" s="290">
        <f t="shared" ref="F9:F16" si="1">SUM(H9:AH9)</f>
        <v>141144</v>
      </c>
      <c r="G9" s="291">
        <f>E9-F9</f>
        <v>3212</v>
      </c>
      <c r="H9" s="248"/>
      <c r="I9" s="248"/>
      <c r="J9" s="248"/>
      <c r="K9" s="256">
        <v>21694</v>
      </c>
      <c r="L9" s="256">
        <v>13478</v>
      </c>
      <c r="M9" s="248">
        <v>10653</v>
      </c>
      <c r="N9" s="248">
        <v>7900</v>
      </c>
      <c r="O9" s="248">
        <v>8167</v>
      </c>
      <c r="P9" s="248">
        <v>10733</v>
      </c>
      <c r="Q9" s="248">
        <v>9821</v>
      </c>
      <c r="R9" s="292">
        <v>20112</v>
      </c>
      <c r="S9" s="248">
        <v>16099</v>
      </c>
      <c r="T9" s="248"/>
      <c r="U9" s="255">
        <v>22487</v>
      </c>
      <c r="V9" s="255"/>
      <c r="W9" s="248"/>
      <c r="X9" s="248"/>
      <c r="Y9" s="248"/>
      <c r="Z9" s="248"/>
      <c r="AA9" s="248"/>
      <c r="AB9" s="248"/>
      <c r="AC9" s="248"/>
      <c r="AD9" s="248"/>
      <c r="AE9" s="75"/>
      <c r="AF9" s="75"/>
      <c r="AG9" s="76"/>
      <c r="AH9" s="76"/>
      <c r="AI9" s="44"/>
      <c r="AJ9" s="44"/>
    </row>
    <row r="10" spans="1:36" ht="43.8" thickBot="1" x14ac:dyDescent="0.35">
      <c r="A10" s="105" t="s">
        <v>157</v>
      </c>
      <c r="B10" s="206" t="s">
        <v>281</v>
      </c>
      <c r="C10" s="289">
        <v>100856</v>
      </c>
      <c r="D10" s="289">
        <v>0</v>
      </c>
      <c r="E10" s="289">
        <f t="shared" si="0"/>
        <v>100856</v>
      </c>
      <c r="F10" s="290">
        <f t="shared" si="1"/>
        <v>56381</v>
      </c>
      <c r="G10" s="291">
        <f t="shared" ref="G10:G16" si="2">E10-F10</f>
        <v>44475</v>
      </c>
      <c r="H10" s="248"/>
      <c r="I10" s="248"/>
      <c r="J10" s="248"/>
      <c r="K10" s="248">
        <v>13168</v>
      </c>
      <c r="L10" s="293"/>
      <c r="M10" s="248"/>
      <c r="N10" s="248">
        <v>17137</v>
      </c>
      <c r="O10" s="248"/>
      <c r="P10" s="248"/>
      <c r="Q10" s="248">
        <v>26076</v>
      </c>
      <c r="R10" s="248"/>
      <c r="S10" s="248"/>
      <c r="T10" s="248"/>
      <c r="U10" s="251"/>
      <c r="V10" s="251"/>
      <c r="W10" s="248"/>
      <c r="X10" s="248"/>
      <c r="Y10" s="248"/>
      <c r="Z10" s="248"/>
      <c r="AA10" s="248"/>
      <c r="AB10" s="248"/>
      <c r="AC10" s="248"/>
      <c r="AD10" s="248"/>
      <c r="AE10" s="75"/>
      <c r="AF10" s="75"/>
      <c r="AG10" s="78"/>
      <c r="AH10" s="78"/>
      <c r="AI10" s="44"/>
      <c r="AJ10" s="44"/>
    </row>
    <row r="11" spans="1:36" ht="15" thickBot="1" x14ac:dyDescent="0.35">
      <c r="A11" s="105" t="s">
        <v>7</v>
      </c>
      <c r="B11" s="105" t="s">
        <v>8</v>
      </c>
      <c r="C11" s="289">
        <v>100000</v>
      </c>
      <c r="D11" s="289">
        <v>0</v>
      </c>
      <c r="E11" s="289">
        <f t="shared" si="0"/>
        <v>100000</v>
      </c>
      <c r="F11" s="290">
        <f t="shared" si="1"/>
        <v>98795.32</v>
      </c>
      <c r="G11" s="291">
        <f t="shared" si="2"/>
        <v>1204.679999999993</v>
      </c>
      <c r="H11" s="248"/>
      <c r="I11" s="248"/>
      <c r="J11" s="248"/>
      <c r="K11" s="248">
        <v>11932</v>
      </c>
      <c r="L11" s="256"/>
      <c r="M11" s="248"/>
      <c r="N11" s="248"/>
      <c r="O11" s="248">
        <v>28217</v>
      </c>
      <c r="P11" s="248"/>
      <c r="Q11" s="248">
        <v>26309</v>
      </c>
      <c r="R11" s="248"/>
      <c r="S11" s="248"/>
      <c r="T11" s="248"/>
      <c r="U11" s="255"/>
      <c r="V11" s="255">
        <v>32337.32</v>
      </c>
      <c r="W11" s="248"/>
      <c r="X11" s="248"/>
      <c r="Y11" s="248"/>
      <c r="Z11" s="248"/>
      <c r="AA11" s="248"/>
      <c r="AB11" s="248"/>
      <c r="AC11" s="248"/>
      <c r="AD11" s="248"/>
      <c r="AE11" s="75"/>
      <c r="AF11" s="75"/>
      <c r="AG11" s="76"/>
      <c r="AH11" s="76"/>
      <c r="AI11" s="44"/>
      <c r="AJ11" s="44"/>
    </row>
    <row r="12" spans="1:36" ht="15" thickBot="1" x14ac:dyDescent="0.35">
      <c r="A12" s="105" t="s">
        <v>9</v>
      </c>
      <c r="B12" s="105" t="s">
        <v>81</v>
      </c>
      <c r="C12" s="289">
        <v>111880</v>
      </c>
      <c r="D12" s="289">
        <v>0</v>
      </c>
      <c r="E12" s="289">
        <f t="shared" si="0"/>
        <v>111880</v>
      </c>
      <c r="F12" s="290">
        <f t="shared" si="1"/>
        <v>106104</v>
      </c>
      <c r="G12" s="291">
        <f t="shared" si="2"/>
        <v>5776</v>
      </c>
      <c r="H12" s="248"/>
      <c r="I12" s="248"/>
      <c r="J12" s="248">
        <f>4000+3450</f>
        <v>7450</v>
      </c>
      <c r="K12" s="248"/>
      <c r="L12" s="256">
        <f>11477+13180</f>
        <v>24657</v>
      </c>
      <c r="M12" s="248"/>
      <c r="N12" s="248">
        <f>980+3090+9723+8788</f>
        <v>22581</v>
      </c>
      <c r="O12" s="248"/>
      <c r="P12" s="248">
        <f>9323+11427</f>
        <v>20750</v>
      </c>
      <c r="Q12" s="248"/>
      <c r="R12" s="248">
        <v>9807</v>
      </c>
      <c r="S12" s="248">
        <f>11257+9602</f>
        <v>20859</v>
      </c>
      <c r="T12" s="248"/>
      <c r="U12" s="255"/>
      <c r="V12" s="255"/>
      <c r="W12" s="248"/>
      <c r="X12" s="248"/>
      <c r="Y12" s="248"/>
      <c r="Z12" s="248"/>
      <c r="AA12" s="248"/>
      <c r="AB12" s="248"/>
      <c r="AC12" s="248"/>
      <c r="AD12" s="248"/>
      <c r="AE12" s="75"/>
      <c r="AF12" s="75"/>
      <c r="AG12" s="76"/>
      <c r="AH12" s="76"/>
      <c r="AI12" s="44"/>
      <c r="AJ12" s="44"/>
    </row>
    <row r="13" spans="1:36" ht="15" thickBot="1" x14ac:dyDescent="0.35">
      <c r="A13" s="105" t="s">
        <v>11</v>
      </c>
      <c r="B13" s="105" t="s">
        <v>12</v>
      </c>
      <c r="C13" s="289">
        <v>100000</v>
      </c>
      <c r="D13" s="289">
        <v>23666</v>
      </c>
      <c r="E13" s="289">
        <f t="shared" si="0"/>
        <v>123666</v>
      </c>
      <c r="F13" s="290">
        <f t="shared" si="1"/>
        <v>81804</v>
      </c>
      <c r="G13" s="291">
        <f t="shared" si="2"/>
        <v>41862</v>
      </c>
      <c r="H13" s="248"/>
      <c r="I13" s="248"/>
      <c r="J13" s="248"/>
      <c r="K13" s="248"/>
      <c r="L13" s="256"/>
      <c r="M13" s="248">
        <f>15249+3756.22+4582.78</f>
        <v>23588</v>
      </c>
      <c r="N13" s="248">
        <v>41107</v>
      </c>
      <c r="O13" s="248"/>
      <c r="P13" s="248">
        <v>-33198</v>
      </c>
      <c r="Q13" s="248">
        <v>27467</v>
      </c>
      <c r="R13" s="248"/>
      <c r="S13" s="248">
        <v>22840</v>
      </c>
      <c r="T13" s="248"/>
      <c r="U13" s="255"/>
      <c r="V13" s="255"/>
      <c r="W13" s="248"/>
      <c r="X13" s="248"/>
      <c r="Y13" s="248"/>
      <c r="Z13" s="248"/>
      <c r="AA13" s="248"/>
      <c r="AB13" s="248"/>
      <c r="AC13" s="248"/>
      <c r="AD13" s="248"/>
      <c r="AE13" s="75"/>
      <c r="AF13" s="75"/>
      <c r="AG13" s="76"/>
      <c r="AH13" s="76"/>
      <c r="AI13" s="76"/>
      <c r="AJ13" s="76"/>
    </row>
    <row r="14" spans="1:36" ht="15" thickBot="1" x14ac:dyDescent="0.35">
      <c r="A14" s="105" t="s">
        <v>75</v>
      </c>
      <c r="B14" s="105" t="s">
        <v>280</v>
      </c>
      <c r="C14" s="289">
        <v>100000</v>
      </c>
      <c r="D14" s="289">
        <v>0</v>
      </c>
      <c r="E14" s="289">
        <f t="shared" si="0"/>
        <v>100000</v>
      </c>
      <c r="F14" s="290">
        <f t="shared" si="1"/>
        <v>100000</v>
      </c>
      <c r="G14" s="291">
        <f t="shared" si="2"/>
        <v>0</v>
      </c>
      <c r="H14" s="248"/>
      <c r="I14" s="248"/>
      <c r="J14" s="248">
        <f>2264+2300</f>
        <v>4564</v>
      </c>
      <c r="K14" s="248">
        <v>8707</v>
      </c>
      <c r="L14" s="248">
        <v>14718</v>
      </c>
      <c r="M14" s="248">
        <v>7776</v>
      </c>
      <c r="N14" s="248">
        <f>4466+851+7975</f>
        <v>13292</v>
      </c>
      <c r="O14" s="248">
        <v>7372</v>
      </c>
      <c r="P14" s="256"/>
      <c r="Q14" s="248">
        <v>16171</v>
      </c>
      <c r="R14" s="248"/>
      <c r="S14" s="248">
        <v>19140</v>
      </c>
      <c r="T14" s="248">
        <v>8260</v>
      </c>
      <c r="U14" s="255"/>
      <c r="V14" s="255"/>
      <c r="W14" s="248"/>
      <c r="X14" s="248"/>
      <c r="Y14" s="248"/>
      <c r="Z14" s="248"/>
      <c r="AA14" s="248"/>
      <c r="AB14" s="248"/>
      <c r="AC14" s="248"/>
      <c r="AD14" s="248"/>
      <c r="AE14" s="75"/>
      <c r="AF14" s="75"/>
      <c r="AG14" s="76"/>
      <c r="AH14" s="76"/>
      <c r="AI14" s="76"/>
      <c r="AJ14" s="76"/>
    </row>
    <row r="15" spans="1:36" ht="15" thickBot="1" x14ac:dyDescent="0.35">
      <c r="A15" s="105" t="s">
        <v>13</v>
      </c>
      <c r="B15" s="105" t="s">
        <v>282</v>
      </c>
      <c r="C15" s="289">
        <v>100000</v>
      </c>
      <c r="D15" s="289">
        <v>0</v>
      </c>
      <c r="E15" s="289">
        <f t="shared" si="0"/>
        <v>100000</v>
      </c>
      <c r="F15" s="290">
        <f t="shared" si="1"/>
        <v>100000</v>
      </c>
      <c r="G15" s="291">
        <f t="shared" si="2"/>
        <v>0</v>
      </c>
      <c r="H15" s="248"/>
      <c r="I15" s="248"/>
      <c r="J15" s="248">
        <f>40000+2200</f>
        <v>42200</v>
      </c>
      <c r="K15" s="248">
        <v>5376</v>
      </c>
      <c r="L15" s="248">
        <v>8333</v>
      </c>
      <c r="M15" s="248">
        <v>6868</v>
      </c>
      <c r="N15" s="248">
        <v>10795</v>
      </c>
      <c r="O15" s="248">
        <v>4490</v>
      </c>
      <c r="P15" s="248"/>
      <c r="Q15" s="248">
        <v>4784</v>
      </c>
      <c r="R15" s="248">
        <v>8333</v>
      </c>
      <c r="S15" s="248">
        <v>8333</v>
      </c>
      <c r="T15" s="248">
        <v>488</v>
      </c>
      <c r="U15" s="255"/>
      <c r="V15" s="255"/>
      <c r="W15" s="248"/>
      <c r="X15" s="248"/>
      <c r="Y15" s="248"/>
      <c r="Z15" s="248"/>
      <c r="AA15" s="248"/>
      <c r="AB15" s="248"/>
      <c r="AC15" s="248"/>
      <c r="AD15" s="248"/>
      <c r="AE15" s="75"/>
      <c r="AF15" s="75"/>
      <c r="AG15" s="76"/>
      <c r="AH15" s="76"/>
      <c r="AI15" s="44"/>
      <c r="AJ15" s="44"/>
    </row>
    <row r="16" spans="1:36" ht="15" thickBot="1" x14ac:dyDescent="0.35">
      <c r="A16" s="105" t="s">
        <v>77</v>
      </c>
      <c r="B16" s="105" t="s">
        <v>197</v>
      </c>
      <c r="C16" s="289">
        <v>100000</v>
      </c>
      <c r="D16" s="289">
        <v>0</v>
      </c>
      <c r="E16" s="289">
        <f t="shared" si="0"/>
        <v>100000</v>
      </c>
      <c r="F16" s="290">
        <f t="shared" si="1"/>
        <v>99999.57</v>
      </c>
      <c r="G16" s="291">
        <f t="shared" si="2"/>
        <v>0.42999999999301508</v>
      </c>
      <c r="H16" s="248"/>
      <c r="I16" s="248"/>
      <c r="J16" s="248"/>
      <c r="K16" s="248">
        <v>18509</v>
      </c>
      <c r="L16" s="248"/>
      <c r="M16" s="248"/>
      <c r="N16" s="248">
        <v>16568</v>
      </c>
      <c r="O16" s="248"/>
      <c r="P16" s="248"/>
      <c r="Q16" s="248">
        <v>19671</v>
      </c>
      <c r="R16" s="248"/>
      <c r="S16" s="248"/>
      <c r="T16" s="248"/>
      <c r="U16" s="255">
        <v>28062.57</v>
      </c>
      <c r="V16" s="255">
        <v>17189</v>
      </c>
      <c r="W16" s="248"/>
      <c r="X16" s="248"/>
      <c r="Y16" s="248"/>
      <c r="Z16" s="248"/>
      <c r="AA16" s="248"/>
      <c r="AB16" s="248"/>
      <c r="AC16" s="248"/>
      <c r="AD16" s="248"/>
      <c r="AE16" s="75"/>
      <c r="AF16" s="75"/>
      <c r="AG16" s="76"/>
      <c r="AH16" s="76"/>
      <c r="AI16" s="44"/>
      <c r="AJ16" s="44"/>
    </row>
    <row r="17" spans="1:36" ht="15" thickBot="1" x14ac:dyDescent="0.35">
      <c r="A17" s="44"/>
      <c r="B17" s="44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44"/>
      <c r="AF17" s="44"/>
      <c r="AG17" s="44"/>
      <c r="AH17" s="44"/>
      <c r="AI17" s="44"/>
      <c r="AJ17" s="44"/>
    </row>
    <row r="18" spans="1:36" ht="15" thickBot="1" x14ac:dyDescent="0.35">
      <c r="A18" s="79" t="s">
        <v>48</v>
      </c>
      <c r="B18" s="42"/>
      <c r="C18" s="294">
        <f>SUM(C9:C15)</f>
        <v>750000</v>
      </c>
      <c r="D18" s="294">
        <v>0</v>
      </c>
      <c r="E18" s="294">
        <f>SUM(E9:E16)</f>
        <v>880758</v>
      </c>
      <c r="F18" s="294">
        <f>SUM(F9:F16)</f>
        <v>784227.89000000013</v>
      </c>
      <c r="G18" s="294">
        <f>SUM(G9:G16)</f>
        <v>96530.109999999986</v>
      </c>
      <c r="H18" s="294">
        <f>SUM(H9:H15)</f>
        <v>0</v>
      </c>
      <c r="I18" s="294">
        <f>SUM(I9:I15)</f>
        <v>0</v>
      </c>
      <c r="J18" s="294">
        <f>SUM(J9:J16)</f>
        <v>54214</v>
      </c>
      <c r="K18" s="294">
        <f t="shared" ref="K18:AE18" si="3">SUM(K9:K16)</f>
        <v>79386</v>
      </c>
      <c r="L18" s="294">
        <f t="shared" si="3"/>
        <v>61186</v>
      </c>
      <c r="M18" s="294">
        <f t="shared" si="3"/>
        <v>48885</v>
      </c>
      <c r="N18" s="294">
        <f t="shared" si="3"/>
        <v>129380</v>
      </c>
      <c r="O18" s="294">
        <f t="shared" si="3"/>
        <v>48246</v>
      </c>
      <c r="P18" s="294">
        <f t="shared" si="3"/>
        <v>-1715</v>
      </c>
      <c r="Q18" s="294">
        <f t="shared" si="3"/>
        <v>130299</v>
      </c>
      <c r="R18" s="294">
        <f t="shared" si="3"/>
        <v>38252</v>
      </c>
      <c r="S18" s="294">
        <f t="shared" si="3"/>
        <v>87271</v>
      </c>
      <c r="T18" s="294">
        <f t="shared" si="3"/>
        <v>8748</v>
      </c>
      <c r="U18" s="294">
        <f t="shared" si="3"/>
        <v>50549.57</v>
      </c>
      <c r="V18" s="294">
        <f t="shared" si="3"/>
        <v>49526.32</v>
      </c>
      <c r="W18" s="294">
        <f t="shared" si="3"/>
        <v>0</v>
      </c>
      <c r="X18" s="294">
        <f t="shared" si="3"/>
        <v>0</v>
      </c>
      <c r="Y18" s="294">
        <f t="shared" si="3"/>
        <v>0</v>
      </c>
      <c r="Z18" s="294">
        <f t="shared" si="3"/>
        <v>0</v>
      </c>
      <c r="AA18" s="294">
        <f t="shared" si="3"/>
        <v>0</v>
      </c>
      <c r="AB18" s="294">
        <f t="shared" si="3"/>
        <v>0</v>
      </c>
      <c r="AC18" s="294">
        <f t="shared" si="3"/>
        <v>0</v>
      </c>
      <c r="AD18" s="294">
        <f t="shared" si="3"/>
        <v>0</v>
      </c>
      <c r="AE18" s="80">
        <f t="shared" si="3"/>
        <v>0</v>
      </c>
      <c r="AF18" s="80">
        <f t="shared" ref="AF18:AJ18" si="4">SUM(AF9:AF15)</f>
        <v>0</v>
      </c>
      <c r="AG18" s="80">
        <f t="shared" si="4"/>
        <v>0</v>
      </c>
      <c r="AH18" s="80">
        <f t="shared" si="4"/>
        <v>0</v>
      </c>
      <c r="AI18" s="80">
        <f t="shared" si="4"/>
        <v>0</v>
      </c>
      <c r="AJ18" s="80">
        <f t="shared" si="4"/>
        <v>0</v>
      </c>
    </row>
    <row r="19" spans="1:36" x14ac:dyDescent="0.3"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</row>
    <row r="20" spans="1:36" x14ac:dyDescent="0.3"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</row>
    <row r="21" spans="1:36" x14ac:dyDescent="0.3"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</row>
    <row r="22" spans="1:36" x14ac:dyDescent="0.3"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</row>
    <row r="23" spans="1:36" x14ac:dyDescent="0.3"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</row>
    <row r="24" spans="1:36" x14ac:dyDescent="0.3"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</row>
    <row r="25" spans="1:36" x14ac:dyDescent="0.3"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</row>
    <row r="26" spans="1:36" x14ac:dyDescent="0.3"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</row>
    <row r="27" spans="1:36" x14ac:dyDescent="0.3"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</row>
    <row r="28" spans="1:36" x14ac:dyDescent="0.3"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</row>
    <row r="29" spans="1:36" x14ac:dyDescent="0.3"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</row>
    <row r="30" spans="1:36" x14ac:dyDescent="0.3"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</row>
  </sheetData>
  <sheetProtection password="E89A" sheet="1" objects="1" scenarios="1"/>
  <dataValidations count="1">
    <dataValidation type="list" allowBlank="1" showInputMessage="1" showErrorMessage="1" sqref="A9:A16" xr:uid="{00000000-0002-0000-0900-000000000000}">
      <formula1>INDIRECT($A9)</formula1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/>
  </sheetPr>
  <dimension ref="A1:AD15"/>
  <sheetViews>
    <sheetView workbookViewId="0">
      <selection activeCell="K35" sqref="K35"/>
    </sheetView>
  </sheetViews>
  <sheetFormatPr defaultRowHeight="14.4" x14ac:dyDescent="0.3"/>
  <cols>
    <col min="3" max="30" width="15.6640625" customWidth="1"/>
  </cols>
  <sheetData>
    <row r="1" spans="1:30" ht="21" x14ac:dyDescent="0.4">
      <c r="A1" s="47" t="s">
        <v>0</v>
      </c>
      <c r="B1" s="53"/>
      <c r="C1" s="48" t="s">
        <v>154</v>
      </c>
      <c r="D1" s="48"/>
      <c r="E1" s="48"/>
      <c r="F1" s="47"/>
      <c r="G1" s="49"/>
      <c r="H1" s="48"/>
      <c r="I1" s="48"/>
      <c r="J1" s="48"/>
      <c r="K1" s="47"/>
      <c r="L1" s="47"/>
      <c r="M1" s="49"/>
      <c r="N1" s="47" t="str">
        <f>$C$1</f>
        <v xml:space="preserve">Javits Gifted and Talented - Right 4 Rural </v>
      </c>
      <c r="O1" s="54"/>
      <c r="P1" s="54"/>
      <c r="Q1" s="48"/>
      <c r="R1" s="48"/>
      <c r="S1" s="47"/>
      <c r="T1" s="47" t="str">
        <f>$C$1</f>
        <v xml:space="preserve">Javits Gifted and Talented - Right 4 Rural </v>
      </c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ht="21" x14ac:dyDescent="0.4">
      <c r="A2" s="47" t="s">
        <v>171</v>
      </c>
      <c r="B2" s="49"/>
      <c r="C2" s="47" t="s">
        <v>170</v>
      </c>
      <c r="D2" s="47"/>
      <c r="E2" s="47"/>
      <c r="F2" s="50"/>
      <c r="G2" s="9"/>
      <c r="H2" s="9"/>
      <c r="I2" s="9"/>
      <c r="J2" s="9"/>
      <c r="K2" s="52"/>
      <c r="L2" s="52"/>
      <c r="M2" s="52"/>
      <c r="N2" s="137" t="str">
        <f>"FY"&amp;$C$4</f>
        <v>FY2018-19</v>
      </c>
      <c r="O2" s="52"/>
      <c r="P2" s="52"/>
      <c r="Q2" s="52"/>
      <c r="R2" s="52"/>
      <c r="S2" s="52"/>
      <c r="T2" s="137" t="str">
        <f>"FY"&amp;$C$4</f>
        <v>FY2018-19</v>
      </c>
      <c r="U2" s="52"/>
      <c r="V2" s="52"/>
      <c r="W2" s="52"/>
      <c r="X2" s="52"/>
      <c r="Y2" s="52"/>
      <c r="Z2" s="52"/>
      <c r="AA2" s="52"/>
      <c r="AB2" s="52"/>
      <c r="AC2" s="47"/>
      <c r="AD2" s="47"/>
    </row>
    <row r="3" spans="1:30" ht="15.6" x14ac:dyDescent="0.3">
      <c r="A3" s="50" t="s">
        <v>1</v>
      </c>
      <c r="B3" s="53"/>
      <c r="C3" s="51">
        <v>5206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15.6" x14ac:dyDescent="0.3">
      <c r="A4" s="50" t="s">
        <v>2</v>
      </c>
      <c r="B4" s="53"/>
      <c r="C4" s="51" t="s">
        <v>188</v>
      </c>
      <c r="D4" s="51"/>
      <c r="E4" s="51"/>
      <c r="F4" s="50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1:30" ht="15.6" x14ac:dyDescent="0.3">
      <c r="A5" s="50" t="s">
        <v>18</v>
      </c>
      <c r="B5" s="53"/>
      <c r="C5" s="50" t="s">
        <v>269</v>
      </c>
      <c r="D5" s="50"/>
      <c r="E5" s="50"/>
      <c r="F5" s="50"/>
      <c r="G5" s="9"/>
      <c r="H5" s="9"/>
      <c r="I5" s="9"/>
      <c r="J5" s="9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1:30" ht="15.6" x14ac:dyDescent="0.3">
      <c r="A6" s="50" t="s">
        <v>19</v>
      </c>
      <c r="B6" s="53"/>
      <c r="C6" s="50" t="s">
        <v>47</v>
      </c>
      <c r="D6" s="50"/>
      <c r="E6" s="50"/>
      <c r="F6" s="50"/>
      <c r="G6" s="9"/>
      <c r="H6" s="9"/>
      <c r="I6" s="9"/>
      <c r="J6" s="9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ht="16.2" thickBot="1" x14ac:dyDescent="0.35">
      <c r="A7" s="50"/>
      <c r="B7" s="53"/>
      <c r="C7" s="50"/>
      <c r="D7" s="50"/>
      <c r="E7" s="50"/>
      <c r="F7" s="50"/>
      <c r="G7" s="9"/>
      <c r="H7" s="9"/>
      <c r="I7" s="9"/>
      <c r="J7" s="9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0" ht="43.8" thickBot="1" x14ac:dyDescent="0.35">
      <c r="A8" s="133" t="s">
        <v>161</v>
      </c>
      <c r="B8" s="12" t="s">
        <v>155</v>
      </c>
      <c r="C8" s="12" t="s">
        <v>15</v>
      </c>
      <c r="D8" s="55" t="s">
        <v>124</v>
      </c>
      <c r="E8" s="55" t="s">
        <v>163</v>
      </c>
      <c r="F8" s="13" t="s">
        <v>16</v>
      </c>
      <c r="G8" s="29" t="s">
        <v>17</v>
      </c>
      <c r="H8" s="26" t="s">
        <v>61</v>
      </c>
      <c r="I8" s="27" t="s">
        <v>62</v>
      </c>
      <c r="J8" s="26" t="s">
        <v>63</v>
      </c>
      <c r="K8" s="27" t="s">
        <v>64</v>
      </c>
      <c r="L8" s="26" t="s">
        <v>65</v>
      </c>
      <c r="M8" s="27" t="s">
        <v>66</v>
      </c>
      <c r="N8" s="27" t="s">
        <v>67</v>
      </c>
      <c r="O8" s="27" t="s">
        <v>68</v>
      </c>
      <c r="P8" s="27" t="s">
        <v>69</v>
      </c>
      <c r="Q8" s="27" t="s">
        <v>141</v>
      </c>
      <c r="R8" s="27" t="s">
        <v>142</v>
      </c>
      <c r="S8" s="27" t="s">
        <v>152</v>
      </c>
      <c r="T8" s="27" t="s">
        <v>143</v>
      </c>
      <c r="U8" s="27" t="s">
        <v>144</v>
      </c>
      <c r="V8" s="27" t="s">
        <v>145</v>
      </c>
      <c r="W8" s="27" t="s">
        <v>146</v>
      </c>
      <c r="X8" s="27" t="s">
        <v>147</v>
      </c>
      <c r="Y8" s="27" t="s">
        <v>148</v>
      </c>
      <c r="Z8" s="27" t="s">
        <v>149</v>
      </c>
      <c r="AA8" s="27" t="s">
        <v>150</v>
      </c>
      <c r="AB8" s="27" t="s">
        <v>151</v>
      </c>
      <c r="AC8" s="12" t="s">
        <v>183</v>
      </c>
      <c r="AD8" s="12" t="s">
        <v>184</v>
      </c>
    </row>
    <row r="9" spans="1:30" ht="15" thickBot="1" x14ac:dyDescent="0.35">
      <c r="A9" s="107"/>
      <c r="B9" s="108"/>
      <c r="C9" s="109"/>
      <c r="D9" s="105">
        <v>0</v>
      </c>
      <c r="E9" s="105">
        <f>C9+D9</f>
        <v>0</v>
      </c>
      <c r="F9" s="109">
        <f>SUM(H9:AC9)</f>
        <v>0</v>
      </c>
      <c r="G9" s="109">
        <f>C9-F9</f>
        <v>0</v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44"/>
      <c r="AD9" s="44"/>
    </row>
    <row r="10" spans="1:30" ht="15" thickBot="1" x14ac:dyDescent="0.35">
      <c r="A10" s="70"/>
      <c r="B10" s="129"/>
      <c r="C10" s="109"/>
      <c r="D10" s="105">
        <v>0</v>
      </c>
      <c r="E10" s="105">
        <f t="shared" ref="E10:E15" si="0">C10+D10</f>
        <v>0</v>
      </c>
      <c r="F10" s="109">
        <f>SUM(H10:AC10)</f>
        <v>0</v>
      </c>
      <c r="G10" s="109">
        <f t="shared" ref="G10:G12" si="1">C10-F10</f>
        <v>0</v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44"/>
      <c r="AD10" s="44"/>
    </row>
    <row r="11" spans="1:30" ht="15" thickBot="1" x14ac:dyDescent="0.35">
      <c r="A11" s="130"/>
      <c r="B11" s="129"/>
      <c r="C11" s="109"/>
      <c r="D11" s="105">
        <v>0</v>
      </c>
      <c r="E11" s="105">
        <f t="shared" si="0"/>
        <v>0</v>
      </c>
      <c r="F11" s="109">
        <f>SUM(H11:AC11)</f>
        <v>0</v>
      </c>
      <c r="G11" s="109">
        <f t="shared" si="1"/>
        <v>0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44"/>
      <c r="AD11" s="44"/>
    </row>
    <row r="12" spans="1:30" ht="15" thickBot="1" x14ac:dyDescent="0.35">
      <c r="A12" s="70"/>
      <c r="B12" s="129"/>
      <c r="C12" s="109"/>
      <c r="D12" s="105">
        <v>0</v>
      </c>
      <c r="E12" s="105">
        <f t="shared" si="0"/>
        <v>0</v>
      </c>
      <c r="F12" s="109">
        <f>SUM(H12:AB12)</f>
        <v>0</v>
      </c>
      <c r="G12" s="109">
        <f t="shared" si="1"/>
        <v>0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76"/>
      <c r="AD12" s="76"/>
    </row>
    <row r="13" spans="1:30" ht="15" thickBot="1" x14ac:dyDescent="0.35">
      <c r="A13" s="70"/>
      <c r="B13" s="129"/>
      <c r="C13" s="109"/>
      <c r="D13" s="105">
        <v>0</v>
      </c>
      <c r="E13" s="105">
        <f>C13+D13</f>
        <v>0</v>
      </c>
      <c r="F13" s="109">
        <f>SUM(H13:AC13)</f>
        <v>0</v>
      </c>
      <c r="G13" s="109">
        <f>C13-F13</f>
        <v>0</v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44"/>
      <c r="AD13" s="44"/>
    </row>
    <row r="14" spans="1:30" ht="15" thickBot="1" x14ac:dyDescent="0.35">
      <c r="A14" s="70"/>
      <c r="B14" s="129"/>
      <c r="C14" s="111"/>
      <c r="D14" s="105"/>
      <c r="E14" s="105"/>
      <c r="F14" s="109"/>
      <c r="G14" s="109"/>
      <c r="H14" s="110"/>
      <c r="I14" s="110"/>
      <c r="J14" s="110"/>
      <c r="K14" s="110"/>
      <c r="L14" s="110"/>
      <c r="M14" s="110"/>
      <c r="N14" s="110"/>
      <c r="O14" s="110"/>
      <c r="P14" s="110"/>
      <c r="Q14" s="110" t="s">
        <v>33</v>
      </c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76"/>
      <c r="AD14" s="76"/>
    </row>
    <row r="15" spans="1:30" ht="15" thickBot="1" x14ac:dyDescent="0.35">
      <c r="A15" s="72" t="s">
        <v>48</v>
      </c>
      <c r="B15" s="42"/>
      <c r="C15" s="73">
        <f>SUM(C9:C12)</f>
        <v>0</v>
      </c>
      <c r="D15" s="121">
        <v>0</v>
      </c>
      <c r="E15" s="121">
        <f t="shared" si="0"/>
        <v>0</v>
      </c>
      <c r="F15" s="73">
        <f t="shared" ref="F15:AD15" si="2">SUM(F9:F12)</f>
        <v>0</v>
      </c>
      <c r="G15" s="73">
        <f t="shared" si="2"/>
        <v>0</v>
      </c>
      <c r="H15" s="73">
        <f t="shared" si="2"/>
        <v>0</v>
      </c>
      <c r="I15" s="73">
        <f t="shared" si="2"/>
        <v>0</v>
      </c>
      <c r="J15" s="73">
        <f t="shared" si="2"/>
        <v>0</v>
      </c>
      <c r="K15" s="73">
        <f t="shared" si="2"/>
        <v>0</v>
      </c>
      <c r="L15" s="73">
        <f t="shared" si="2"/>
        <v>0</v>
      </c>
      <c r="M15" s="73">
        <f t="shared" si="2"/>
        <v>0</v>
      </c>
      <c r="N15" s="73">
        <f t="shared" si="2"/>
        <v>0</v>
      </c>
      <c r="O15" s="73">
        <f t="shared" si="2"/>
        <v>0</v>
      </c>
      <c r="P15" s="73">
        <f t="shared" si="2"/>
        <v>0</v>
      </c>
      <c r="Q15" s="73">
        <f t="shared" si="2"/>
        <v>0</v>
      </c>
      <c r="R15" s="73">
        <f t="shared" si="2"/>
        <v>0</v>
      </c>
      <c r="S15" s="73">
        <f t="shared" si="2"/>
        <v>0</v>
      </c>
      <c r="T15" s="73">
        <f t="shared" si="2"/>
        <v>0</v>
      </c>
      <c r="U15" s="73">
        <f t="shared" si="2"/>
        <v>0</v>
      </c>
      <c r="V15" s="73">
        <f t="shared" si="2"/>
        <v>0</v>
      </c>
      <c r="W15" s="73">
        <f t="shared" si="2"/>
        <v>0</v>
      </c>
      <c r="X15" s="73">
        <f t="shared" si="2"/>
        <v>0</v>
      </c>
      <c r="Y15" s="73">
        <f t="shared" si="2"/>
        <v>0</v>
      </c>
      <c r="Z15" s="73">
        <f t="shared" si="2"/>
        <v>0</v>
      </c>
      <c r="AA15" s="73">
        <f t="shared" si="2"/>
        <v>0</v>
      </c>
      <c r="AB15" s="73">
        <f t="shared" si="2"/>
        <v>0</v>
      </c>
      <c r="AC15" s="73">
        <f t="shared" si="2"/>
        <v>0</v>
      </c>
      <c r="AD15" s="73">
        <f t="shared" si="2"/>
        <v>0</v>
      </c>
    </row>
  </sheetData>
  <sheetProtection algorithmName="SHA-512" hashValue="v6JOr2seKewSnceDUvGMDkDSNi+oQvq7L65fcLMZGU7gJvpOtUp4itWoTPuq8YGL4cDhkCDkwr7v13l5UblZLg==" saltValue="DYvGgJCeeaJadFj8hLGnow==" spinCount="100000" sheet="1" objects="1" scenarios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/>
  </sheetPr>
  <dimension ref="A1:AJ11"/>
  <sheetViews>
    <sheetView workbookViewId="0">
      <pane xSplit="7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L27" sqref="L27"/>
    </sheetView>
  </sheetViews>
  <sheetFormatPr defaultRowHeight="14.4" x14ac:dyDescent="0.3"/>
  <cols>
    <col min="3" max="36" width="15.6640625" customWidth="1"/>
  </cols>
  <sheetData>
    <row r="1" spans="1:36" ht="21" x14ac:dyDescent="0.4">
      <c r="A1" s="47" t="s">
        <v>0</v>
      </c>
      <c r="B1" s="53"/>
      <c r="C1" s="48" t="s">
        <v>154</v>
      </c>
      <c r="D1" s="48"/>
      <c r="E1" s="48"/>
      <c r="F1" s="47"/>
      <c r="G1" s="49"/>
      <c r="H1" s="48"/>
      <c r="I1" s="48"/>
      <c r="J1" s="48"/>
      <c r="K1" s="47"/>
      <c r="L1" s="47"/>
      <c r="M1" s="49"/>
      <c r="N1" s="47" t="str">
        <f>$C$1</f>
        <v xml:space="preserve">Javits Gifted and Talented - Right 4 Rural </v>
      </c>
      <c r="O1" s="54"/>
      <c r="P1" s="54"/>
      <c r="Q1" s="48"/>
      <c r="R1" s="48"/>
      <c r="S1" s="47"/>
      <c r="T1" s="47" t="str">
        <f>$C$1</f>
        <v xml:space="preserve">Javits Gifted and Talented - Right 4 Rural </v>
      </c>
      <c r="U1" s="47"/>
      <c r="V1" s="47"/>
      <c r="W1" s="47"/>
      <c r="X1" s="47"/>
      <c r="Y1" s="47"/>
      <c r="Z1" s="47"/>
      <c r="AA1" s="47" t="str">
        <f>$C$1</f>
        <v xml:space="preserve">Javits Gifted and Talented - Right 4 Rural </v>
      </c>
      <c r="AB1" s="54"/>
      <c r="AC1" s="54"/>
      <c r="AD1" s="54"/>
      <c r="AE1" s="54"/>
      <c r="AF1" s="54"/>
      <c r="AG1" s="54"/>
      <c r="AH1" s="54"/>
      <c r="AI1" s="47"/>
      <c r="AJ1" s="47"/>
    </row>
    <row r="2" spans="1:36" ht="21" x14ac:dyDescent="0.4">
      <c r="A2" s="47" t="s">
        <v>171</v>
      </c>
      <c r="B2" s="49"/>
      <c r="C2" s="47" t="s">
        <v>170</v>
      </c>
      <c r="D2" s="47"/>
      <c r="E2" s="47"/>
      <c r="F2" s="50"/>
      <c r="G2" s="9"/>
      <c r="H2" s="9"/>
      <c r="I2" s="9"/>
      <c r="J2" s="9"/>
      <c r="K2" s="52"/>
      <c r="L2" s="52"/>
      <c r="M2" s="52"/>
      <c r="N2" s="137" t="str">
        <f>"FY"&amp;$C$4</f>
        <v>FY2018-19</v>
      </c>
      <c r="O2" s="52"/>
      <c r="P2" s="52"/>
      <c r="Q2" s="52"/>
      <c r="R2" s="52"/>
      <c r="S2" s="52"/>
      <c r="T2" s="137" t="str">
        <f>"FY"&amp;$C$4</f>
        <v>FY2018-19</v>
      </c>
      <c r="U2" s="52"/>
      <c r="V2" s="52"/>
      <c r="W2" s="52"/>
      <c r="X2" s="52"/>
      <c r="Y2" s="52"/>
      <c r="Z2" s="52"/>
      <c r="AA2" s="137" t="str">
        <f>"FY"&amp;$C$4</f>
        <v>FY2018-19</v>
      </c>
      <c r="AB2" s="54"/>
      <c r="AC2" s="54"/>
      <c r="AD2" s="54"/>
      <c r="AE2" s="54"/>
      <c r="AF2" s="54"/>
      <c r="AG2" s="54"/>
      <c r="AH2" s="54"/>
      <c r="AI2" s="47"/>
      <c r="AJ2" s="47"/>
    </row>
    <row r="3" spans="1:36" ht="15.6" x14ac:dyDescent="0.3">
      <c r="A3" s="50" t="s">
        <v>1</v>
      </c>
      <c r="B3" s="53"/>
      <c r="C3" s="51">
        <v>5206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 ht="15.6" x14ac:dyDescent="0.3">
      <c r="A4" s="50" t="s">
        <v>2</v>
      </c>
      <c r="B4" s="53"/>
      <c r="C4" s="51" t="s">
        <v>188</v>
      </c>
      <c r="D4" s="51"/>
      <c r="E4" s="51"/>
      <c r="F4" s="50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ht="15.6" x14ac:dyDescent="0.3">
      <c r="A5" s="50" t="s">
        <v>18</v>
      </c>
      <c r="B5" s="53"/>
      <c r="C5" s="50" t="s">
        <v>269</v>
      </c>
      <c r="D5" s="50"/>
      <c r="E5" s="50"/>
      <c r="F5" s="50"/>
      <c r="G5" s="9"/>
      <c r="H5" s="9"/>
      <c r="I5" s="9"/>
      <c r="J5" s="9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4"/>
      <c r="AC5" s="54"/>
      <c r="AD5" s="54"/>
      <c r="AE5" s="54"/>
      <c r="AF5" s="54"/>
      <c r="AG5" s="54"/>
      <c r="AH5" s="54"/>
      <c r="AI5" s="52"/>
      <c r="AJ5" s="52"/>
    </row>
    <row r="6" spans="1:36" ht="15.6" x14ac:dyDescent="0.3">
      <c r="A6" s="50" t="s">
        <v>19</v>
      </c>
      <c r="B6" s="53"/>
      <c r="C6" s="50" t="s">
        <v>21</v>
      </c>
      <c r="D6" s="50"/>
      <c r="E6" s="50"/>
      <c r="F6" s="50"/>
      <c r="G6" s="9"/>
      <c r="H6" s="9"/>
      <c r="I6" s="9"/>
      <c r="J6" s="9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21.6" thickBot="1" x14ac:dyDescent="0.45">
      <c r="A7" s="47"/>
      <c r="B7" s="53"/>
      <c r="C7" s="19"/>
      <c r="D7" s="19"/>
      <c r="E7" s="19"/>
      <c r="F7" s="19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ht="43.8" thickBot="1" x14ac:dyDescent="0.35">
      <c r="A8" s="133" t="s">
        <v>161</v>
      </c>
      <c r="B8" s="12" t="s">
        <v>155</v>
      </c>
      <c r="C8" s="12" t="s">
        <v>15</v>
      </c>
      <c r="D8" s="55" t="s">
        <v>124</v>
      </c>
      <c r="E8" s="55" t="s">
        <v>163</v>
      </c>
      <c r="F8" s="13" t="s">
        <v>16</v>
      </c>
      <c r="G8" s="29" t="s">
        <v>17</v>
      </c>
      <c r="H8" s="59" t="s">
        <v>67</v>
      </c>
      <c r="I8" s="55" t="s">
        <v>68</v>
      </c>
      <c r="J8" s="59" t="s">
        <v>69</v>
      </c>
      <c r="K8" s="55" t="s">
        <v>141</v>
      </c>
      <c r="L8" s="59" t="s">
        <v>142</v>
      </c>
      <c r="M8" s="55" t="s">
        <v>152</v>
      </c>
      <c r="N8" s="55" t="s">
        <v>143</v>
      </c>
      <c r="O8" s="55" t="s">
        <v>144</v>
      </c>
      <c r="P8" s="55" t="s">
        <v>145</v>
      </c>
      <c r="Q8" s="55" t="s">
        <v>146</v>
      </c>
      <c r="R8" s="55" t="s">
        <v>147</v>
      </c>
      <c r="S8" s="55" t="s">
        <v>148</v>
      </c>
      <c r="T8" s="59" t="s">
        <v>149</v>
      </c>
      <c r="U8" s="59" t="s">
        <v>150</v>
      </c>
      <c r="V8" s="59" t="s">
        <v>151</v>
      </c>
      <c r="W8" s="59" t="s">
        <v>189</v>
      </c>
      <c r="X8" s="59" t="s">
        <v>190</v>
      </c>
      <c r="Y8" s="59" t="s">
        <v>153</v>
      </c>
      <c r="Z8" s="59" t="s">
        <v>270</v>
      </c>
      <c r="AA8" s="59" t="s">
        <v>271</v>
      </c>
      <c r="AB8" s="59" t="s">
        <v>272</v>
      </c>
      <c r="AC8" s="59" t="s">
        <v>273</v>
      </c>
      <c r="AD8" s="59" t="s">
        <v>274</v>
      </c>
      <c r="AE8" s="59" t="s">
        <v>275</v>
      </c>
      <c r="AF8" s="59" t="s">
        <v>149</v>
      </c>
      <c r="AG8" s="59" t="s">
        <v>150</v>
      </c>
      <c r="AH8" s="59" t="s">
        <v>151</v>
      </c>
      <c r="AI8" s="12" t="s">
        <v>183</v>
      </c>
      <c r="AJ8" s="12" t="s">
        <v>184</v>
      </c>
    </row>
    <row r="9" spans="1:36" ht="15" thickBot="1" x14ac:dyDescent="0.35">
      <c r="A9" s="107"/>
      <c r="B9" s="108"/>
      <c r="C9" s="155"/>
      <c r="D9" s="156">
        <v>0</v>
      </c>
      <c r="E9" s="156">
        <f>C9+D9</f>
        <v>0</v>
      </c>
      <c r="F9" s="155">
        <f>SUM(H9:AL9)</f>
        <v>0</v>
      </c>
      <c r="G9" s="157">
        <f>C9-F9</f>
        <v>0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68"/>
      <c r="AJ9" s="68"/>
    </row>
    <row r="10" spans="1:36" ht="15" thickBot="1" x14ac:dyDescent="0.35">
      <c r="A10" s="70"/>
      <c r="B10" s="77"/>
      <c r="C10" s="159"/>
      <c r="D10" s="159"/>
      <c r="E10" s="159"/>
      <c r="F10" s="159"/>
      <c r="G10" s="159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68"/>
      <c r="AJ10" s="68"/>
    </row>
    <row r="11" spans="1:36" ht="15" thickBot="1" x14ac:dyDescent="0.35">
      <c r="A11" s="72" t="s">
        <v>48</v>
      </c>
      <c r="B11" s="42"/>
      <c r="C11" s="160">
        <f t="shared" ref="C11:AJ11" si="0">SUM(C9:C10)</f>
        <v>0</v>
      </c>
      <c r="D11" s="160">
        <v>0</v>
      </c>
      <c r="E11" s="160">
        <f>C11+D11</f>
        <v>0</v>
      </c>
      <c r="F11" s="160">
        <f t="shared" si="0"/>
        <v>0</v>
      </c>
      <c r="G11" s="160">
        <f t="shared" si="0"/>
        <v>0</v>
      </c>
      <c r="H11" s="160">
        <f t="shared" si="0"/>
        <v>0</v>
      </c>
      <c r="I11" s="160">
        <f t="shared" si="0"/>
        <v>0</v>
      </c>
      <c r="J11" s="160">
        <f t="shared" si="0"/>
        <v>0</v>
      </c>
      <c r="K11" s="160">
        <f t="shared" si="0"/>
        <v>0</v>
      </c>
      <c r="L11" s="160">
        <f t="shared" si="0"/>
        <v>0</v>
      </c>
      <c r="M11" s="160">
        <f t="shared" si="0"/>
        <v>0</v>
      </c>
      <c r="N11" s="160">
        <f t="shared" si="0"/>
        <v>0</v>
      </c>
      <c r="O11" s="160">
        <f t="shared" si="0"/>
        <v>0</v>
      </c>
      <c r="P11" s="160">
        <f t="shared" si="0"/>
        <v>0</v>
      </c>
      <c r="Q11" s="160">
        <f t="shared" si="0"/>
        <v>0</v>
      </c>
      <c r="R11" s="160">
        <f t="shared" si="0"/>
        <v>0</v>
      </c>
      <c r="S11" s="160">
        <f t="shared" si="0"/>
        <v>0</v>
      </c>
      <c r="T11" s="160">
        <f t="shared" si="0"/>
        <v>0</v>
      </c>
      <c r="U11" s="160">
        <f t="shared" si="0"/>
        <v>0</v>
      </c>
      <c r="V11" s="160">
        <f t="shared" si="0"/>
        <v>0</v>
      </c>
      <c r="W11" s="160">
        <f t="shared" si="0"/>
        <v>0</v>
      </c>
      <c r="X11" s="160">
        <f t="shared" si="0"/>
        <v>0</v>
      </c>
      <c r="Y11" s="160">
        <f t="shared" si="0"/>
        <v>0</v>
      </c>
      <c r="Z11" s="160">
        <f t="shared" si="0"/>
        <v>0</v>
      </c>
      <c r="AA11" s="160">
        <f t="shared" si="0"/>
        <v>0</v>
      </c>
      <c r="AB11" s="160">
        <f t="shared" si="0"/>
        <v>0</v>
      </c>
      <c r="AC11" s="160">
        <f t="shared" si="0"/>
        <v>0</v>
      </c>
      <c r="AD11" s="160">
        <f t="shared" si="0"/>
        <v>0</v>
      </c>
      <c r="AE11" s="160">
        <f t="shared" si="0"/>
        <v>0</v>
      </c>
      <c r="AF11" s="160">
        <f t="shared" si="0"/>
        <v>0</v>
      </c>
      <c r="AG11" s="160">
        <f t="shared" si="0"/>
        <v>0</v>
      </c>
      <c r="AH11" s="160">
        <f t="shared" si="0"/>
        <v>0</v>
      </c>
      <c r="AI11" s="160">
        <f t="shared" si="0"/>
        <v>0</v>
      </c>
      <c r="AJ11" s="160">
        <f t="shared" si="0"/>
        <v>0</v>
      </c>
    </row>
  </sheetData>
  <sheetProtection algorithmName="SHA-512" hashValue="T//sy19S02Bj1yn1aM/9o/MsjSjBj1HctsaSM5k2kK/m4cgelX5i9WQ47dI5rDWrQqyroR9Iczdy8Aw91Zn3XA==" saltValue="7inmFkTYxRMrfxM7ZJa4uA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2">
    <tabColor theme="2"/>
  </sheetPr>
  <dimension ref="A1:AJ65"/>
  <sheetViews>
    <sheetView zoomScaleNormal="100" workbookViewId="0">
      <pane xSplit="7" ySplit="8" topLeftCell="Q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G14" sqref="G14"/>
    </sheetView>
  </sheetViews>
  <sheetFormatPr defaultColWidth="9.109375" defaultRowHeight="14.4" x14ac:dyDescent="0.3"/>
  <cols>
    <col min="1" max="1" width="9.109375" style="45"/>
    <col min="2" max="2" width="45.109375" style="45" customWidth="1"/>
    <col min="3" max="3" width="13.5546875" style="45" customWidth="1"/>
    <col min="4" max="4" width="13.6640625" style="45" customWidth="1"/>
    <col min="5" max="5" width="13.5546875" style="45" customWidth="1"/>
    <col min="6" max="6" width="11.44140625" style="45" customWidth="1"/>
    <col min="7" max="7" width="16" style="45" customWidth="1"/>
    <col min="8" max="34" width="15.6640625" style="45" customWidth="1"/>
    <col min="35" max="36" width="21.33203125" style="44" customWidth="1"/>
    <col min="37" max="16384" width="9.109375" style="45"/>
  </cols>
  <sheetData>
    <row r="1" spans="1:36" ht="21" x14ac:dyDescent="0.4">
      <c r="A1" s="47" t="s">
        <v>0</v>
      </c>
      <c r="B1" s="53"/>
      <c r="C1" s="48" t="s">
        <v>25</v>
      </c>
      <c r="D1" s="48"/>
      <c r="E1" s="48"/>
      <c r="F1" s="47"/>
      <c r="G1" s="49"/>
      <c r="H1" s="54"/>
      <c r="I1" s="53"/>
      <c r="J1" s="48" t="str">
        <f>C1</f>
        <v>McKinney-Vento Homeless</v>
      </c>
      <c r="K1" s="53"/>
      <c r="L1" s="48"/>
      <c r="M1" s="53"/>
      <c r="N1" s="48" t="str">
        <f>$C$1</f>
        <v>McKinney-Vento Homeless</v>
      </c>
      <c r="O1" s="53"/>
      <c r="P1" s="48"/>
      <c r="Q1" s="53"/>
      <c r="R1" s="53"/>
      <c r="S1" s="53"/>
      <c r="T1" s="48" t="str">
        <f>$C$1</f>
        <v>McKinney-Vento Homeless</v>
      </c>
      <c r="U1" s="53"/>
      <c r="V1" s="48"/>
      <c r="W1" s="53"/>
      <c r="X1" s="48"/>
      <c r="Y1" s="53"/>
      <c r="Z1" s="53"/>
      <c r="AA1" s="48" t="str">
        <f>$C$1</f>
        <v>McKinney-Vento Homeless</v>
      </c>
      <c r="AB1" s="53"/>
      <c r="AC1" s="53"/>
      <c r="AD1" s="48"/>
      <c r="AE1" s="53"/>
      <c r="AF1" s="53"/>
      <c r="AG1" s="53"/>
      <c r="AH1" s="53"/>
      <c r="AI1" s="47"/>
      <c r="AJ1" s="47"/>
    </row>
    <row r="2" spans="1:36" ht="21" x14ac:dyDescent="0.4">
      <c r="A2" s="47" t="s">
        <v>171</v>
      </c>
      <c r="B2" s="49"/>
      <c r="C2" s="48" t="s">
        <v>172</v>
      </c>
      <c r="D2" s="48"/>
      <c r="E2" s="48"/>
      <c r="F2" s="49"/>
      <c r="G2" s="49"/>
      <c r="H2" s="54"/>
      <c r="I2" s="53"/>
      <c r="J2" s="51" t="str">
        <f>"FY"&amp;C4</f>
        <v>FY2018-19</v>
      </c>
      <c r="K2" s="53"/>
      <c r="L2" s="56"/>
      <c r="M2" s="53"/>
      <c r="N2" s="51" t="str">
        <f>"FY"&amp;$C$4</f>
        <v>FY2018-19</v>
      </c>
      <c r="O2" s="53"/>
      <c r="P2" s="51"/>
      <c r="Q2" s="53"/>
      <c r="R2" s="53"/>
      <c r="S2" s="53"/>
      <c r="T2" s="51" t="str">
        <f>"FY"&amp;$C$4</f>
        <v>FY2018-19</v>
      </c>
      <c r="U2" s="53"/>
      <c r="V2" s="51"/>
      <c r="W2" s="53"/>
      <c r="X2" s="56"/>
      <c r="Y2" s="53"/>
      <c r="Z2" s="53"/>
      <c r="AA2" s="51" t="str">
        <f>"FY"&amp;$C$4</f>
        <v>FY2018-19</v>
      </c>
      <c r="AB2" s="53"/>
      <c r="AC2" s="53"/>
      <c r="AD2" s="51"/>
      <c r="AE2" s="53"/>
      <c r="AF2" s="53"/>
      <c r="AG2" s="53"/>
      <c r="AH2" s="53"/>
      <c r="AI2" s="47"/>
      <c r="AJ2" s="47"/>
    </row>
    <row r="3" spans="1:36" ht="15.6" x14ac:dyDescent="0.3">
      <c r="A3" s="50" t="s">
        <v>1</v>
      </c>
      <c r="B3" s="53"/>
      <c r="C3" s="51">
        <v>5196</v>
      </c>
      <c r="D3" s="51"/>
      <c r="E3" s="51"/>
      <c r="F3" s="50"/>
      <c r="G3" s="19"/>
      <c r="H3" s="54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4"/>
      <c r="AJ3" s="54"/>
    </row>
    <row r="4" spans="1:36" ht="15.6" x14ac:dyDescent="0.3">
      <c r="A4" s="50" t="s">
        <v>2</v>
      </c>
      <c r="B4" s="53"/>
      <c r="C4" s="51" t="s">
        <v>188</v>
      </c>
      <c r="D4" s="51"/>
      <c r="E4" s="51"/>
      <c r="F4" s="19"/>
      <c r="G4" s="19"/>
      <c r="H4" s="5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4"/>
      <c r="AJ4" s="54"/>
    </row>
    <row r="5" spans="1:36" ht="15.6" x14ac:dyDescent="0.3">
      <c r="A5" s="50" t="s">
        <v>18</v>
      </c>
      <c r="B5" s="53"/>
      <c r="C5" s="63" t="s">
        <v>508</v>
      </c>
      <c r="D5" s="50"/>
      <c r="E5" s="50"/>
      <c r="F5" s="19"/>
      <c r="G5" s="19"/>
      <c r="H5" s="5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2"/>
      <c r="AJ5" s="52"/>
    </row>
    <row r="6" spans="1:36" ht="15.6" x14ac:dyDescent="0.3">
      <c r="A6" s="50" t="s">
        <v>19</v>
      </c>
      <c r="B6" s="53"/>
      <c r="C6" s="67" t="s">
        <v>509</v>
      </c>
      <c r="D6" s="51"/>
      <c r="E6" s="51"/>
      <c r="F6" s="19"/>
      <c r="G6" s="19"/>
      <c r="H6" s="5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2"/>
      <c r="AJ6" s="52"/>
    </row>
    <row r="7" spans="1:36" ht="15" thickBot="1" x14ac:dyDescent="0.35">
      <c r="A7" s="18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2"/>
      <c r="AJ7" s="52"/>
    </row>
    <row r="8" spans="1:36" ht="29.4" thickBot="1" x14ac:dyDescent="0.35">
      <c r="A8" s="11" t="s">
        <v>161</v>
      </c>
      <c r="B8" s="12" t="s">
        <v>155</v>
      </c>
      <c r="C8" s="12" t="s">
        <v>15</v>
      </c>
      <c r="D8" s="55" t="s">
        <v>124</v>
      </c>
      <c r="E8" s="55" t="s">
        <v>163</v>
      </c>
      <c r="F8" s="12" t="s">
        <v>16</v>
      </c>
      <c r="G8" s="25" t="s">
        <v>17</v>
      </c>
      <c r="H8" s="26" t="s">
        <v>67</v>
      </c>
      <c r="I8" s="27" t="s">
        <v>68</v>
      </c>
      <c r="J8" s="26" t="s">
        <v>69</v>
      </c>
      <c r="K8" s="27" t="s">
        <v>141</v>
      </c>
      <c r="L8" s="26" t="s">
        <v>142</v>
      </c>
      <c r="M8" s="27" t="s">
        <v>152</v>
      </c>
      <c r="N8" s="27" t="s">
        <v>143</v>
      </c>
      <c r="O8" s="27" t="s">
        <v>144</v>
      </c>
      <c r="P8" s="27" t="s">
        <v>145</v>
      </c>
      <c r="Q8" s="27" t="s">
        <v>146</v>
      </c>
      <c r="R8" s="27" t="s">
        <v>147</v>
      </c>
      <c r="S8" s="27" t="s">
        <v>148</v>
      </c>
      <c r="T8" s="26" t="s">
        <v>149</v>
      </c>
      <c r="U8" s="27" t="s">
        <v>150</v>
      </c>
      <c r="V8" s="27" t="s">
        <v>151</v>
      </c>
      <c r="W8" s="27" t="s">
        <v>189</v>
      </c>
      <c r="X8" s="26" t="s">
        <v>190</v>
      </c>
      <c r="Y8" s="27" t="s">
        <v>153</v>
      </c>
      <c r="Z8" s="27" t="s">
        <v>270</v>
      </c>
      <c r="AA8" s="27" t="s">
        <v>271</v>
      </c>
      <c r="AB8" s="27" t="s">
        <v>272</v>
      </c>
      <c r="AC8" s="27" t="s">
        <v>273</v>
      </c>
      <c r="AD8" s="27" t="s">
        <v>274</v>
      </c>
      <c r="AE8" s="27" t="s">
        <v>275</v>
      </c>
      <c r="AF8" s="26" t="s">
        <v>276</v>
      </c>
      <c r="AG8" s="27" t="s">
        <v>277</v>
      </c>
      <c r="AH8" s="27" t="s">
        <v>278</v>
      </c>
      <c r="AI8" s="12" t="s">
        <v>183</v>
      </c>
      <c r="AJ8" s="12" t="s">
        <v>184</v>
      </c>
    </row>
    <row r="9" spans="1:36" ht="15" thickBot="1" x14ac:dyDescent="0.35">
      <c r="A9" s="144">
        <v>20</v>
      </c>
      <c r="B9" s="119" t="s">
        <v>83</v>
      </c>
      <c r="C9" s="118">
        <v>37500</v>
      </c>
      <c r="D9" s="105"/>
      <c r="E9" s="105">
        <f>C9-D9</f>
        <v>37500</v>
      </c>
      <c r="F9" s="114">
        <f>SUM(H9:AH9)</f>
        <v>37500</v>
      </c>
      <c r="G9" s="114">
        <f>E9-F9</f>
        <v>0</v>
      </c>
      <c r="H9" s="75"/>
      <c r="I9" s="75"/>
      <c r="J9" s="75"/>
      <c r="K9" s="75">
        <v>2031</v>
      </c>
      <c r="L9" s="75">
        <v>2976</v>
      </c>
      <c r="M9" s="75">
        <v>7831</v>
      </c>
      <c r="N9" s="75">
        <v>3651</v>
      </c>
      <c r="O9" s="75">
        <v>631</v>
      </c>
      <c r="P9" s="75">
        <v>2829</v>
      </c>
      <c r="Q9" s="75">
        <v>7889</v>
      </c>
      <c r="R9" s="248">
        <v>3536</v>
      </c>
      <c r="S9" s="75"/>
      <c r="T9" s="172">
        <f>3403+2723</f>
        <v>6126</v>
      </c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56"/>
    </row>
    <row r="10" spans="1:36" ht="15" thickBot="1" x14ac:dyDescent="0.35">
      <c r="A10" s="144">
        <v>30</v>
      </c>
      <c r="B10" s="117" t="s">
        <v>84</v>
      </c>
      <c r="C10" s="74">
        <v>26875</v>
      </c>
      <c r="D10" s="105"/>
      <c r="E10" s="105">
        <f t="shared" ref="E10:E23" si="0">C10-D10</f>
        <v>26875</v>
      </c>
      <c r="F10" s="114">
        <f t="shared" ref="F10:F23" si="1">SUM(H10:AH10)</f>
        <v>25826</v>
      </c>
      <c r="G10" s="114">
        <f t="shared" ref="G10:G23" si="2">E10-F10</f>
        <v>1049</v>
      </c>
      <c r="H10" s="75"/>
      <c r="I10" s="75"/>
      <c r="J10" s="75"/>
      <c r="K10" s="75">
        <v>3930</v>
      </c>
      <c r="L10" s="75">
        <v>741</v>
      </c>
      <c r="M10" s="75">
        <v>1639</v>
      </c>
      <c r="N10" s="75">
        <v>812</v>
      </c>
      <c r="O10" s="75">
        <v>752</v>
      </c>
      <c r="P10" s="75">
        <v>2490</v>
      </c>
      <c r="Q10" s="75">
        <v>3734</v>
      </c>
      <c r="R10" s="248">
        <v>3636</v>
      </c>
      <c r="S10" s="75">
        <v>1075</v>
      </c>
      <c r="T10" s="172">
        <v>5767</v>
      </c>
      <c r="U10" s="248"/>
      <c r="V10" s="248">
        <v>1250</v>
      </c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56"/>
    </row>
    <row r="11" spans="1:36" ht="15" thickBot="1" x14ac:dyDescent="0.35">
      <c r="A11" s="144">
        <v>70</v>
      </c>
      <c r="B11" s="117" t="s">
        <v>85</v>
      </c>
      <c r="C11" s="74">
        <v>37500</v>
      </c>
      <c r="D11" s="105"/>
      <c r="E11" s="105">
        <f t="shared" si="0"/>
        <v>37500</v>
      </c>
      <c r="F11" s="114">
        <f t="shared" si="1"/>
        <v>37500</v>
      </c>
      <c r="G11" s="114">
        <f t="shared" si="2"/>
        <v>0</v>
      </c>
      <c r="H11" s="75"/>
      <c r="I11" s="75"/>
      <c r="J11" s="75"/>
      <c r="K11" s="75">
        <v>8530</v>
      </c>
      <c r="L11" s="75"/>
      <c r="M11" s="75">
        <v>8174</v>
      </c>
      <c r="N11" s="75">
        <v>3293</v>
      </c>
      <c r="O11" s="75">
        <v>2736</v>
      </c>
      <c r="P11" s="75">
        <v>2777</v>
      </c>
      <c r="Q11" s="75">
        <v>2742</v>
      </c>
      <c r="R11" s="248">
        <v>3288</v>
      </c>
      <c r="S11" s="75">
        <v>2737</v>
      </c>
      <c r="T11" s="172">
        <v>2737.48</v>
      </c>
      <c r="U11" s="248">
        <v>485.52</v>
      </c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56"/>
    </row>
    <row r="12" spans="1:36" ht="15" thickBot="1" x14ac:dyDescent="0.35">
      <c r="A12" s="144">
        <v>123</v>
      </c>
      <c r="B12" s="117" t="s">
        <v>57</v>
      </c>
      <c r="C12" s="74">
        <v>37500</v>
      </c>
      <c r="D12" s="105"/>
      <c r="E12" s="105">
        <f t="shared" si="0"/>
        <v>37500</v>
      </c>
      <c r="F12" s="114">
        <f t="shared" si="1"/>
        <v>37500</v>
      </c>
      <c r="G12" s="114">
        <f t="shared" si="2"/>
        <v>0</v>
      </c>
      <c r="H12" s="75"/>
      <c r="I12" s="75"/>
      <c r="J12" s="75"/>
      <c r="K12" s="75"/>
      <c r="L12" s="75"/>
      <c r="M12" s="75">
        <v>7045</v>
      </c>
      <c r="N12" s="75"/>
      <c r="O12" s="75"/>
      <c r="P12" s="75">
        <v>9118</v>
      </c>
      <c r="Q12" s="75">
        <v>6561</v>
      </c>
      <c r="R12" s="248">
        <v>4344</v>
      </c>
      <c r="S12" s="75"/>
      <c r="T12" s="172">
        <v>9127.2800000000007</v>
      </c>
      <c r="U12" s="248">
        <v>1304.72</v>
      </c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56"/>
    </row>
    <row r="13" spans="1:36" ht="15" thickBot="1" x14ac:dyDescent="0.35">
      <c r="A13" s="144">
        <v>470</v>
      </c>
      <c r="B13" s="117" t="s">
        <v>86</v>
      </c>
      <c r="C13" s="74">
        <v>37500</v>
      </c>
      <c r="D13" s="105"/>
      <c r="E13" s="105">
        <f t="shared" si="0"/>
        <v>37500</v>
      </c>
      <c r="F13" s="114">
        <f t="shared" si="1"/>
        <v>27893</v>
      </c>
      <c r="G13" s="114">
        <f t="shared" si="2"/>
        <v>9607</v>
      </c>
      <c r="H13" s="75"/>
      <c r="I13" s="75"/>
      <c r="J13" s="75"/>
      <c r="K13" s="75"/>
      <c r="L13" s="75"/>
      <c r="M13" s="75">
        <v>3294</v>
      </c>
      <c r="N13" s="75"/>
      <c r="O13" s="75">
        <v>5331</v>
      </c>
      <c r="P13" s="75"/>
      <c r="Q13" s="75"/>
      <c r="R13" s="248"/>
      <c r="S13" s="75">
        <v>19268</v>
      </c>
      <c r="T13" s="172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6"/>
      <c r="AJ13" s="45"/>
    </row>
    <row r="14" spans="1:36" ht="29.4" thickBot="1" x14ac:dyDescent="0.35">
      <c r="A14" s="144">
        <v>880</v>
      </c>
      <c r="B14" s="117" t="s">
        <v>377</v>
      </c>
      <c r="C14" s="74">
        <v>37500</v>
      </c>
      <c r="D14" s="105"/>
      <c r="E14" s="105">
        <f t="shared" si="0"/>
        <v>37500</v>
      </c>
      <c r="F14" s="114">
        <f t="shared" si="1"/>
        <v>37500</v>
      </c>
      <c r="G14" s="114">
        <f t="shared" si="2"/>
        <v>0</v>
      </c>
      <c r="H14" s="75"/>
      <c r="I14" s="75"/>
      <c r="J14" s="75"/>
      <c r="K14" s="75"/>
      <c r="L14" s="75"/>
      <c r="M14" s="75"/>
      <c r="N14" s="75">
        <v>999</v>
      </c>
      <c r="O14" s="75"/>
      <c r="P14" s="75"/>
      <c r="Q14" s="75"/>
      <c r="R14" s="248">
        <v>30395</v>
      </c>
      <c r="S14" s="75"/>
      <c r="T14" s="172"/>
      <c r="U14" s="248"/>
      <c r="V14" s="248">
        <f>5146.37+959.63</f>
        <v>6106</v>
      </c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55"/>
      <c r="AJ14" s="76"/>
    </row>
    <row r="15" spans="1:36" ht="15" thickBot="1" x14ac:dyDescent="0.35">
      <c r="A15" s="144">
        <v>1000</v>
      </c>
      <c r="B15" s="117" t="s">
        <v>88</v>
      </c>
      <c r="C15" s="74">
        <v>37500</v>
      </c>
      <c r="D15" s="105"/>
      <c r="E15" s="105">
        <f t="shared" si="0"/>
        <v>37500</v>
      </c>
      <c r="F15" s="114">
        <f t="shared" si="1"/>
        <v>37500</v>
      </c>
      <c r="G15" s="114">
        <f t="shared" si="2"/>
        <v>0</v>
      </c>
      <c r="H15" s="75"/>
      <c r="I15" s="75"/>
      <c r="J15" s="75"/>
      <c r="K15" s="75"/>
      <c r="L15" s="75"/>
      <c r="M15" s="75">
        <v>13619</v>
      </c>
      <c r="N15" s="75"/>
      <c r="O15" s="75"/>
      <c r="P15" s="75">
        <f>2754+5508</f>
        <v>8262</v>
      </c>
      <c r="Q15" s="75">
        <v>2754</v>
      </c>
      <c r="R15" s="248"/>
      <c r="S15" s="75">
        <v>12865</v>
      </c>
      <c r="T15" s="172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55"/>
      <c r="AJ15" s="76"/>
    </row>
    <row r="16" spans="1:36" ht="15" thickBot="1" x14ac:dyDescent="0.35">
      <c r="A16" s="144">
        <v>1550</v>
      </c>
      <c r="B16" s="117" t="s">
        <v>58</v>
      </c>
      <c r="C16" s="74">
        <v>32500</v>
      </c>
      <c r="D16" s="105">
        <v>3714</v>
      </c>
      <c r="E16" s="105">
        <f>SUM(C16:D16)</f>
        <v>36214</v>
      </c>
      <c r="F16" s="114">
        <f t="shared" si="1"/>
        <v>36214</v>
      </c>
      <c r="G16" s="114">
        <f t="shared" si="2"/>
        <v>0</v>
      </c>
      <c r="H16" s="75"/>
      <c r="I16" s="75"/>
      <c r="J16" s="75"/>
      <c r="K16" s="75">
        <v>5598</v>
      </c>
      <c r="L16" s="75"/>
      <c r="M16" s="75"/>
      <c r="N16" s="75">
        <v>4940</v>
      </c>
      <c r="O16" s="75"/>
      <c r="P16" s="75"/>
      <c r="Q16" s="75">
        <v>6878</v>
      </c>
      <c r="R16" s="248"/>
      <c r="S16" s="75">
        <v>4585</v>
      </c>
      <c r="T16" s="172">
        <v>10499</v>
      </c>
      <c r="U16" s="248"/>
      <c r="V16" s="248">
        <v>3714</v>
      </c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56"/>
    </row>
    <row r="17" spans="1:36" ht="15" thickBot="1" x14ac:dyDescent="0.35">
      <c r="A17" s="144">
        <v>1560</v>
      </c>
      <c r="B17" s="117" t="s">
        <v>90</v>
      </c>
      <c r="C17" s="74">
        <v>30616</v>
      </c>
      <c r="D17" s="105"/>
      <c r="E17" s="105">
        <f t="shared" si="0"/>
        <v>30616</v>
      </c>
      <c r="F17" s="114">
        <f t="shared" si="1"/>
        <v>25884.11</v>
      </c>
      <c r="G17" s="114">
        <f t="shared" si="2"/>
        <v>4731.8899999999994</v>
      </c>
      <c r="H17" s="75"/>
      <c r="I17" s="75"/>
      <c r="J17" s="75"/>
      <c r="K17" s="75"/>
      <c r="L17" s="75">
        <v>5359</v>
      </c>
      <c r="M17" s="75">
        <v>2183</v>
      </c>
      <c r="N17" s="75">
        <v>1711</v>
      </c>
      <c r="O17" s="75">
        <v>1872</v>
      </c>
      <c r="P17" s="75">
        <v>1610</v>
      </c>
      <c r="Q17" s="75">
        <v>1610</v>
      </c>
      <c r="R17" s="248">
        <v>2423</v>
      </c>
      <c r="S17" s="75"/>
      <c r="T17" s="172">
        <v>4022.7</v>
      </c>
      <c r="U17" s="248">
        <v>3256.2</v>
      </c>
      <c r="V17" s="248">
        <v>1837.21</v>
      </c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56"/>
    </row>
    <row r="18" spans="1:36" ht="15" thickBot="1" x14ac:dyDescent="0.35">
      <c r="A18" s="144">
        <v>2000</v>
      </c>
      <c r="B18" s="117" t="s">
        <v>92</v>
      </c>
      <c r="C18" s="74">
        <v>37500</v>
      </c>
      <c r="D18" s="105"/>
      <c r="E18" s="105">
        <f t="shared" si="0"/>
        <v>37500</v>
      </c>
      <c r="F18" s="114">
        <f t="shared" si="1"/>
        <v>37500</v>
      </c>
      <c r="G18" s="114">
        <f t="shared" si="2"/>
        <v>0</v>
      </c>
      <c r="H18" s="75"/>
      <c r="I18" s="75"/>
      <c r="J18" s="75"/>
      <c r="K18" s="75">
        <v>5513</v>
      </c>
      <c r="L18" s="75">
        <v>4851</v>
      </c>
      <c r="M18" s="75"/>
      <c r="N18" s="75">
        <v>2558</v>
      </c>
      <c r="O18" s="75">
        <v>5580</v>
      </c>
      <c r="P18" s="75"/>
      <c r="Q18" s="75">
        <f>2643+2564</f>
        <v>5207</v>
      </c>
      <c r="R18" s="249">
        <v>2563</v>
      </c>
      <c r="S18" s="75">
        <v>2564</v>
      </c>
      <c r="T18" s="172"/>
      <c r="U18" s="248"/>
      <c r="V18" s="248">
        <v>8664</v>
      </c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56"/>
    </row>
    <row r="19" spans="1:36" ht="15.6" customHeight="1" thickBot="1" x14ac:dyDescent="0.35">
      <c r="A19" s="144">
        <v>2690</v>
      </c>
      <c r="B19" s="117" t="s">
        <v>378</v>
      </c>
      <c r="C19" s="74">
        <v>37500</v>
      </c>
      <c r="D19" s="105"/>
      <c r="E19" s="105">
        <f t="shared" si="0"/>
        <v>37500</v>
      </c>
      <c r="F19" s="114">
        <f t="shared" si="1"/>
        <v>23390</v>
      </c>
      <c r="G19" s="114">
        <f t="shared" si="2"/>
        <v>14110</v>
      </c>
      <c r="H19" s="75"/>
      <c r="I19" s="75"/>
      <c r="J19" s="75"/>
      <c r="K19" s="75"/>
      <c r="L19" s="75">
        <f>1982+9840</f>
        <v>11822</v>
      </c>
      <c r="M19" s="75"/>
      <c r="N19" s="75">
        <v>5439</v>
      </c>
      <c r="O19" s="75"/>
      <c r="P19" s="75"/>
      <c r="Q19" s="75"/>
      <c r="R19" s="248"/>
      <c r="S19" s="75">
        <v>6129</v>
      </c>
      <c r="T19" s="172"/>
      <c r="U19" s="248"/>
      <c r="V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55"/>
      <c r="AJ19" s="76"/>
    </row>
    <row r="20" spans="1:36" ht="15" thickBot="1" x14ac:dyDescent="0.35">
      <c r="A20" s="144">
        <v>2790</v>
      </c>
      <c r="B20" s="117" t="s">
        <v>308</v>
      </c>
      <c r="C20" s="74">
        <v>12500</v>
      </c>
      <c r="D20" s="105"/>
      <c r="E20" s="105">
        <f t="shared" si="0"/>
        <v>12500</v>
      </c>
      <c r="F20" s="114">
        <f t="shared" si="1"/>
        <v>12500</v>
      </c>
      <c r="G20" s="114">
        <f t="shared" si="2"/>
        <v>0</v>
      </c>
      <c r="H20" s="75"/>
      <c r="I20" s="75"/>
      <c r="J20" s="75"/>
      <c r="K20" s="75">
        <v>6008</v>
      </c>
      <c r="L20" s="75">
        <v>5000</v>
      </c>
      <c r="M20" s="75"/>
      <c r="N20" s="75"/>
      <c r="O20" s="75"/>
      <c r="P20" s="75"/>
      <c r="Q20" s="75"/>
      <c r="R20" s="248">
        <v>1492</v>
      </c>
      <c r="S20" s="75"/>
      <c r="T20" s="172"/>
      <c r="U20" s="248"/>
      <c r="V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56"/>
    </row>
    <row r="21" spans="1:36" ht="15" thickBot="1" x14ac:dyDescent="0.35">
      <c r="A21" s="144">
        <v>3120</v>
      </c>
      <c r="B21" s="117" t="s">
        <v>93</v>
      </c>
      <c r="C21" s="74">
        <v>37500</v>
      </c>
      <c r="D21" s="105"/>
      <c r="E21" s="105">
        <v>37500</v>
      </c>
      <c r="F21" s="114">
        <f t="shared" si="1"/>
        <v>37499.979999999996</v>
      </c>
      <c r="G21" s="114">
        <f t="shared" si="2"/>
        <v>2.0000000004074536E-2</v>
      </c>
      <c r="H21" s="75"/>
      <c r="I21" s="75"/>
      <c r="J21" s="75"/>
      <c r="K21" s="75"/>
      <c r="L21" s="75">
        <v>4521</v>
      </c>
      <c r="M21" s="75">
        <v>4796</v>
      </c>
      <c r="N21" s="75">
        <v>4582</v>
      </c>
      <c r="O21" s="75">
        <f>2398+6008</f>
        <v>8406</v>
      </c>
      <c r="P21" s="75"/>
      <c r="Q21" s="75">
        <v>5304</v>
      </c>
      <c r="R21" s="250">
        <v>3209.6</v>
      </c>
      <c r="S21" s="75">
        <f>2356</f>
        <v>2356</v>
      </c>
      <c r="T21" s="172"/>
      <c r="U21" s="248"/>
      <c r="V21" s="248">
        <v>4325.38</v>
      </c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55"/>
      <c r="AJ21" s="76"/>
    </row>
    <row r="22" spans="1:36" ht="29.4" thickBot="1" x14ac:dyDescent="0.35">
      <c r="A22" s="144">
        <v>9035</v>
      </c>
      <c r="B22" s="116" t="s">
        <v>94</v>
      </c>
      <c r="C22" s="115">
        <v>42500</v>
      </c>
      <c r="D22" s="105"/>
      <c r="E22" s="105">
        <f t="shared" si="0"/>
        <v>42500</v>
      </c>
      <c r="F22" s="114">
        <f t="shared" si="1"/>
        <v>42500</v>
      </c>
      <c r="G22" s="114">
        <f t="shared" si="2"/>
        <v>0</v>
      </c>
      <c r="H22" s="75"/>
      <c r="I22" s="75"/>
      <c r="J22" s="75"/>
      <c r="K22" s="75">
        <v>10250</v>
      </c>
      <c r="L22" s="75">
        <v>3338</v>
      </c>
      <c r="M22" s="75">
        <v>4737</v>
      </c>
      <c r="N22" s="75">
        <v>4170</v>
      </c>
      <c r="O22" s="75">
        <v>3339</v>
      </c>
      <c r="P22" s="75">
        <v>3219</v>
      </c>
      <c r="Q22" s="75">
        <v>4105</v>
      </c>
      <c r="R22" s="248">
        <v>3280</v>
      </c>
      <c r="S22" s="75">
        <v>3335</v>
      </c>
      <c r="T22" s="172">
        <v>2727</v>
      </c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56"/>
    </row>
    <row r="23" spans="1:36" ht="15" thickBot="1" x14ac:dyDescent="0.35">
      <c r="A23" s="144">
        <v>9055</v>
      </c>
      <c r="B23" s="116" t="s">
        <v>379</v>
      </c>
      <c r="C23" s="115">
        <v>42500</v>
      </c>
      <c r="D23" s="105"/>
      <c r="E23" s="105">
        <f t="shared" si="0"/>
        <v>42500</v>
      </c>
      <c r="F23" s="114">
        <f t="shared" si="1"/>
        <v>39943.46</v>
      </c>
      <c r="G23" s="114">
        <f t="shared" si="2"/>
        <v>2556.5400000000009</v>
      </c>
      <c r="H23" s="75"/>
      <c r="I23" s="75"/>
      <c r="J23" s="75"/>
      <c r="K23" s="75">
        <v>7723</v>
      </c>
      <c r="L23" s="75">
        <v>5092</v>
      </c>
      <c r="M23" s="75">
        <v>2244</v>
      </c>
      <c r="N23" s="75">
        <v>3541</v>
      </c>
      <c r="O23" s="75">
        <v>2344</v>
      </c>
      <c r="P23" s="75">
        <v>2959</v>
      </c>
      <c r="Q23" s="75">
        <v>978</v>
      </c>
      <c r="R23" s="248">
        <v>4411</v>
      </c>
      <c r="S23" s="75">
        <v>5671</v>
      </c>
      <c r="T23" s="172">
        <v>4972.3999999999996</v>
      </c>
      <c r="U23" s="248">
        <v>8.06</v>
      </c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56"/>
    </row>
    <row r="24" spans="1:36" s="17" customFormat="1" ht="15" thickBot="1" x14ac:dyDescent="0.35">
      <c r="A24" s="177"/>
      <c r="B24" s="178"/>
      <c r="C24" s="179"/>
      <c r="D24" s="180"/>
      <c r="E24" s="180"/>
      <c r="F24" s="181"/>
      <c r="G24" s="181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251"/>
      <c r="S24" s="78"/>
      <c r="T24" s="212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78"/>
    </row>
    <row r="25" spans="1:36" s="24" customFormat="1" ht="15" thickBot="1" x14ac:dyDescent="0.35">
      <c r="A25" s="113" t="s">
        <v>48</v>
      </c>
      <c r="B25" s="20"/>
      <c r="C25" s="112">
        <f>SUM(C9:C24)</f>
        <v>524991</v>
      </c>
      <c r="D25" s="112">
        <v>0</v>
      </c>
      <c r="E25" s="121">
        <f>SUM(E9:E23)</f>
        <v>528705</v>
      </c>
      <c r="F25" s="112">
        <f>SUM(F9:F23)</f>
        <v>496650.55</v>
      </c>
      <c r="G25" s="112">
        <f t="shared" ref="G25:AJ25" si="3">SUM(G9:G24)</f>
        <v>32054.450000000004</v>
      </c>
      <c r="H25" s="112">
        <f t="shared" si="3"/>
        <v>0</v>
      </c>
      <c r="I25" s="112">
        <f t="shared" si="3"/>
        <v>0</v>
      </c>
      <c r="J25" s="112">
        <f t="shared" si="3"/>
        <v>0</v>
      </c>
      <c r="K25" s="112">
        <f t="shared" si="3"/>
        <v>49583</v>
      </c>
      <c r="L25" s="112">
        <f t="shared" si="3"/>
        <v>43700</v>
      </c>
      <c r="M25" s="112">
        <f t="shared" si="3"/>
        <v>55562</v>
      </c>
      <c r="N25" s="112">
        <f t="shared" si="3"/>
        <v>35696</v>
      </c>
      <c r="O25" s="112">
        <f t="shared" si="3"/>
        <v>30991</v>
      </c>
      <c r="P25" s="112">
        <f t="shared" si="3"/>
        <v>33264</v>
      </c>
      <c r="Q25" s="112">
        <f t="shared" si="3"/>
        <v>47762</v>
      </c>
      <c r="R25" s="252">
        <f t="shared" si="3"/>
        <v>62577.599999999999</v>
      </c>
      <c r="S25" s="112">
        <f t="shared" si="3"/>
        <v>60585</v>
      </c>
      <c r="T25" s="236">
        <f t="shared" si="3"/>
        <v>45978.86</v>
      </c>
      <c r="U25" s="252">
        <f t="shared" si="3"/>
        <v>5054.5</v>
      </c>
      <c r="V25" s="252">
        <f t="shared" si="3"/>
        <v>25896.59</v>
      </c>
      <c r="W25" s="252">
        <f t="shared" si="3"/>
        <v>0</v>
      </c>
      <c r="X25" s="252">
        <f t="shared" si="3"/>
        <v>0</v>
      </c>
      <c r="Y25" s="252">
        <f t="shared" si="3"/>
        <v>0</v>
      </c>
      <c r="Z25" s="252">
        <f t="shared" si="3"/>
        <v>0</v>
      </c>
      <c r="AA25" s="252">
        <f t="shared" si="3"/>
        <v>0</v>
      </c>
      <c r="AB25" s="252">
        <f t="shared" si="3"/>
        <v>0</v>
      </c>
      <c r="AC25" s="252">
        <f t="shared" si="3"/>
        <v>0</v>
      </c>
      <c r="AD25" s="252">
        <f t="shared" si="3"/>
        <v>0</v>
      </c>
      <c r="AE25" s="252">
        <f t="shared" si="3"/>
        <v>0</v>
      </c>
      <c r="AF25" s="252">
        <f t="shared" si="3"/>
        <v>0</v>
      </c>
      <c r="AG25" s="252">
        <f t="shared" si="3"/>
        <v>0</v>
      </c>
      <c r="AH25" s="252">
        <f t="shared" si="3"/>
        <v>0</v>
      </c>
      <c r="AI25" s="252">
        <f t="shared" si="3"/>
        <v>0</v>
      </c>
      <c r="AJ25" s="112">
        <f t="shared" si="3"/>
        <v>0</v>
      </c>
    </row>
    <row r="26" spans="1:36" x14ac:dyDescent="0.3">
      <c r="A26" s="8"/>
      <c r="B26" s="1"/>
      <c r="C26" s="46"/>
      <c r="D26" s="46"/>
      <c r="E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6"/>
      <c r="S26" s="46"/>
      <c r="T26" s="4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256"/>
    </row>
    <row r="27" spans="1:36" x14ac:dyDescent="0.3">
      <c r="A27" s="8"/>
      <c r="B27" s="1"/>
      <c r="C27" s="46"/>
      <c r="D27" s="46"/>
      <c r="E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256"/>
    </row>
    <row r="28" spans="1:36" x14ac:dyDescent="0.3">
      <c r="A28" s="8"/>
      <c r="B28" s="1"/>
      <c r="C28" s="46"/>
      <c r="D28" s="46"/>
      <c r="E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S28" s="46"/>
      <c r="T28" s="4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256"/>
    </row>
    <row r="29" spans="1:36" x14ac:dyDescent="0.3">
      <c r="C29" s="46"/>
      <c r="D29" s="46"/>
      <c r="E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256"/>
    </row>
    <row r="30" spans="1:36" x14ac:dyDescent="0.3">
      <c r="C30" s="46"/>
      <c r="D30" s="46"/>
      <c r="E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256"/>
    </row>
    <row r="31" spans="1:36" x14ac:dyDescent="0.3">
      <c r="C31" s="46"/>
      <c r="D31" s="46"/>
      <c r="E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255"/>
      <c r="AJ31" s="76"/>
    </row>
    <row r="32" spans="1:36" x14ac:dyDescent="0.3">
      <c r="C32" s="46"/>
      <c r="D32" s="46"/>
      <c r="E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256"/>
    </row>
    <row r="33" spans="3:36" x14ac:dyDescent="0.3">
      <c r="C33" s="46"/>
      <c r="D33" s="46"/>
      <c r="E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256"/>
    </row>
    <row r="34" spans="3:36" x14ac:dyDescent="0.3">
      <c r="C34" s="46"/>
      <c r="D34" s="46"/>
      <c r="E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45"/>
    </row>
    <row r="35" spans="3:36" x14ac:dyDescent="0.3">
      <c r="C35" s="46"/>
      <c r="D35" s="46"/>
      <c r="E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256"/>
      <c r="AJ35" s="30"/>
    </row>
    <row r="36" spans="3:36" x14ac:dyDescent="0.3">
      <c r="C36" s="46"/>
      <c r="D36" s="46"/>
      <c r="E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256"/>
      <c r="AJ36" s="30"/>
    </row>
    <row r="37" spans="3:36" x14ac:dyDescent="0.3">
      <c r="C37" s="46"/>
      <c r="D37" s="46"/>
      <c r="E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256"/>
      <c r="AJ37" s="30"/>
    </row>
    <row r="38" spans="3:36" x14ac:dyDescent="0.3">
      <c r="C38" s="46"/>
      <c r="D38" s="46"/>
      <c r="E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256"/>
      <c r="AJ38" s="30"/>
    </row>
    <row r="39" spans="3:36" x14ac:dyDescent="0.3">
      <c r="C39" s="46"/>
      <c r="D39" s="46"/>
      <c r="E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256"/>
      <c r="AJ39" s="30"/>
    </row>
    <row r="40" spans="3:36" x14ac:dyDescent="0.3">
      <c r="C40" s="46"/>
      <c r="D40" s="46"/>
      <c r="E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256"/>
      <c r="AJ40" s="30"/>
    </row>
    <row r="41" spans="3:36" x14ac:dyDescent="0.3">
      <c r="C41" s="46"/>
      <c r="D41" s="46"/>
      <c r="E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256"/>
      <c r="AJ41" s="30"/>
    </row>
    <row r="42" spans="3:36" x14ac:dyDescent="0.3">
      <c r="C42" s="46"/>
      <c r="D42" s="46"/>
      <c r="E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256"/>
      <c r="AJ42" s="30"/>
    </row>
    <row r="43" spans="3:36" x14ac:dyDescent="0.3">
      <c r="C43" s="46"/>
      <c r="D43" s="46"/>
      <c r="E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256"/>
      <c r="AJ43" s="30"/>
    </row>
    <row r="44" spans="3:36" x14ac:dyDescent="0.3">
      <c r="C44" s="46"/>
      <c r="D44" s="46"/>
      <c r="E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256"/>
      <c r="AJ44" s="30"/>
    </row>
    <row r="45" spans="3:36" x14ac:dyDescent="0.3">
      <c r="C45" s="46"/>
      <c r="D45" s="46"/>
      <c r="E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256"/>
      <c r="AJ45" s="30"/>
    </row>
    <row r="46" spans="3:36" x14ac:dyDescent="0.3">
      <c r="C46" s="46"/>
      <c r="D46" s="46"/>
      <c r="E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256"/>
      <c r="AJ46" s="30"/>
    </row>
    <row r="47" spans="3:36" x14ac:dyDescent="0.3">
      <c r="C47" s="46"/>
      <c r="D47" s="46"/>
      <c r="E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256"/>
      <c r="AJ47" s="30"/>
    </row>
    <row r="48" spans="3:36" x14ac:dyDescent="0.3"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256"/>
      <c r="AJ48" s="30"/>
    </row>
    <row r="49" spans="8:35" x14ac:dyDescent="0.3"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256"/>
    </row>
    <row r="50" spans="8:35" x14ac:dyDescent="0.3"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</row>
    <row r="51" spans="8:35" x14ac:dyDescent="0.3"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</row>
    <row r="52" spans="8:35" x14ac:dyDescent="0.3"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</row>
    <row r="53" spans="8:35" x14ac:dyDescent="0.3"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8:35" x14ac:dyDescent="0.3"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</row>
    <row r="55" spans="8:35" x14ac:dyDescent="0.3"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</row>
    <row r="56" spans="8:35" x14ac:dyDescent="0.3"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</row>
    <row r="57" spans="8:35" x14ac:dyDescent="0.3"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</row>
    <row r="58" spans="8:35" x14ac:dyDescent="0.3"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</row>
    <row r="59" spans="8:35" x14ac:dyDescent="0.3"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</row>
    <row r="60" spans="8:35" x14ac:dyDescent="0.3"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</row>
    <row r="61" spans="8:35" x14ac:dyDescent="0.3"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</row>
    <row r="62" spans="8:35" x14ac:dyDescent="0.3"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</row>
    <row r="63" spans="8:35" x14ac:dyDescent="0.3"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</row>
    <row r="64" spans="8:35" x14ac:dyDescent="0.3"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</row>
    <row r="65" spans="8:34" x14ac:dyDescent="0.3"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</sheetData>
  <sheetProtection password="E89A" sheet="1" objects="1" scenarios="1"/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4">
    <tabColor theme="2"/>
  </sheetPr>
  <dimension ref="A1:M49"/>
  <sheetViews>
    <sheetView topLeftCell="B1" workbookViewId="0">
      <pane xSplit="6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I24" sqref="I24"/>
    </sheetView>
  </sheetViews>
  <sheetFormatPr defaultColWidth="8.88671875" defaultRowHeight="14.4" x14ac:dyDescent="0.3"/>
  <cols>
    <col min="1" max="1" width="8.88671875" style="65"/>
    <col min="2" max="2" width="31.5546875" style="44" customWidth="1"/>
    <col min="3" max="6" width="14.6640625" style="45" customWidth="1"/>
    <col min="7" max="7" width="18.88671875" style="45" customWidth="1"/>
    <col min="8" max="10" width="15.6640625" style="44" customWidth="1"/>
    <col min="11" max="11" width="13.44140625" style="44" customWidth="1"/>
    <col min="12" max="13" width="21.33203125" style="44" customWidth="1"/>
    <col min="14" max="16384" width="8.88671875" style="44"/>
  </cols>
  <sheetData>
    <row r="1" spans="1:13" s="45" customFormat="1" ht="21" x14ac:dyDescent="0.4">
      <c r="A1" s="62" t="s">
        <v>0</v>
      </c>
      <c r="B1" s="53"/>
      <c r="C1" s="47" t="s">
        <v>158</v>
      </c>
      <c r="D1" s="47"/>
      <c r="E1" s="47"/>
      <c r="F1" s="50"/>
      <c r="G1" s="54"/>
      <c r="H1" s="48"/>
      <c r="I1" s="48"/>
      <c r="J1" s="53"/>
      <c r="K1" s="53"/>
      <c r="L1" s="47"/>
      <c r="M1" s="47"/>
    </row>
    <row r="2" spans="1:13" s="45" customFormat="1" ht="21" x14ac:dyDescent="0.4">
      <c r="A2" s="47" t="s">
        <v>171</v>
      </c>
      <c r="B2" s="53"/>
      <c r="C2" s="47" t="s">
        <v>177</v>
      </c>
      <c r="D2" s="47"/>
      <c r="E2" s="47"/>
      <c r="F2" s="50"/>
      <c r="G2" s="54"/>
      <c r="H2" s="48"/>
      <c r="I2" s="48"/>
      <c r="J2" s="53"/>
      <c r="K2" s="53"/>
      <c r="L2" s="47"/>
      <c r="M2" s="47"/>
    </row>
    <row r="3" spans="1:13" s="45" customFormat="1" ht="15.6" x14ac:dyDescent="0.3">
      <c r="A3" s="63" t="s">
        <v>1</v>
      </c>
      <c r="B3" s="53"/>
      <c r="C3" s="101" t="s">
        <v>159</v>
      </c>
      <c r="D3" s="101"/>
      <c r="E3" s="101"/>
      <c r="F3" s="50"/>
      <c r="G3" s="54"/>
      <c r="H3" s="53"/>
      <c r="I3" s="53"/>
      <c r="J3" s="53"/>
      <c r="K3" s="53"/>
      <c r="L3" s="54"/>
      <c r="M3" s="54"/>
    </row>
    <row r="4" spans="1:13" s="45" customFormat="1" ht="15.6" x14ac:dyDescent="0.3">
      <c r="A4" s="63" t="s">
        <v>2</v>
      </c>
      <c r="B4" s="53"/>
      <c r="C4" s="50" t="s">
        <v>188</v>
      </c>
      <c r="D4" s="50"/>
      <c r="E4" s="50"/>
      <c r="F4" s="50"/>
      <c r="G4" s="54"/>
      <c r="H4" s="53"/>
      <c r="I4" s="53"/>
      <c r="J4" s="53"/>
      <c r="K4" s="53"/>
      <c r="L4" s="54"/>
      <c r="M4" s="54"/>
    </row>
    <row r="5" spans="1:13" s="45" customFormat="1" ht="15.6" x14ac:dyDescent="0.3">
      <c r="A5" s="63" t="s">
        <v>18</v>
      </c>
      <c r="B5" s="53"/>
      <c r="C5" s="50" t="s">
        <v>269</v>
      </c>
      <c r="D5" s="50"/>
      <c r="E5" s="50"/>
      <c r="F5" s="50"/>
      <c r="G5" s="52"/>
      <c r="H5" s="53"/>
      <c r="I5" s="53"/>
      <c r="J5" s="53"/>
      <c r="K5" s="53"/>
      <c r="L5" s="52"/>
      <c r="M5" s="52"/>
    </row>
    <row r="6" spans="1:13" s="45" customFormat="1" ht="15.6" x14ac:dyDescent="0.3">
      <c r="A6" s="63" t="s">
        <v>19</v>
      </c>
      <c r="B6" s="53"/>
      <c r="C6" s="50" t="s">
        <v>32</v>
      </c>
      <c r="D6" s="50"/>
      <c r="E6" s="50"/>
      <c r="F6" s="50"/>
      <c r="G6" s="52"/>
      <c r="H6" s="53"/>
      <c r="I6" s="53"/>
      <c r="J6" s="53"/>
      <c r="K6" s="53"/>
      <c r="L6" s="52"/>
      <c r="M6" s="52"/>
    </row>
    <row r="7" spans="1:13" s="45" customFormat="1" ht="16.2" thickBot="1" x14ac:dyDescent="0.35">
      <c r="A7" s="63"/>
      <c r="B7" s="53"/>
      <c r="C7" s="50"/>
      <c r="D7" s="50"/>
      <c r="E7" s="50"/>
      <c r="F7" s="50"/>
      <c r="G7" s="52"/>
      <c r="H7" s="53"/>
      <c r="I7" s="53"/>
      <c r="J7" s="53"/>
      <c r="K7" s="53"/>
      <c r="L7" s="52"/>
      <c r="M7" s="52"/>
    </row>
    <row r="8" spans="1:13" ht="29.4" thickBot="1" x14ac:dyDescent="0.35">
      <c r="A8" s="11" t="s">
        <v>161</v>
      </c>
      <c r="B8" s="12" t="s">
        <v>155</v>
      </c>
      <c r="C8" s="13" t="s">
        <v>15</v>
      </c>
      <c r="D8" s="55" t="s">
        <v>124</v>
      </c>
      <c r="E8" s="55" t="s">
        <v>163</v>
      </c>
      <c r="F8" s="12" t="s">
        <v>16</v>
      </c>
      <c r="G8" s="148" t="s">
        <v>17</v>
      </c>
      <c r="H8" s="12" t="s">
        <v>68</v>
      </c>
      <c r="I8" s="12" t="s">
        <v>69</v>
      </c>
      <c r="J8" s="12" t="s">
        <v>141</v>
      </c>
      <c r="K8" s="12" t="s">
        <v>142</v>
      </c>
      <c r="L8" s="12" t="s">
        <v>183</v>
      </c>
      <c r="M8" s="12" t="s">
        <v>184</v>
      </c>
    </row>
    <row r="9" spans="1:13" s="37" customFormat="1" ht="15" thickBot="1" x14ac:dyDescent="0.35">
      <c r="A9" s="94"/>
      <c r="B9" s="95"/>
      <c r="C9" s="165"/>
      <c r="D9" s="105">
        <v>0</v>
      </c>
      <c r="E9" s="105">
        <f>C9+D9</f>
        <v>0</v>
      </c>
      <c r="F9" s="96">
        <f>H9+I9+J9+K9</f>
        <v>0</v>
      </c>
      <c r="G9" s="147">
        <f>C9-F9</f>
        <v>0</v>
      </c>
      <c r="H9" s="44"/>
      <c r="I9" s="44"/>
      <c r="J9" s="149"/>
      <c r="K9" s="149"/>
      <c r="L9" s="44"/>
      <c r="M9" s="44"/>
    </row>
    <row r="10" spans="1:13" s="37" customFormat="1" ht="15" thickBot="1" x14ac:dyDescent="0.35">
      <c r="A10" s="94"/>
      <c r="B10" s="95"/>
      <c r="C10" s="165"/>
      <c r="D10" s="105">
        <v>0</v>
      </c>
      <c r="E10" s="105">
        <f t="shared" ref="E10:E11" si="0">C10+D10</f>
        <v>0</v>
      </c>
      <c r="F10" s="96">
        <f>H10+I10+J10+K10</f>
        <v>0</v>
      </c>
      <c r="G10" s="147">
        <f>C10-F10</f>
        <v>0</v>
      </c>
      <c r="H10" s="44"/>
      <c r="I10" s="44"/>
      <c r="J10" s="149"/>
      <c r="K10" s="149"/>
      <c r="L10" s="44"/>
      <c r="M10" s="44"/>
    </row>
    <row r="11" spans="1:13" s="37" customFormat="1" ht="15" thickBot="1" x14ac:dyDescent="0.35">
      <c r="A11" s="94"/>
      <c r="B11" s="95"/>
      <c r="C11" s="165"/>
      <c r="D11" s="105">
        <v>0</v>
      </c>
      <c r="E11" s="105">
        <f t="shared" si="0"/>
        <v>0</v>
      </c>
      <c r="F11" s="96">
        <f>H11+I11+J11+K11</f>
        <v>0</v>
      </c>
      <c r="G11" s="147">
        <f>C11-F11</f>
        <v>0</v>
      </c>
      <c r="H11" s="44"/>
      <c r="I11" s="44"/>
      <c r="J11" s="149"/>
      <c r="K11" s="149"/>
      <c r="L11" s="44"/>
      <c r="M11" s="44"/>
    </row>
    <row r="12" spans="1:13" ht="15" thickBot="1" x14ac:dyDescent="0.35">
      <c r="A12" s="97"/>
      <c r="B12" s="61"/>
      <c r="C12" s="165"/>
      <c r="D12" s="96"/>
      <c r="E12" s="96"/>
      <c r="F12" s="96"/>
      <c r="G12" s="147"/>
    </row>
    <row r="13" spans="1:13" s="14" customFormat="1" ht="15" thickBot="1" x14ac:dyDescent="0.35">
      <c r="A13" s="100" t="s">
        <v>48</v>
      </c>
      <c r="B13" s="43"/>
      <c r="C13" s="89">
        <f>SUM(C9:C12)</f>
        <v>0</v>
      </c>
      <c r="D13" s="89">
        <v>0</v>
      </c>
      <c r="E13" s="89">
        <f>C13+D13</f>
        <v>0</v>
      </c>
      <c r="F13" s="89">
        <f>SUM(F9:F12)</f>
        <v>0</v>
      </c>
      <c r="G13" s="89">
        <f>SUM(G9:G12)</f>
        <v>0</v>
      </c>
      <c r="H13" s="89">
        <f>SUM(H9:H11)</f>
        <v>0</v>
      </c>
      <c r="I13" s="89">
        <f>SUM(I9:I11)</f>
        <v>0</v>
      </c>
      <c r="J13" s="89">
        <f>SUM(J9:J12)</f>
        <v>0</v>
      </c>
      <c r="K13" s="89">
        <f>SUM(K9:K12)</f>
        <v>0</v>
      </c>
      <c r="L13" s="89">
        <f t="shared" ref="L13:M13" si="1">SUM(L9:L12)</f>
        <v>0</v>
      </c>
      <c r="M13" s="89">
        <f t="shared" si="1"/>
        <v>0</v>
      </c>
    </row>
    <row r="14" spans="1:13" x14ac:dyDescent="0.3">
      <c r="C14" s="46"/>
      <c r="D14" s="46"/>
      <c r="E14" s="46"/>
      <c r="F14" s="46"/>
      <c r="G14" s="46"/>
      <c r="L14" s="76"/>
      <c r="M14" s="76"/>
    </row>
    <row r="15" spans="1:13" x14ac:dyDescent="0.3">
      <c r="C15" s="46"/>
      <c r="D15" s="46"/>
      <c r="E15" s="46"/>
      <c r="F15" s="46"/>
      <c r="G15" s="46"/>
      <c r="L15" s="76"/>
      <c r="M15" s="76"/>
    </row>
    <row r="16" spans="1:13" x14ac:dyDescent="0.3">
      <c r="C16" s="46"/>
      <c r="D16" s="46"/>
      <c r="E16" s="46"/>
      <c r="F16" s="46"/>
      <c r="G16" s="46"/>
    </row>
    <row r="17" spans="3:13" x14ac:dyDescent="0.3">
      <c r="C17" s="46"/>
      <c r="D17" s="46"/>
      <c r="E17" s="46"/>
      <c r="F17" s="46"/>
      <c r="G17" s="46"/>
    </row>
    <row r="18" spans="3:13" x14ac:dyDescent="0.3">
      <c r="C18" s="46"/>
      <c r="D18" s="46"/>
      <c r="E18" s="46"/>
      <c r="F18" s="46"/>
      <c r="G18" s="46"/>
    </row>
    <row r="19" spans="3:13" x14ac:dyDescent="0.3">
      <c r="C19" s="46"/>
      <c r="D19" s="46"/>
      <c r="E19" s="46"/>
      <c r="F19" s="46"/>
      <c r="G19" s="46"/>
      <c r="L19" s="76"/>
      <c r="M19" s="76"/>
    </row>
    <row r="20" spans="3:13" x14ac:dyDescent="0.3">
      <c r="C20" s="46"/>
      <c r="D20" s="46"/>
      <c r="E20" s="46"/>
      <c r="F20" s="46"/>
      <c r="G20" s="46"/>
    </row>
    <row r="21" spans="3:13" x14ac:dyDescent="0.3">
      <c r="C21" s="46"/>
      <c r="D21" s="46"/>
      <c r="E21" s="46"/>
      <c r="F21" s="46"/>
      <c r="G21" s="46"/>
      <c r="L21" s="76"/>
      <c r="M21" s="76"/>
    </row>
    <row r="22" spans="3:13" x14ac:dyDescent="0.3">
      <c r="C22" s="46"/>
      <c r="D22" s="46"/>
      <c r="E22" s="46"/>
      <c r="F22" s="46"/>
      <c r="G22" s="46"/>
    </row>
    <row r="23" spans="3:13" x14ac:dyDescent="0.3">
      <c r="C23" s="46"/>
      <c r="D23" s="46"/>
      <c r="E23" s="46"/>
      <c r="F23" s="46"/>
      <c r="G23" s="46"/>
    </row>
    <row r="24" spans="3:13" x14ac:dyDescent="0.3">
      <c r="C24" s="46"/>
      <c r="D24" s="46"/>
      <c r="E24" s="46"/>
      <c r="F24" s="46"/>
      <c r="G24" s="46"/>
    </row>
    <row r="25" spans="3:13" x14ac:dyDescent="0.3">
      <c r="C25" s="46"/>
      <c r="D25" s="46"/>
      <c r="E25" s="46"/>
      <c r="F25" s="46"/>
      <c r="G25" s="46"/>
      <c r="L25" s="76"/>
      <c r="M25" s="76"/>
    </row>
    <row r="26" spans="3:13" x14ac:dyDescent="0.3">
      <c r="C26" s="46"/>
      <c r="D26" s="46"/>
      <c r="E26" s="46"/>
      <c r="F26" s="46"/>
      <c r="G26" s="46"/>
      <c r="L26" s="76"/>
      <c r="M26" s="76"/>
    </row>
    <row r="27" spans="3:13" x14ac:dyDescent="0.3">
      <c r="C27" s="46"/>
      <c r="D27" s="46"/>
      <c r="E27" s="46"/>
      <c r="F27" s="46"/>
      <c r="G27" s="46"/>
    </row>
    <row r="28" spans="3:13" x14ac:dyDescent="0.3">
      <c r="C28" s="46"/>
      <c r="D28" s="46"/>
      <c r="E28" s="46"/>
      <c r="F28" s="46"/>
      <c r="G28" s="46"/>
    </row>
    <row r="29" spans="3:13" x14ac:dyDescent="0.3">
      <c r="C29" s="46"/>
      <c r="D29" s="46"/>
      <c r="E29" s="46"/>
      <c r="F29" s="46"/>
      <c r="G29" s="46"/>
    </row>
    <row r="30" spans="3:13" x14ac:dyDescent="0.3">
      <c r="C30" s="46"/>
      <c r="D30" s="46"/>
      <c r="E30" s="46"/>
      <c r="F30" s="46"/>
      <c r="G30" s="46"/>
    </row>
    <row r="31" spans="3:13" x14ac:dyDescent="0.3">
      <c r="C31" s="46"/>
      <c r="D31" s="46"/>
      <c r="E31" s="46"/>
      <c r="F31" s="46"/>
      <c r="G31" s="46"/>
    </row>
    <row r="32" spans="3:13" x14ac:dyDescent="0.3">
      <c r="C32" s="46"/>
      <c r="D32" s="46"/>
      <c r="E32" s="46"/>
      <c r="F32" s="46"/>
      <c r="G32" s="46"/>
      <c r="L32" s="76"/>
      <c r="M32" s="76"/>
    </row>
    <row r="33" spans="3:13" x14ac:dyDescent="0.3">
      <c r="C33" s="46"/>
      <c r="D33" s="46"/>
      <c r="E33" s="46"/>
      <c r="F33" s="46"/>
      <c r="G33" s="46"/>
    </row>
    <row r="34" spans="3:13" x14ac:dyDescent="0.3">
      <c r="C34" s="46"/>
      <c r="D34" s="46"/>
      <c r="E34" s="46"/>
      <c r="F34" s="46"/>
      <c r="G34" s="46"/>
    </row>
    <row r="35" spans="3:13" x14ac:dyDescent="0.3">
      <c r="C35" s="46"/>
      <c r="D35" s="46"/>
      <c r="E35" s="46"/>
      <c r="F35" s="46"/>
      <c r="G35" s="46"/>
      <c r="L35" s="45"/>
      <c r="M35" s="45"/>
    </row>
    <row r="36" spans="3:13" x14ac:dyDescent="0.3">
      <c r="F36" s="46"/>
      <c r="G36" s="46"/>
      <c r="L36" s="30"/>
      <c r="M36" s="30"/>
    </row>
    <row r="37" spans="3:13" x14ac:dyDescent="0.3">
      <c r="F37" s="46"/>
      <c r="G37" s="46"/>
      <c r="L37" s="30"/>
      <c r="M37" s="30"/>
    </row>
    <row r="38" spans="3:13" x14ac:dyDescent="0.3">
      <c r="F38" s="46"/>
      <c r="G38" s="46"/>
      <c r="L38" s="30"/>
      <c r="M38" s="30"/>
    </row>
    <row r="39" spans="3:13" x14ac:dyDescent="0.3">
      <c r="L39" s="30"/>
      <c r="M39" s="30"/>
    </row>
    <row r="40" spans="3:13" x14ac:dyDescent="0.3">
      <c r="L40" s="30"/>
      <c r="M40" s="30"/>
    </row>
    <row r="41" spans="3:13" x14ac:dyDescent="0.3">
      <c r="L41" s="30"/>
      <c r="M41" s="30"/>
    </row>
    <row r="42" spans="3:13" x14ac:dyDescent="0.3">
      <c r="L42" s="30"/>
      <c r="M42" s="30"/>
    </row>
    <row r="43" spans="3:13" x14ac:dyDescent="0.3">
      <c r="L43" s="30"/>
      <c r="M43" s="30"/>
    </row>
    <row r="44" spans="3:13" x14ac:dyDescent="0.3">
      <c r="L44" s="30"/>
      <c r="M44" s="30"/>
    </row>
    <row r="45" spans="3:13" x14ac:dyDescent="0.3">
      <c r="L45" s="30"/>
      <c r="M45" s="30"/>
    </row>
    <row r="46" spans="3:13" x14ac:dyDescent="0.3">
      <c r="L46" s="30"/>
      <c r="M46" s="30"/>
    </row>
    <row r="47" spans="3:13" x14ac:dyDescent="0.3">
      <c r="L47" s="30"/>
      <c r="M47" s="30"/>
    </row>
    <row r="48" spans="3:13" x14ac:dyDescent="0.3">
      <c r="L48" s="30"/>
      <c r="M48" s="30"/>
    </row>
    <row r="49" spans="12:13" x14ac:dyDescent="0.3">
      <c r="L49" s="30"/>
      <c r="M49" s="30"/>
    </row>
  </sheetData>
  <sheetProtection algorithmName="SHA-512" hashValue="Pqt8DozVMN68DiiO605oNhHNthG/O1yP0dt7C2zN+27qCF3xwhg13JfPfdHddxTrYtWX0m5Pjcje5rG9rFelbw==" saltValue="7TInhk3MRPBJWl7NS7VvdA==" spinCount="100000" sheet="1" objects="1" scenarios="1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8">
    <tabColor theme="2"/>
  </sheetPr>
  <dimension ref="A1:AI80"/>
  <sheetViews>
    <sheetView tabSelected="1" workbookViewId="0">
      <pane xSplit="7" ySplit="8" topLeftCell="AB18" activePane="bottomRight" state="frozen"/>
      <selection activeCell="A8" sqref="A8:XFD8"/>
      <selection pane="topRight" activeCell="A8" sqref="A8:XFD8"/>
      <selection pane="bottomLeft" activeCell="A8" sqref="A8:XFD8"/>
      <selection pane="bottomRight" activeCell="AF27" sqref="AF27"/>
    </sheetView>
  </sheetViews>
  <sheetFormatPr defaultColWidth="9.109375" defaultRowHeight="14.4" x14ac:dyDescent="0.3"/>
  <cols>
    <col min="1" max="1" width="9.109375" style="45"/>
    <col min="2" max="2" width="32.109375" style="45" customWidth="1"/>
    <col min="3" max="7" width="14.6640625" style="45" customWidth="1"/>
    <col min="8" max="31" width="12.6640625" style="45" customWidth="1"/>
    <col min="32" max="33" width="21.33203125" style="44" customWidth="1"/>
    <col min="34" max="16384" width="9.109375" style="45"/>
  </cols>
  <sheetData>
    <row r="1" spans="1:33" ht="21" x14ac:dyDescent="0.4">
      <c r="A1" s="47" t="s">
        <v>0</v>
      </c>
      <c r="B1" s="53"/>
      <c r="C1" s="48" t="s">
        <v>179</v>
      </c>
      <c r="D1" s="48"/>
      <c r="E1" s="48"/>
      <c r="F1" s="48"/>
      <c r="G1" s="48"/>
      <c r="H1" s="47"/>
      <c r="I1" s="49"/>
      <c r="J1" s="48"/>
      <c r="K1" s="53"/>
      <c r="L1" s="53"/>
      <c r="M1" s="53"/>
      <c r="N1" s="48" t="str">
        <f>$C$1</f>
        <v>Multi-Tiered System of Supports</v>
      </c>
      <c r="O1" s="53"/>
      <c r="P1" s="53"/>
      <c r="Q1" s="48"/>
      <c r="R1" s="53"/>
      <c r="S1" s="53"/>
      <c r="T1" s="48" t="str">
        <f>$C$1</f>
        <v>Multi-Tiered System of Supports</v>
      </c>
      <c r="U1" s="53"/>
      <c r="V1" s="53"/>
      <c r="W1" s="53"/>
      <c r="X1" s="53"/>
      <c r="Y1" s="53"/>
      <c r="Z1" s="53"/>
      <c r="AA1" s="48" t="str">
        <f>$C$1</f>
        <v>Multi-Tiered System of Supports</v>
      </c>
      <c r="AB1" s="53"/>
      <c r="AC1" s="53"/>
      <c r="AD1" s="53"/>
      <c r="AE1" s="53"/>
      <c r="AF1" s="47"/>
      <c r="AG1" s="47"/>
    </row>
    <row r="2" spans="1:33" ht="21" x14ac:dyDescent="0.4">
      <c r="A2" s="47" t="s">
        <v>171</v>
      </c>
      <c r="B2" s="53"/>
      <c r="C2" s="138" t="s">
        <v>178</v>
      </c>
      <c r="D2" s="138"/>
      <c r="E2" s="138"/>
      <c r="F2" s="48"/>
      <c r="G2" s="39"/>
      <c r="H2" s="50"/>
      <c r="I2" s="19"/>
      <c r="J2" s="50"/>
      <c r="K2" s="53"/>
      <c r="L2" s="53"/>
      <c r="M2" s="53"/>
      <c r="N2" s="50" t="str">
        <f>"FY"&amp;$C$4</f>
        <v>FY2018-19</v>
      </c>
      <c r="O2" s="53"/>
      <c r="P2" s="53"/>
      <c r="Q2" s="56"/>
      <c r="R2" s="53"/>
      <c r="S2" s="53"/>
      <c r="T2" s="50" t="str">
        <f>"FY"&amp;$C$4</f>
        <v>FY2018-19</v>
      </c>
      <c r="U2" s="53"/>
      <c r="V2" s="53"/>
      <c r="W2" s="53"/>
      <c r="X2" s="53"/>
      <c r="Y2" s="53"/>
      <c r="Z2" s="53"/>
      <c r="AA2" s="50" t="str">
        <f>"FY"&amp;$C$4</f>
        <v>FY2018-19</v>
      </c>
      <c r="AB2" s="53"/>
      <c r="AC2" s="53"/>
      <c r="AD2" s="53"/>
      <c r="AE2" s="53"/>
      <c r="AF2" s="47"/>
      <c r="AG2" s="47"/>
    </row>
    <row r="3" spans="1:33" ht="15.9" customHeight="1" x14ac:dyDescent="0.4">
      <c r="A3" s="50" t="s">
        <v>1</v>
      </c>
      <c r="B3" s="53"/>
      <c r="C3" s="51">
        <v>5323</v>
      </c>
      <c r="D3" s="51"/>
      <c r="E3" s="51"/>
      <c r="F3" s="48"/>
      <c r="G3" s="51"/>
      <c r="H3" s="50"/>
      <c r="I3" s="19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4"/>
    </row>
    <row r="4" spans="1:33" ht="15.9" customHeight="1" x14ac:dyDescent="0.4">
      <c r="A4" s="50" t="s">
        <v>2</v>
      </c>
      <c r="B4" s="53"/>
      <c r="C4" s="51" t="s">
        <v>188</v>
      </c>
      <c r="D4" s="51"/>
      <c r="E4" s="51"/>
      <c r="F4" s="48"/>
      <c r="G4" s="51"/>
      <c r="H4" s="50"/>
      <c r="I4" s="19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4"/>
      <c r="AG4" s="54"/>
    </row>
    <row r="5" spans="1:33" ht="15.9" customHeight="1" x14ac:dyDescent="0.4">
      <c r="A5" s="50" t="s">
        <v>18</v>
      </c>
      <c r="B5" s="53"/>
      <c r="C5" s="63" t="s">
        <v>508</v>
      </c>
      <c r="D5" s="50"/>
      <c r="E5" s="50"/>
      <c r="F5" s="48"/>
      <c r="G5" s="50"/>
      <c r="H5" s="19"/>
      <c r="I5" s="19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2"/>
      <c r="AG5" s="52"/>
    </row>
    <row r="6" spans="1:33" ht="15.9" customHeight="1" x14ac:dyDescent="0.4">
      <c r="A6" s="50" t="s">
        <v>19</v>
      </c>
      <c r="B6" s="53"/>
      <c r="C6" s="50" t="s">
        <v>511</v>
      </c>
      <c r="D6" s="50"/>
      <c r="E6" s="50"/>
      <c r="F6" s="48"/>
      <c r="G6" s="50"/>
      <c r="H6" s="19"/>
      <c r="I6" s="19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2"/>
      <c r="AG6" s="52"/>
    </row>
    <row r="7" spans="1:33" ht="15" thickBot="1" x14ac:dyDescent="0.3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2"/>
      <c r="AG7" s="52"/>
    </row>
    <row r="8" spans="1:33" ht="34.5" customHeight="1" thickBot="1" x14ac:dyDescent="0.35">
      <c r="A8" s="55" t="s">
        <v>161</v>
      </c>
      <c r="B8" s="27" t="s">
        <v>45</v>
      </c>
      <c r="C8" s="27" t="s">
        <v>15</v>
      </c>
      <c r="D8" s="27" t="s">
        <v>124</v>
      </c>
      <c r="E8" s="55" t="s">
        <v>163</v>
      </c>
      <c r="F8" s="55" t="s">
        <v>16</v>
      </c>
      <c r="G8" s="60" t="s">
        <v>17</v>
      </c>
      <c r="H8" s="231" t="s">
        <v>141</v>
      </c>
      <c r="I8" s="232" t="s">
        <v>142</v>
      </c>
      <c r="J8" s="231" t="s">
        <v>152</v>
      </c>
      <c r="K8" s="232" t="s">
        <v>143</v>
      </c>
      <c r="L8" s="231" t="s">
        <v>144</v>
      </c>
      <c r="M8" s="232" t="s">
        <v>145</v>
      </c>
      <c r="N8" s="231" t="s">
        <v>146</v>
      </c>
      <c r="O8" s="232" t="s">
        <v>147</v>
      </c>
      <c r="P8" s="231" t="s">
        <v>148</v>
      </c>
      <c r="Q8" s="232" t="s">
        <v>149</v>
      </c>
      <c r="R8" s="231" t="s">
        <v>150</v>
      </c>
      <c r="S8" s="232" t="s">
        <v>151</v>
      </c>
      <c r="T8" s="232" t="s">
        <v>189</v>
      </c>
      <c r="U8" s="232" t="s">
        <v>190</v>
      </c>
      <c r="V8" s="232" t="s">
        <v>153</v>
      </c>
      <c r="W8" s="232" t="s">
        <v>270</v>
      </c>
      <c r="X8" s="232" t="s">
        <v>271</v>
      </c>
      <c r="Y8" s="232" t="s">
        <v>272</v>
      </c>
      <c r="Z8" s="232" t="s">
        <v>273</v>
      </c>
      <c r="AA8" s="232" t="s">
        <v>274</v>
      </c>
      <c r="AB8" s="232" t="s">
        <v>275</v>
      </c>
      <c r="AC8" s="232" t="s">
        <v>276</v>
      </c>
      <c r="AD8" s="232" t="s">
        <v>277</v>
      </c>
      <c r="AE8" s="232" t="s">
        <v>278</v>
      </c>
      <c r="AF8" s="232" t="s">
        <v>183</v>
      </c>
      <c r="AG8" s="232" t="s">
        <v>184</v>
      </c>
    </row>
    <row r="9" spans="1:33" ht="15" thickBot="1" x14ac:dyDescent="0.35">
      <c r="A9" s="94" t="s">
        <v>3</v>
      </c>
      <c r="B9" s="95" t="s">
        <v>84</v>
      </c>
      <c r="C9" s="105">
        <v>12096</v>
      </c>
      <c r="D9" s="205">
        <v>16021</v>
      </c>
      <c r="E9" s="105">
        <v>28117</v>
      </c>
      <c r="F9" s="114">
        <f t="shared" ref="F9:F41" si="0">SUM(H9:AE9)</f>
        <v>0</v>
      </c>
      <c r="G9" s="237">
        <f t="shared" ref="G9:G41" si="1">E9-F9</f>
        <v>28117</v>
      </c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9"/>
      <c r="AG9" s="239"/>
    </row>
    <row r="10" spans="1:33" ht="15" thickBot="1" x14ac:dyDescent="0.35">
      <c r="A10" s="94" t="s">
        <v>326</v>
      </c>
      <c r="B10" s="95" t="s">
        <v>390</v>
      </c>
      <c r="C10" s="105">
        <v>14728</v>
      </c>
      <c r="D10" s="205">
        <v>5000</v>
      </c>
      <c r="E10" s="105">
        <f>C10+D10</f>
        <v>19728</v>
      </c>
      <c r="F10" s="114">
        <f t="shared" si="0"/>
        <v>8916</v>
      </c>
      <c r="G10" s="237">
        <f>E10-F10</f>
        <v>10812</v>
      </c>
      <c r="H10" s="238"/>
      <c r="I10" s="238"/>
      <c r="J10" s="238"/>
      <c r="K10" s="238"/>
      <c r="L10" s="238"/>
      <c r="M10" s="238"/>
      <c r="N10" s="238">
        <v>4851</v>
      </c>
      <c r="O10" s="238"/>
      <c r="P10" s="238"/>
      <c r="Q10" s="238">
        <v>4065</v>
      </c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9"/>
      <c r="AG10" s="239"/>
    </row>
    <row r="11" spans="1:33" ht="15" thickBot="1" x14ac:dyDescent="0.35">
      <c r="A11" s="94" t="s">
        <v>4</v>
      </c>
      <c r="B11" s="95" t="s">
        <v>100</v>
      </c>
      <c r="C11" s="105">
        <v>20560</v>
      </c>
      <c r="D11" s="205">
        <v>20395</v>
      </c>
      <c r="E11" s="105">
        <v>40955</v>
      </c>
      <c r="F11" s="114">
        <f t="shared" si="0"/>
        <v>4526</v>
      </c>
      <c r="G11" s="237">
        <f t="shared" si="1"/>
        <v>36429</v>
      </c>
      <c r="H11" s="238"/>
      <c r="I11" s="238"/>
      <c r="J11" s="238"/>
      <c r="K11" s="238"/>
      <c r="L11" s="238"/>
      <c r="M11" s="238"/>
      <c r="N11" s="238"/>
      <c r="O11" s="238">
        <v>1671</v>
      </c>
      <c r="P11" s="238">
        <v>2855</v>
      </c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9"/>
      <c r="AG11" s="239"/>
    </row>
    <row r="12" spans="1:33" ht="29.4" thickBot="1" x14ac:dyDescent="0.35">
      <c r="A12" s="94" t="s">
        <v>386</v>
      </c>
      <c r="B12" s="95" t="s">
        <v>391</v>
      </c>
      <c r="C12" s="105">
        <v>8066</v>
      </c>
      <c r="D12" s="205">
        <v>5000</v>
      </c>
      <c r="E12" s="105">
        <v>13066</v>
      </c>
      <c r="F12" s="114">
        <f t="shared" si="0"/>
        <v>8066</v>
      </c>
      <c r="G12" s="237">
        <f t="shared" si="1"/>
        <v>5000</v>
      </c>
      <c r="H12" s="238"/>
      <c r="I12" s="238"/>
      <c r="J12" s="238"/>
      <c r="K12" s="238"/>
      <c r="L12" s="238"/>
      <c r="M12" s="238"/>
      <c r="N12" s="238"/>
      <c r="O12" s="238"/>
      <c r="P12" s="238">
        <v>8066</v>
      </c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9"/>
      <c r="AG12" s="239"/>
    </row>
    <row r="13" spans="1:33" ht="29.4" thickBot="1" x14ac:dyDescent="0.35">
      <c r="A13" s="94" t="s">
        <v>39</v>
      </c>
      <c r="B13" s="95" t="s">
        <v>392</v>
      </c>
      <c r="C13" s="105">
        <v>18244</v>
      </c>
      <c r="D13" s="205">
        <v>15748</v>
      </c>
      <c r="E13" s="105">
        <v>33992</v>
      </c>
      <c r="F13" s="114">
        <f t="shared" si="0"/>
        <v>0</v>
      </c>
      <c r="G13" s="237">
        <f t="shared" si="1"/>
        <v>33992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9"/>
      <c r="AG13" s="239"/>
    </row>
    <row r="14" spans="1:33" ht="15" thickBot="1" x14ac:dyDescent="0.35">
      <c r="A14" s="94" t="s">
        <v>496</v>
      </c>
      <c r="B14" s="95" t="s">
        <v>497</v>
      </c>
      <c r="C14" s="105">
        <v>7552</v>
      </c>
      <c r="D14" s="205">
        <v>5000</v>
      </c>
      <c r="E14" s="105">
        <v>12552</v>
      </c>
      <c r="F14" s="114">
        <f t="shared" si="0"/>
        <v>0</v>
      </c>
      <c r="G14" s="237">
        <f t="shared" si="1"/>
        <v>12552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9"/>
      <c r="AG14" s="239"/>
    </row>
    <row r="15" spans="1:33" ht="15" thickBot="1" x14ac:dyDescent="0.35">
      <c r="A15" s="94" t="s">
        <v>97</v>
      </c>
      <c r="B15" s="95" t="s">
        <v>98</v>
      </c>
      <c r="C15" s="105">
        <v>32304</v>
      </c>
      <c r="D15" s="205">
        <v>26971</v>
      </c>
      <c r="E15" s="105">
        <v>59275</v>
      </c>
      <c r="F15" s="114">
        <f t="shared" si="0"/>
        <v>23443</v>
      </c>
      <c r="G15" s="237">
        <f t="shared" si="1"/>
        <v>35832</v>
      </c>
      <c r="H15" s="238"/>
      <c r="I15" s="238"/>
      <c r="J15" s="238"/>
      <c r="K15" s="238">
        <v>7689</v>
      </c>
      <c r="L15" s="238">
        <v>961</v>
      </c>
      <c r="M15" s="238"/>
      <c r="N15" s="238">
        <v>4490</v>
      </c>
      <c r="O15" s="238"/>
      <c r="P15" s="238">
        <v>8649</v>
      </c>
      <c r="Q15" s="238">
        <v>1654</v>
      </c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</row>
    <row r="16" spans="1:33" ht="15" thickBot="1" x14ac:dyDescent="0.35">
      <c r="A16" s="94" t="s">
        <v>102</v>
      </c>
      <c r="B16" s="95" t="s">
        <v>138</v>
      </c>
      <c r="C16" s="105">
        <v>17093</v>
      </c>
      <c r="D16" s="205">
        <v>15779</v>
      </c>
      <c r="E16" s="105">
        <v>32872</v>
      </c>
      <c r="F16" s="114">
        <f t="shared" si="0"/>
        <v>715</v>
      </c>
      <c r="G16" s="237">
        <f t="shared" si="1"/>
        <v>32157</v>
      </c>
      <c r="H16" s="238"/>
      <c r="I16" s="238"/>
      <c r="J16" s="238">
        <v>715</v>
      </c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</row>
    <row r="17" spans="1:33" ht="15" thickBot="1" x14ac:dyDescent="0.35">
      <c r="A17" s="94" t="s">
        <v>78</v>
      </c>
      <c r="B17" s="95" t="s">
        <v>283</v>
      </c>
      <c r="C17" s="105">
        <v>21419</v>
      </c>
      <c r="D17" s="205">
        <v>17836</v>
      </c>
      <c r="E17" s="105">
        <v>39255</v>
      </c>
      <c r="F17" s="114">
        <f t="shared" si="0"/>
        <v>9651</v>
      </c>
      <c r="G17" s="237">
        <f t="shared" si="1"/>
        <v>29604</v>
      </c>
      <c r="H17" s="238"/>
      <c r="I17" s="238"/>
      <c r="J17" s="238"/>
      <c r="K17" s="238"/>
      <c r="L17" s="238">
        <v>1082</v>
      </c>
      <c r="M17" s="238">
        <v>452</v>
      </c>
      <c r="N17" s="238">
        <v>6693</v>
      </c>
      <c r="O17" s="241">
        <f>410</f>
        <v>410</v>
      </c>
      <c r="P17" s="238">
        <v>1014</v>
      </c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9"/>
      <c r="AG17" s="239"/>
    </row>
    <row r="18" spans="1:33" ht="15" thickBot="1" x14ac:dyDescent="0.35">
      <c r="A18" s="94" t="s">
        <v>131</v>
      </c>
      <c r="B18" s="95" t="s">
        <v>393</v>
      </c>
      <c r="C18" s="105">
        <v>11691</v>
      </c>
      <c r="D18" s="205">
        <v>16323</v>
      </c>
      <c r="E18" s="105">
        <v>28014</v>
      </c>
      <c r="F18" s="114">
        <f t="shared" si="0"/>
        <v>11691</v>
      </c>
      <c r="G18" s="237">
        <f t="shared" si="1"/>
        <v>16323</v>
      </c>
      <c r="H18" s="238"/>
      <c r="I18" s="238"/>
      <c r="J18" s="238">
        <v>11691</v>
      </c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9"/>
      <c r="AG18" s="239"/>
    </row>
    <row r="19" spans="1:33" ht="15" thickBot="1" x14ac:dyDescent="0.35">
      <c r="A19" s="94" t="s">
        <v>132</v>
      </c>
      <c r="B19" s="95" t="s">
        <v>394</v>
      </c>
      <c r="C19" s="105">
        <v>11199</v>
      </c>
      <c r="D19" s="205">
        <v>14750</v>
      </c>
      <c r="E19" s="105">
        <f>C19+D19</f>
        <v>25949</v>
      </c>
      <c r="F19" s="114">
        <f t="shared" si="0"/>
        <v>11199</v>
      </c>
      <c r="G19" s="237">
        <f t="shared" si="1"/>
        <v>14750</v>
      </c>
      <c r="H19" s="238"/>
      <c r="I19" s="238"/>
      <c r="J19" s="238"/>
      <c r="K19" s="238"/>
      <c r="L19" s="238"/>
      <c r="M19" s="238"/>
      <c r="N19" s="238"/>
      <c r="O19" s="238">
        <v>11199</v>
      </c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9"/>
      <c r="AG19" s="239"/>
    </row>
    <row r="20" spans="1:33" ht="15" thickBot="1" x14ac:dyDescent="0.35">
      <c r="A20" s="94" t="s">
        <v>130</v>
      </c>
      <c r="B20" s="95" t="s">
        <v>139</v>
      </c>
      <c r="C20" s="105">
        <v>13973</v>
      </c>
      <c r="D20" s="205">
        <v>14473</v>
      </c>
      <c r="E20" s="105">
        <v>28446</v>
      </c>
      <c r="F20" s="114">
        <f t="shared" si="0"/>
        <v>0</v>
      </c>
      <c r="G20" s="237">
        <f t="shared" si="1"/>
        <v>28446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</row>
    <row r="21" spans="1:33" ht="29.4" thickBot="1" x14ac:dyDescent="0.35">
      <c r="A21" s="94" t="s">
        <v>54</v>
      </c>
      <c r="B21" s="95" t="s">
        <v>395</v>
      </c>
      <c r="C21" s="105">
        <v>10261</v>
      </c>
      <c r="D21" s="205">
        <v>15969</v>
      </c>
      <c r="E21" s="105">
        <v>26230</v>
      </c>
      <c r="F21" s="114">
        <f t="shared" si="0"/>
        <v>0</v>
      </c>
      <c r="G21" s="237">
        <f t="shared" si="1"/>
        <v>26230</v>
      </c>
      <c r="H21" s="238"/>
      <c r="I21" s="238"/>
      <c r="J21" s="238"/>
      <c r="K21" s="238"/>
      <c r="L21" s="238"/>
      <c r="M21" s="238"/>
      <c r="N21" s="238"/>
      <c r="O21" s="238"/>
      <c r="P21" s="238"/>
      <c r="Q21" s="240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9"/>
      <c r="AG21" s="239"/>
    </row>
    <row r="22" spans="1:33" ht="15" thickBot="1" x14ac:dyDescent="0.35">
      <c r="A22" s="94" t="s">
        <v>41</v>
      </c>
      <c r="B22" s="95" t="s">
        <v>90</v>
      </c>
      <c r="C22" s="105">
        <v>14961</v>
      </c>
      <c r="D22" s="205">
        <v>14229</v>
      </c>
      <c r="E22" s="105">
        <v>29190</v>
      </c>
      <c r="F22" s="114">
        <f t="shared" si="0"/>
        <v>1346.4</v>
      </c>
      <c r="G22" s="237">
        <f t="shared" si="1"/>
        <v>27843.599999999999</v>
      </c>
      <c r="H22" s="238"/>
      <c r="I22" s="238"/>
      <c r="J22" s="238">
        <v>440</v>
      </c>
      <c r="K22" s="238">
        <v>117</v>
      </c>
      <c r="L22" s="238"/>
      <c r="M22" s="238">
        <v>440</v>
      </c>
      <c r="N22" s="238"/>
      <c r="O22" s="238"/>
      <c r="P22" s="238"/>
      <c r="Q22" s="238">
        <v>349.4</v>
      </c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</row>
    <row r="23" spans="1:33" ht="29.4" thickBot="1" x14ac:dyDescent="0.35">
      <c r="A23" s="94" t="s">
        <v>288</v>
      </c>
      <c r="B23" s="95" t="s">
        <v>306</v>
      </c>
      <c r="C23" s="105">
        <v>7198</v>
      </c>
      <c r="D23" s="205">
        <v>5000</v>
      </c>
      <c r="E23" s="105">
        <v>12198</v>
      </c>
      <c r="F23" s="114">
        <f t="shared" si="0"/>
        <v>12198</v>
      </c>
      <c r="G23" s="237">
        <f t="shared" si="1"/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238">
        <f>5000+7198</f>
        <v>12198</v>
      </c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9"/>
      <c r="AG23" s="239"/>
    </row>
    <row r="24" spans="1:33" ht="29.4" thickBot="1" x14ac:dyDescent="0.35">
      <c r="A24" s="94" t="s">
        <v>91</v>
      </c>
      <c r="B24" s="95" t="s">
        <v>92</v>
      </c>
      <c r="C24" s="105">
        <v>17954</v>
      </c>
      <c r="D24" s="205">
        <v>19911</v>
      </c>
      <c r="E24" s="105">
        <v>37865</v>
      </c>
      <c r="F24" s="114">
        <f>SUM(H24:AE24)</f>
        <v>9733.18</v>
      </c>
      <c r="G24" s="237">
        <f t="shared" si="1"/>
        <v>28131.82</v>
      </c>
      <c r="H24" s="238"/>
      <c r="I24" s="238"/>
      <c r="J24" s="238"/>
      <c r="K24" s="238"/>
      <c r="L24" s="238"/>
      <c r="M24" s="238"/>
      <c r="N24" s="238">
        <v>732</v>
      </c>
      <c r="O24" s="238">
        <v>1406</v>
      </c>
      <c r="P24" s="238"/>
      <c r="Q24" s="240"/>
      <c r="R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>
        <f>(5456.89+2138.29)</f>
        <v>7595.18</v>
      </c>
      <c r="AF24" s="239"/>
      <c r="AG24" s="239"/>
    </row>
    <row r="25" spans="1:33" ht="15" thickBot="1" x14ac:dyDescent="0.35">
      <c r="A25" s="94" t="s">
        <v>467</v>
      </c>
      <c r="B25" s="95" t="s">
        <v>468</v>
      </c>
      <c r="C25" s="105">
        <v>7552</v>
      </c>
      <c r="D25" s="205">
        <v>5000</v>
      </c>
      <c r="E25" s="105">
        <v>12552</v>
      </c>
      <c r="F25" s="114">
        <f t="shared" si="0"/>
        <v>0</v>
      </c>
      <c r="G25" s="237">
        <f t="shared" si="1"/>
        <v>12552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9"/>
      <c r="AG25" s="239"/>
    </row>
    <row r="26" spans="1:33" ht="15" thickBot="1" x14ac:dyDescent="0.35">
      <c r="A26" s="94" t="s">
        <v>125</v>
      </c>
      <c r="B26" s="95" t="s">
        <v>396</v>
      </c>
      <c r="C26" s="114">
        <v>9876</v>
      </c>
      <c r="D26" s="205">
        <v>5000</v>
      </c>
      <c r="E26" s="105">
        <v>14876</v>
      </c>
      <c r="F26" s="114">
        <f t="shared" si="0"/>
        <v>0</v>
      </c>
      <c r="G26" s="237">
        <f t="shared" si="1"/>
        <v>14876</v>
      </c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9"/>
      <c r="AG26" s="239"/>
    </row>
    <row r="27" spans="1:33" ht="15" thickBot="1" x14ac:dyDescent="0.35">
      <c r="A27" s="94" t="s">
        <v>121</v>
      </c>
      <c r="B27" s="95" t="s">
        <v>397</v>
      </c>
      <c r="C27" s="114">
        <v>11672</v>
      </c>
      <c r="D27" s="205">
        <v>16133</v>
      </c>
      <c r="E27" s="105">
        <v>27805</v>
      </c>
      <c r="F27" s="114">
        <f t="shared" si="0"/>
        <v>0</v>
      </c>
      <c r="G27" s="237">
        <f t="shared" si="1"/>
        <v>27805</v>
      </c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</row>
    <row r="28" spans="1:33" ht="15" thickBot="1" x14ac:dyDescent="0.35">
      <c r="A28" s="94" t="s">
        <v>133</v>
      </c>
      <c r="B28" s="95" t="s">
        <v>398</v>
      </c>
      <c r="C28" s="114">
        <v>12135</v>
      </c>
      <c r="D28" s="205">
        <v>14103</v>
      </c>
      <c r="E28" s="105">
        <v>26238</v>
      </c>
      <c r="F28" s="114">
        <f t="shared" si="0"/>
        <v>2167</v>
      </c>
      <c r="G28" s="237">
        <f t="shared" si="1"/>
        <v>24071</v>
      </c>
      <c r="H28" s="238"/>
      <c r="I28" s="238"/>
      <c r="J28" s="238"/>
      <c r="K28" s="238"/>
      <c r="L28" s="238"/>
      <c r="M28" s="238"/>
      <c r="N28" s="238"/>
      <c r="O28" s="238">
        <f>398+1769</f>
        <v>2167</v>
      </c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</row>
    <row r="29" spans="1:33" ht="15" thickBot="1" x14ac:dyDescent="0.35">
      <c r="A29" s="94" t="s">
        <v>387</v>
      </c>
      <c r="B29" s="95" t="s">
        <v>399</v>
      </c>
      <c r="C29" s="114">
        <v>7977</v>
      </c>
      <c r="D29" s="205">
        <v>5000</v>
      </c>
      <c r="E29" s="105">
        <v>12977</v>
      </c>
      <c r="F29" s="114">
        <f t="shared" si="0"/>
        <v>7977</v>
      </c>
      <c r="G29" s="237">
        <f t="shared" si="1"/>
        <v>5000</v>
      </c>
      <c r="H29" s="238"/>
      <c r="I29" s="238"/>
      <c r="J29" s="238"/>
      <c r="K29" s="238"/>
      <c r="L29" s="238"/>
      <c r="M29" s="238"/>
      <c r="N29" s="238"/>
      <c r="O29" s="238"/>
      <c r="P29" s="238">
        <v>7977</v>
      </c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9"/>
      <c r="AG29" s="239"/>
    </row>
    <row r="30" spans="1:33" ht="15" thickBot="1" x14ac:dyDescent="0.35">
      <c r="A30" s="94" t="s">
        <v>134</v>
      </c>
      <c r="B30" s="95" t="s">
        <v>400</v>
      </c>
      <c r="C30" s="114">
        <v>10267</v>
      </c>
      <c r="D30" s="205">
        <v>13905</v>
      </c>
      <c r="E30" s="105">
        <v>24172</v>
      </c>
      <c r="F30" s="114">
        <f t="shared" si="0"/>
        <v>0</v>
      </c>
      <c r="G30" s="237">
        <f t="shared" si="1"/>
        <v>24172</v>
      </c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9"/>
      <c r="AG30" s="239"/>
    </row>
    <row r="31" spans="1:33" ht="29.4" thickBot="1" x14ac:dyDescent="0.35">
      <c r="A31" s="94" t="s">
        <v>388</v>
      </c>
      <c r="B31" s="95" t="s">
        <v>401</v>
      </c>
      <c r="C31" s="114">
        <v>8864</v>
      </c>
      <c r="D31" s="205">
        <v>5000</v>
      </c>
      <c r="E31" s="105">
        <v>13864</v>
      </c>
      <c r="F31" s="114">
        <f t="shared" si="0"/>
        <v>0</v>
      </c>
      <c r="G31" s="237">
        <f t="shared" si="1"/>
        <v>13864</v>
      </c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9"/>
      <c r="AG31" s="239"/>
    </row>
    <row r="32" spans="1:33" ht="15" thickBot="1" x14ac:dyDescent="0.35">
      <c r="A32" s="94" t="s">
        <v>135</v>
      </c>
      <c r="B32" s="95" t="s">
        <v>402</v>
      </c>
      <c r="C32" s="114">
        <v>11900</v>
      </c>
      <c r="D32" s="205">
        <v>13047</v>
      </c>
      <c r="E32" s="105">
        <v>24947</v>
      </c>
      <c r="F32" s="114">
        <f t="shared" si="0"/>
        <v>11900</v>
      </c>
      <c r="G32" s="237">
        <f t="shared" si="1"/>
        <v>13047</v>
      </c>
      <c r="H32" s="238"/>
      <c r="I32" s="238"/>
      <c r="J32" s="238">
        <v>7850</v>
      </c>
      <c r="K32" s="238"/>
      <c r="L32" s="238">
        <f>1375+1375</f>
        <v>2750</v>
      </c>
      <c r="M32" s="238">
        <v>1300</v>
      </c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9"/>
      <c r="AG32" s="239"/>
    </row>
    <row r="33" spans="1:35" ht="15" thickBot="1" x14ac:dyDescent="0.35">
      <c r="A33" s="106" t="s">
        <v>389</v>
      </c>
      <c r="B33" s="28" t="s">
        <v>403</v>
      </c>
      <c r="C33" s="114">
        <v>9861</v>
      </c>
      <c r="D33" s="205">
        <v>5000</v>
      </c>
      <c r="E33" s="114">
        <v>14861</v>
      </c>
      <c r="F33" s="114">
        <f t="shared" si="0"/>
        <v>2567</v>
      </c>
      <c r="G33" s="237">
        <f t="shared" si="1"/>
        <v>12294</v>
      </c>
      <c r="H33" s="242"/>
      <c r="I33" s="242"/>
      <c r="J33" s="238">
        <v>2567</v>
      </c>
      <c r="K33" s="242"/>
      <c r="L33" s="242"/>
      <c r="M33" s="242"/>
      <c r="N33" s="242"/>
      <c r="O33" s="242"/>
      <c r="P33" s="242">
        <f>N33-O33</f>
        <v>0</v>
      </c>
      <c r="Q33" s="242">
        <f>O33-P33</f>
        <v>0</v>
      </c>
      <c r="R33" s="242"/>
      <c r="S33" s="242"/>
      <c r="T33" s="242"/>
      <c r="U33" s="242"/>
      <c r="V33" s="242"/>
      <c r="W33" s="242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44"/>
      <c r="AI33" s="44"/>
    </row>
    <row r="34" spans="1:35" s="24" customFormat="1" ht="15" thickBot="1" x14ac:dyDescent="0.35">
      <c r="A34" s="106" t="s">
        <v>136</v>
      </c>
      <c r="B34" s="28" t="s">
        <v>404</v>
      </c>
      <c r="C34" s="114">
        <v>13958</v>
      </c>
      <c r="D34" s="205">
        <v>14521</v>
      </c>
      <c r="E34" s="114">
        <v>28479</v>
      </c>
      <c r="F34" s="114">
        <f t="shared" si="0"/>
        <v>0</v>
      </c>
      <c r="G34" s="237">
        <f t="shared" si="1"/>
        <v>28479</v>
      </c>
      <c r="H34" s="238">
        <f>SUM(H9:H32)</f>
        <v>0</v>
      </c>
      <c r="I34" s="238">
        <f>SUM(I9:I32)</f>
        <v>0</v>
      </c>
      <c r="J34" s="238"/>
      <c r="K34" s="238"/>
      <c r="L34" s="238"/>
      <c r="M34" s="238"/>
      <c r="N34" s="238"/>
      <c r="O34" s="238"/>
      <c r="P34" s="238"/>
      <c r="Q34" s="238"/>
      <c r="R34" s="238">
        <f t="shared" ref="R34:W34" si="2">SUM(R9:R32)</f>
        <v>0</v>
      </c>
      <c r="S34" s="238">
        <f t="shared" si="2"/>
        <v>0</v>
      </c>
      <c r="T34" s="238">
        <f t="shared" si="2"/>
        <v>0</v>
      </c>
      <c r="U34" s="238">
        <f t="shared" si="2"/>
        <v>0</v>
      </c>
      <c r="V34" s="238">
        <f t="shared" si="2"/>
        <v>0</v>
      </c>
      <c r="W34" s="238">
        <f t="shared" si="2"/>
        <v>0</v>
      </c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44"/>
      <c r="AI34" s="44"/>
    </row>
    <row r="35" spans="1:35" ht="15" thickBot="1" x14ac:dyDescent="0.35">
      <c r="A35" s="106" t="s">
        <v>28</v>
      </c>
      <c r="B35" s="28" t="s">
        <v>93</v>
      </c>
      <c r="C35" s="114">
        <v>15870</v>
      </c>
      <c r="D35" s="205">
        <v>5000</v>
      </c>
      <c r="E35" s="114">
        <v>20870</v>
      </c>
      <c r="F35" s="114">
        <f t="shared" si="0"/>
        <v>0</v>
      </c>
      <c r="G35" s="237">
        <f t="shared" si="1"/>
        <v>20870</v>
      </c>
      <c r="H35" s="243"/>
      <c r="I35" s="243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38"/>
      <c r="AF35" s="238"/>
      <c r="AG35" s="238"/>
      <c r="AH35" s="44"/>
      <c r="AI35" s="44"/>
    </row>
    <row r="36" spans="1:35" ht="15" thickBot="1" x14ac:dyDescent="0.35">
      <c r="A36" s="106" t="s">
        <v>137</v>
      </c>
      <c r="B36" s="28" t="s">
        <v>140</v>
      </c>
      <c r="C36" s="114">
        <v>12056</v>
      </c>
      <c r="D36" s="205">
        <v>14074</v>
      </c>
      <c r="E36" s="114">
        <v>26130</v>
      </c>
      <c r="F36" s="114">
        <f t="shared" si="0"/>
        <v>0</v>
      </c>
      <c r="G36" s="237">
        <f t="shared" si="1"/>
        <v>26130</v>
      </c>
      <c r="H36" s="240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38"/>
      <c r="AG36" s="238"/>
    </row>
    <row r="37" spans="1:35" ht="15" thickBot="1" x14ac:dyDescent="0.35">
      <c r="A37" s="106" t="s">
        <v>56</v>
      </c>
      <c r="B37" s="28" t="s">
        <v>230</v>
      </c>
      <c r="C37" s="114">
        <v>12931</v>
      </c>
      <c r="D37" s="205">
        <v>14169</v>
      </c>
      <c r="E37" s="114">
        <v>27100</v>
      </c>
      <c r="F37" s="114">
        <f t="shared" si="0"/>
        <v>5554</v>
      </c>
      <c r="G37" s="237">
        <f t="shared" si="1"/>
        <v>21546</v>
      </c>
      <c r="H37" s="240"/>
      <c r="I37" s="244"/>
      <c r="J37" s="244"/>
      <c r="K37" s="244">
        <v>32</v>
      </c>
      <c r="L37" s="244"/>
      <c r="M37" s="244"/>
      <c r="N37" s="244"/>
      <c r="O37" s="240"/>
      <c r="P37" s="244">
        <v>2926</v>
      </c>
      <c r="Q37" s="244">
        <v>2596</v>
      </c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39"/>
      <c r="AG37" s="239"/>
    </row>
    <row r="38" spans="1:35" ht="15" thickBot="1" x14ac:dyDescent="0.35">
      <c r="A38" s="106" t="s">
        <v>71</v>
      </c>
      <c r="B38" s="28" t="s">
        <v>405</v>
      </c>
      <c r="C38" s="114">
        <v>13326</v>
      </c>
      <c r="D38" s="205">
        <v>15696</v>
      </c>
      <c r="E38" s="114">
        <v>29022</v>
      </c>
      <c r="F38" s="114">
        <f t="shared" si="0"/>
        <v>5657</v>
      </c>
      <c r="G38" s="237">
        <f t="shared" si="1"/>
        <v>23365</v>
      </c>
      <c r="H38" s="240"/>
      <c r="I38" s="240"/>
      <c r="J38" s="244"/>
      <c r="K38" s="244">
        <v>925</v>
      </c>
      <c r="L38" s="244"/>
      <c r="M38" s="244">
        <f>327+416</f>
        <v>743</v>
      </c>
      <c r="N38" s="244">
        <v>2678</v>
      </c>
      <c r="O38" s="244">
        <v>1249</v>
      </c>
      <c r="P38" s="244"/>
      <c r="Q38" s="244">
        <v>62</v>
      </c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39"/>
      <c r="AG38" s="239"/>
    </row>
    <row r="39" spans="1:35" ht="15" thickBot="1" x14ac:dyDescent="0.35">
      <c r="A39" s="106" t="s">
        <v>95</v>
      </c>
      <c r="B39" s="28" t="s">
        <v>379</v>
      </c>
      <c r="C39" s="114">
        <v>10008</v>
      </c>
      <c r="D39" s="205">
        <v>5000</v>
      </c>
      <c r="E39" s="114">
        <v>15008</v>
      </c>
      <c r="F39" s="114">
        <f t="shared" si="0"/>
        <v>3713.56</v>
      </c>
      <c r="G39" s="237">
        <f t="shared" si="1"/>
        <v>11294.44</v>
      </c>
      <c r="H39" s="240"/>
      <c r="I39" s="240"/>
      <c r="J39" s="244"/>
      <c r="K39" s="244"/>
      <c r="L39" s="244"/>
      <c r="M39" s="244">
        <v>70</v>
      </c>
      <c r="N39" s="244">
        <v>173</v>
      </c>
      <c r="O39" s="244">
        <f>948</f>
        <v>948</v>
      </c>
      <c r="P39" s="244">
        <v>1482</v>
      </c>
      <c r="Q39" s="244">
        <v>1040.56</v>
      </c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0"/>
      <c r="AG39" s="240"/>
    </row>
    <row r="40" spans="1:35" ht="15" thickBot="1" x14ac:dyDescent="0.35">
      <c r="A40" s="224" t="s">
        <v>4</v>
      </c>
      <c r="B40" s="28" t="s">
        <v>499</v>
      </c>
      <c r="C40" s="114">
        <v>59854</v>
      </c>
      <c r="D40" s="205">
        <v>0</v>
      </c>
      <c r="E40" s="114">
        <f>C40+D40</f>
        <v>59854</v>
      </c>
      <c r="F40" s="114">
        <f t="shared" si="0"/>
        <v>0</v>
      </c>
      <c r="G40" s="237">
        <f t="shared" si="1"/>
        <v>59854</v>
      </c>
      <c r="H40" s="240"/>
      <c r="I40" s="240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0"/>
      <c r="AG40" s="240"/>
    </row>
    <row r="41" spans="1:35" ht="15" thickBot="1" x14ac:dyDescent="0.35">
      <c r="A41" s="224" t="s">
        <v>500</v>
      </c>
      <c r="B41" s="28" t="s">
        <v>501</v>
      </c>
      <c r="C41" s="114">
        <v>5480</v>
      </c>
      <c r="D41" s="205">
        <v>0</v>
      </c>
      <c r="E41" s="114">
        <f t="shared" ref="E41" si="3">C41+D41</f>
        <v>5480</v>
      </c>
      <c r="F41" s="114">
        <f t="shared" si="0"/>
        <v>0</v>
      </c>
      <c r="G41" s="237">
        <f t="shared" si="1"/>
        <v>5480</v>
      </c>
      <c r="H41" s="240"/>
      <c r="I41" s="240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0"/>
      <c r="AG41" s="240"/>
    </row>
    <row r="42" spans="1:35" ht="15" thickBot="1" x14ac:dyDescent="0.35">
      <c r="A42" s="28"/>
      <c r="B42" s="28"/>
      <c r="C42" s="114"/>
      <c r="D42" s="205"/>
      <c r="E42" s="114"/>
      <c r="F42" s="114"/>
      <c r="G42" s="237"/>
      <c r="H42" s="240"/>
      <c r="I42" s="240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0"/>
      <c r="AG42" s="240"/>
    </row>
    <row r="43" spans="1:35" ht="15" thickBot="1" x14ac:dyDescent="0.35">
      <c r="A43" s="28"/>
      <c r="B43" s="28"/>
      <c r="C43" s="114"/>
      <c r="D43" s="205"/>
      <c r="E43" s="114"/>
      <c r="F43" s="114"/>
      <c r="G43" s="237"/>
      <c r="H43" s="240"/>
      <c r="I43" s="240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0"/>
      <c r="AG43" s="240"/>
    </row>
    <row r="44" spans="1:35" ht="15" thickBot="1" x14ac:dyDescent="0.35">
      <c r="A44" s="28"/>
      <c r="B44" s="28"/>
      <c r="C44" s="114"/>
      <c r="D44" s="205"/>
      <c r="E44" s="114"/>
      <c r="F44" s="114"/>
      <c r="G44" s="237"/>
      <c r="H44" s="240"/>
      <c r="I44" s="240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0"/>
      <c r="AG44" s="240"/>
    </row>
    <row r="45" spans="1:35" ht="15" thickBot="1" x14ac:dyDescent="0.35">
      <c r="A45" s="28"/>
      <c r="B45" s="28"/>
      <c r="C45" s="114"/>
      <c r="D45" s="205"/>
      <c r="E45" s="114"/>
      <c r="F45" s="114"/>
      <c r="G45" s="237"/>
      <c r="H45" s="240"/>
      <c r="I45" s="240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0"/>
      <c r="AG45" s="240"/>
    </row>
    <row r="46" spans="1:35" ht="15" thickBot="1" x14ac:dyDescent="0.35">
      <c r="A46" s="28" t="s">
        <v>406</v>
      </c>
      <c r="B46" s="28"/>
      <c r="C46" s="114">
        <f>SUM(C9:C39)</f>
        <v>407552</v>
      </c>
      <c r="D46" s="205">
        <f t="shared" ref="D46:G46" si="4">SUM(D9:D39)</f>
        <v>379053</v>
      </c>
      <c r="E46" s="114">
        <f t="shared" si="4"/>
        <v>786605</v>
      </c>
      <c r="F46" s="114">
        <f t="shared" si="4"/>
        <v>141020.13999999998</v>
      </c>
      <c r="G46" s="237">
        <f t="shared" si="4"/>
        <v>645584.85999999987</v>
      </c>
      <c r="H46" s="245">
        <f t="shared" ref="H46:P46" si="5">SUM(H8:H38)</f>
        <v>0</v>
      </c>
      <c r="I46" s="245">
        <f t="shared" si="5"/>
        <v>0</v>
      </c>
      <c r="J46" s="246">
        <f t="shared" si="5"/>
        <v>23263</v>
      </c>
      <c r="K46" s="246">
        <f t="shared" si="5"/>
        <v>8763</v>
      </c>
      <c r="L46" s="246">
        <f t="shared" si="5"/>
        <v>4793</v>
      </c>
      <c r="M46" s="246">
        <f>SUM(M9:M39)</f>
        <v>3005</v>
      </c>
      <c r="N46" s="246">
        <f>SUM(N9:N45)</f>
        <v>19617</v>
      </c>
      <c r="O46" s="246">
        <f>SUM(O9:O45)</f>
        <v>19050</v>
      </c>
      <c r="P46" s="246">
        <f t="shared" si="5"/>
        <v>31487</v>
      </c>
      <c r="Q46" s="246">
        <f>SUM(Q9:Q45)</f>
        <v>21964.960000000003</v>
      </c>
      <c r="R46" s="246">
        <f t="shared" ref="R46:V46" si="6">SUM(R9:R45)</f>
        <v>0</v>
      </c>
      <c r="S46" s="246">
        <f t="shared" si="6"/>
        <v>0</v>
      </c>
      <c r="T46" s="246">
        <f t="shared" si="6"/>
        <v>0</v>
      </c>
      <c r="U46" s="246">
        <f t="shared" si="6"/>
        <v>0</v>
      </c>
      <c r="V46" s="246">
        <f t="shared" si="6"/>
        <v>0</v>
      </c>
      <c r="W46" s="244"/>
      <c r="X46" s="244"/>
      <c r="Y46" s="244"/>
      <c r="Z46" s="244"/>
      <c r="AA46" s="244"/>
      <c r="AB46" s="244"/>
      <c r="AC46" s="244"/>
      <c r="AD46" s="244"/>
      <c r="AE46" s="244"/>
      <c r="AF46" s="247"/>
      <c r="AG46" s="247"/>
    </row>
    <row r="47" spans="1:35" x14ac:dyDescent="0.3">
      <c r="F47" s="46"/>
      <c r="G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30"/>
      <c r="AG47" s="30"/>
    </row>
    <row r="48" spans="1:35" x14ac:dyDescent="0.3">
      <c r="F48" s="46"/>
      <c r="G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30"/>
      <c r="AG48" s="30"/>
    </row>
    <row r="49" spans="6:33" x14ac:dyDescent="0.3">
      <c r="F49" s="46"/>
      <c r="G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30"/>
      <c r="AG49" s="30"/>
    </row>
    <row r="50" spans="6:33" x14ac:dyDescent="0.3">
      <c r="F50" s="46">
        <f>111460-F46</f>
        <v>-29560.139999999985</v>
      </c>
      <c r="G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30"/>
      <c r="AG50" s="30"/>
    </row>
    <row r="51" spans="6:33" x14ac:dyDescent="0.3">
      <c r="F51" s="46"/>
      <c r="G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30"/>
      <c r="AG51" s="30"/>
    </row>
    <row r="52" spans="6:33" x14ac:dyDescent="0.3">
      <c r="F52" s="46"/>
      <c r="G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30"/>
      <c r="AG52" s="30"/>
    </row>
    <row r="53" spans="6:33" x14ac:dyDescent="0.3">
      <c r="F53" s="46"/>
      <c r="G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30"/>
      <c r="AG53" s="30"/>
    </row>
    <row r="54" spans="6:33" x14ac:dyDescent="0.3">
      <c r="F54" s="46"/>
      <c r="G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30"/>
      <c r="AG54" s="30"/>
    </row>
    <row r="55" spans="6:33" x14ac:dyDescent="0.3">
      <c r="F55" s="46"/>
      <c r="G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30"/>
      <c r="AG55" s="30"/>
    </row>
    <row r="56" spans="6:33" x14ac:dyDescent="0.3">
      <c r="F56" s="46"/>
      <c r="G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30"/>
      <c r="AG56" s="30"/>
    </row>
    <row r="57" spans="6:33" x14ac:dyDescent="0.3">
      <c r="F57" s="46"/>
      <c r="G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30"/>
      <c r="AG57" s="30"/>
    </row>
    <row r="58" spans="6:33" x14ac:dyDescent="0.3">
      <c r="F58" s="46"/>
      <c r="G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30"/>
      <c r="AG58" s="30"/>
    </row>
    <row r="59" spans="6:33" x14ac:dyDescent="0.3">
      <c r="F59" s="46"/>
      <c r="G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30"/>
      <c r="AG59" s="30"/>
    </row>
    <row r="60" spans="6:33" x14ac:dyDescent="0.3">
      <c r="F60" s="46"/>
      <c r="G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6:33" x14ac:dyDescent="0.3">
      <c r="F61" s="46"/>
      <c r="G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6:33" x14ac:dyDescent="0.3">
      <c r="F62" s="46"/>
      <c r="G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6:33" x14ac:dyDescent="0.3"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6:33" x14ac:dyDescent="0.3"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10:31" x14ac:dyDescent="0.3"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</row>
    <row r="66" spans="10:31" x14ac:dyDescent="0.3"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0:31" x14ac:dyDescent="0.3"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0:31" x14ac:dyDescent="0.3"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0:31" x14ac:dyDescent="0.3"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10:31" x14ac:dyDescent="0.3"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0:31" x14ac:dyDescent="0.3"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0:31" x14ac:dyDescent="0.3"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0:31" x14ac:dyDescent="0.3"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0:31" x14ac:dyDescent="0.3"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0:31" x14ac:dyDescent="0.3"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0:31" x14ac:dyDescent="0.3"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</row>
    <row r="77" spans="10:31" x14ac:dyDescent="0.3"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</row>
    <row r="78" spans="10:31" x14ac:dyDescent="0.3"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</row>
    <row r="79" spans="10:31" x14ac:dyDescent="0.3"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</row>
    <row r="80" spans="10:31" x14ac:dyDescent="0.3"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</row>
  </sheetData>
  <sortState xmlns:xlrd2="http://schemas.microsoft.com/office/spreadsheetml/2017/richdata2" ref="A9:AG40">
    <sortCondition ref="A9:A40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2">
    <tabColor theme="2"/>
    <pageSetUpPr fitToPage="1"/>
  </sheetPr>
  <dimension ref="A1:AJ51"/>
  <sheetViews>
    <sheetView workbookViewId="0">
      <pane xSplit="7" ySplit="8" topLeftCell="U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D12" sqref="D12"/>
    </sheetView>
  </sheetViews>
  <sheetFormatPr defaultColWidth="9.109375" defaultRowHeight="14.4" x14ac:dyDescent="0.3"/>
  <cols>
    <col min="1" max="1" width="9.109375" style="44"/>
    <col min="2" max="2" width="36.6640625" style="44" customWidth="1"/>
    <col min="3" max="5" width="14.33203125" style="44" customWidth="1"/>
    <col min="6" max="6" width="14.109375" style="44" customWidth="1"/>
    <col min="7" max="7" width="17.88671875" style="44" customWidth="1"/>
    <col min="8" max="8" width="12.109375" style="44" customWidth="1"/>
    <col min="9" max="9" width="12.88671875" style="44" customWidth="1"/>
    <col min="10" max="10" width="12" style="44" customWidth="1"/>
    <col min="11" max="11" width="11.88671875" style="44" customWidth="1"/>
    <col min="12" max="12" width="12.33203125" style="44" customWidth="1"/>
    <col min="13" max="13" width="12.6640625" style="44" customWidth="1"/>
    <col min="14" max="14" width="12.44140625" style="44" customWidth="1"/>
    <col min="15" max="15" width="13.109375" style="44" customWidth="1"/>
    <col min="16" max="16" width="12.33203125" style="44" customWidth="1"/>
    <col min="17" max="17" width="13.88671875" style="44" customWidth="1"/>
    <col min="18" max="18" width="12.88671875" style="44" customWidth="1"/>
    <col min="19" max="19" width="13.109375" style="44" customWidth="1"/>
    <col min="20" max="20" width="13" style="44" customWidth="1"/>
    <col min="21" max="22" width="15.6640625" style="44" customWidth="1"/>
    <col min="23" max="23" width="12.5546875" style="44" bestFit="1" customWidth="1"/>
    <col min="24" max="24" width="15" style="44" bestFit="1" customWidth="1"/>
    <col min="25" max="25" width="14.6640625" style="44" bestFit="1" customWidth="1"/>
    <col min="26" max="26" width="12.109375" style="44" bestFit="1" customWidth="1"/>
    <col min="27" max="27" width="13.44140625" style="44" bestFit="1" customWidth="1"/>
    <col min="28" max="28" width="11" style="44" bestFit="1" customWidth="1"/>
    <col min="29" max="29" width="9.6640625" style="44" bestFit="1" customWidth="1"/>
    <col min="30" max="30" width="9.33203125" style="44" bestFit="1" customWidth="1"/>
    <col min="31" max="31" width="9.5546875" style="44" bestFit="1" customWidth="1"/>
    <col min="32" max="32" width="8.88671875" style="44" bestFit="1" customWidth="1"/>
    <col min="33" max="33" width="11.5546875" style="44" bestFit="1" customWidth="1"/>
    <col min="34" max="34" width="15.44140625" style="44" bestFit="1" customWidth="1"/>
    <col min="35" max="36" width="21.33203125" style="44" customWidth="1"/>
    <col min="37" max="16384" width="9.109375" style="44"/>
  </cols>
  <sheetData>
    <row r="1" spans="1:36" ht="21" x14ac:dyDescent="0.4">
      <c r="A1" s="47" t="s">
        <v>0</v>
      </c>
      <c r="B1" s="53"/>
      <c r="C1" s="48" t="s">
        <v>165</v>
      </c>
      <c r="D1" s="48"/>
      <c r="E1" s="48"/>
      <c r="F1" s="47"/>
      <c r="G1" s="49"/>
      <c r="H1" s="54"/>
      <c r="I1" s="54"/>
      <c r="J1" s="48"/>
      <c r="K1" s="48"/>
      <c r="L1" s="47"/>
      <c r="M1" s="47"/>
      <c r="N1" s="48" t="str">
        <f>$C$1</f>
        <v>Title I-C Migrant</v>
      </c>
      <c r="O1" s="49"/>
      <c r="P1" s="54"/>
      <c r="Q1" s="48"/>
      <c r="R1" s="48"/>
      <c r="S1" s="48"/>
      <c r="T1" s="48" t="str">
        <f>$C$1</f>
        <v>Title I-C Migrant</v>
      </c>
      <c r="U1" s="47"/>
      <c r="V1" s="49"/>
      <c r="W1" s="49"/>
      <c r="X1" s="48"/>
      <c r="Y1" s="49"/>
      <c r="Z1" s="49"/>
      <c r="AA1" s="48" t="str">
        <f>$C$1</f>
        <v>Title I-C Migrant</v>
      </c>
      <c r="AB1" s="49"/>
      <c r="AC1" s="49"/>
      <c r="AD1" s="49"/>
      <c r="AE1" s="48"/>
      <c r="AF1" s="49"/>
      <c r="AG1" s="49"/>
      <c r="AH1" s="49"/>
      <c r="AI1" s="47"/>
      <c r="AJ1" s="47"/>
    </row>
    <row r="2" spans="1:36" ht="21" x14ac:dyDescent="0.4">
      <c r="A2" s="47" t="s">
        <v>171</v>
      </c>
      <c r="B2" s="49"/>
      <c r="C2" s="47" t="s">
        <v>180</v>
      </c>
      <c r="D2" s="47"/>
      <c r="E2" s="47"/>
      <c r="F2" s="50"/>
      <c r="G2" s="19"/>
      <c r="H2" s="54"/>
      <c r="I2" s="54"/>
      <c r="J2" s="50"/>
      <c r="K2" s="48"/>
      <c r="L2" s="48" t="s">
        <v>33</v>
      </c>
      <c r="M2" s="51"/>
      <c r="N2" s="50" t="str">
        <f>"FY"&amp;$C$4</f>
        <v>FY2018-19</v>
      </c>
      <c r="O2" s="19"/>
      <c r="P2" s="19"/>
      <c r="Q2" s="50"/>
      <c r="R2" s="50"/>
      <c r="S2" s="48"/>
      <c r="T2" s="50" t="str">
        <f>"FY"&amp;$C$4</f>
        <v>FY2018-19</v>
      </c>
      <c r="U2" s="51"/>
      <c r="V2" s="19"/>
      <c r="W2" s="49"/>
      <c r="X2" s="50"/>
      <c r="Y2" s="49"/>
      <c r="Z2" s="49"/>
      <c r="AA2" s="50" t="str">
        <f>"FY"&amp;$C$4</f>
        <v>FY2018-19</v>
      </c>
      <c r="AB2" s="49"/>
      <c r="AC2" s="49"/>
      <c r="AD2" s="49"/>
      <c r="AE2" s="50"/>
      <c r="AF2" s="49"/>
      <c r="AG2" s="49"/>
      <c r="AH2" s="49"/>
      <c r="AI2" s="47"/>
      <c r="AJ2" s="47"/>
    </row>
    <row r="3" spans="1:36" ht="15.9" customHeight="1" x14ac:dyDescent="0.4">
      <c r="A3" s="50" t="s">
        <v>1</v>
      </c>
      <c r="B3" s="53"/>
      <c r="C3" s="51">
        <v>4011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54"/>
      <c r="AJ3" s="54"/>
    </row>
    <row r="4" spans="1:36" ht="15.9" customHeight="1" x14ac:dyDescent="0.4">
      <c r="A4" s="50" t="s">
        <v>2</v>
      </c>
      <c r="B4" s="53"/>
      <c r="C4" s="51" t="s">
        <v>188</v>
      </c>
      <c r="D4" s="51"/>
      <c r="E4" s="51"/>
      <c r="F4" s="19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54"/>
      <c r="AJ4" s="54"/>
    </row>
    <row r="5" spans="1:36" ht="15.9" customHeight="1" x14ac:dyDescent="0.4">
      <c r="A5" s="50" t="s">
        <v>164</v>
      </c>
      <c r="B5" s="53"/>
      <c r="D5" s="128"/>
      <c r="E5" s="128"/>
      <c r="F5" s="50"/>
      <c r="G5" s="9"/>
      <c r="H5" s="9"/>
      <c r="I5" s="9"/>
      <c r="J5" s="9"/>
      <c r="K5" s="9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2"/>
      <c r="AJ5" s="52"/>
    </row>
    <row r="6" spans="1:36" ht="15.9" customHeight="1" x14ac:dyDescent="0.4">
      <c r="A6" s="50" t="s">
        <v>19</v>
      </c>
      <c r="B6" s="53"/>
      <c r="C6" s="50" t="s">
        <v>510</v>
      </c>
      <c r="D6" s="50"/>
      <c r="E6" s="50"/>
      <c r="F6" s="50"/>
      <c r="G6" s="9"/>
      <c r="H6" s="9"/>
      <c r="I6" s="9"/>
      <c r="J6" s="9"/>
      <c r="K6" s="9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2"/>
      <c r="AJ6" s="52"/>
    </row>
    <row r="7" spans="1:36" ht="15.9" customHeight="1" thickBot="1" x14ac:dyDescent="0.45">
      <c r="A7" s="50"/>
      <c r="B7" s="53"/>
      <c r="C7" s="50"/>
      <c r="D7" s="50"/>
      <c r="E7" s="50"/>
      <c r="F7" s="50"/>
      <c r="G7" s="9"/>
      <c r="H7" s="9"/>
      <c r="I7" s="9"/>
      <c r="J7" s="9"/>
      <c r="K7" s="9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52"/>
      <c r="AJ7" s="52"/>
    </row>
    <row r="8" spans="1:36" s="126" customFormat="1" ht="29.4" thickBot="1" x14ac:dyDescent="0.35">
      <c r="A8" s="55" t="s">
        <v>161</v>
      </c>
      <c r="B8" s="55" t="s">
        <v>45</v>
      </c>
      <c r="C8" s="55" t="s">
        <v>15</v>
      </c>
      <c r="D8" s="55" t="s">
        <v>124</v>
      </c>
      <c r="E8" s="55" t="s">
        <v>163</v>
      </c>
      <c r="F8" s="55" t="s">
        <v>16</v>
      </c>
      <c r="G8" s="25" t="s">
        <v>17</v>
      </c>
      <c r="H8" s="26" t="s">
        <v>67</v>
      </c>
      <c r="I8" s="27" t="s">
        <v>68</v>
      </c>
      <c r="J8" s="26" t="s">
        <v>69</v>
      </c>
      <c r="K8" s="27" t="s">
        <v>141</v>
      </c>
      <c r="L8" s="26" t="s">
        <v>142</v>
      </c>
      <c r="M8" s="27" t="s">
        <v>152</v>
      </c>
      <c r="N8" s="27" t="s">
        <v>143</v>
      </c>
      <c r="O8" s="27" t="s">
        <v>144</v>
      </c>
      <c r="P8" s="27" t="s">
        <v>145</v>
      </c>
      <c r="Q8" s="27" t="s">
        <v>146</v>
      </c>
      <c r="R8" s="27" t="s">
        <v>147</v>
      </c>
      <c r="S8" s="27" t="s">
        <v>148</v>
      </c>
      <c r="T8" s="26" t="s">
        <v>149</v>
      </c>
      <c r="U8" s="27" t="s">
        <v>150</v>
      </c>
      <c r="V8" s="27" t="s">
        <v>151</v>
      </c>
      <c r="W8" s="27" t="s">
        <v>189</v>
      </c>
      <c r="X8" s="26" t="s">
        <v>190</v>
      </c>
      <c r="Y8" s="27" t="s">
        <v>153</v>
      </c>
      <c r="Z8" s="27" t="s">
        <v>270</v>
      </c>
      <c r="AA8" s="27" t="s">
        <v>271</v>
      </c>
      <c r="AB8" s="27" t="s">
        <v>272</v>
      </c>
      <c r="AC8" s="27" t="s">
        <v>273</v>
      </c>
      <c r="AD8" s="27" t="s">
        <v>274</v>
      </c>
      <c r="AE8" s="27" t="s">
        <v>275</v>
      </c>
      <c r="AF8" s="26" t="s">
        <v>276</v>
      </c>
      <c r="AG8" s="27" t="s">
        <v>277</v>
      </c>
      <c r="AH8" s="27" t="s">
        <v>278</v>
      </c>
      <c r="AI8" s="55" t="s">
        <v>183</v>
      </c>
      <c r="AJ8" s="55" t="s">
        <v>184</v>
      </c>
    </row>
    <row r="9" spans="1:36" s="126" customFormat="1" ht="15" thickBot="1" x14ac:dyDescent="0.35">
      <c r="A9" s="145" t="s">
        <v>4</v>
      </c>
      <c r="B9" s="69" t="s">
        <v>100</v>
      </c>
      <c r="C9" s="140">
        <f>1325000+250413</f>
        <v>1575413</v>
      </c>
      <c r="D9" s="105">
        <v>0</v>
      </c>
      <c r="E9" s="105">
        <v>1325000</v>
      </c>
      <c r="F9" s="140">
        <f>SUM(H9:AH9)</f>
        <v>1575413</v>
      </c>
      <c r="G9" s="140">
        <f>C9-F9</f>
        <v>0</v>
      </c>
      <c r="H9" s="127"/>
      <c r="I9" s="127"/>
      <c r="J9" s="127"/>
      <c r="K9" s="139"/>
      <c r="L9" s="139">
        <v>399910</v>
      </c>
      <c r="M9" s="139">
        <v>93102</v>
      </c>
      <c r="N9" s="139">
        <v>44645</v>
      </c>
      <c r="O9" s="139">
        <v>158569</v>
      </c>
      <c r="P9" s="139">
        <v>103762</v>
      </c>
      <c r="Q9" s="139">
        <v>105793</v>
      </c>
      <c r="R9" s="225">
        <v>108491</v>
      </c>
      <c r="S9" s="139">
        <f>106089.05+12124.95</f>
        <v>118214</v>
      </c>
      <c r="T9" s="139"/>
      <c r="U9" s="139"/>
      <c r="V9" s="139">
        <v>116626.78</v>
      </c>
      <c r="W9" s="139">
        <v>75887.22</v>
      </c>
      <c r="X9" s="139"/>
      <c r="Y9" s="139"/>
      <c r="Z9" s="139"/>
      <c r="AA9" s="139"/>
      <c r="AB9" s="139">
        <v>250413</v>
      </c>
      <c r="AC9" s="139"/>
      <c r="AD9" s="139"/>
      <c r="AE9" s="139"/>
      <c r="AF9" s="139"/>
      <c r="AG9" s="139"/>
      <c r="AH9" s="139"/>
      <c r="AI9" s="44"/>
      <c r="AJ9" s="44"/>
    </row>
    <row r="10" spans="1:36" s="125" customFormat="1" ht="18.600000000000001" thickBot="1" x14ac:dyDescent="0.4">
      <c r="A10" s="145" t="s">
        <v>91</v>
      </c>
      <c r="B10" s="69" t="s">
        <v>92</v>
      </c>
      <c r="C10" s="140">
        <v>625000</v>
      </c>
      <c r="D10" s="105">
        <v>0</v>
      </c>
      <c r="E10" s="105">
        <v>625000</v>
      </c>
      <c r="F10" s="140">
        <f>SUM(H10:AH10)</f>
        <v>625000</v>
      </c>
      <c r="G10" s="140">
        <f t="shared" ref="G10:G13" si="0">C10-F10</f>
        <v>0</v>
      </c>
      <c r="H10" s="139"/>
      <c r="I10" s="139"/>
      <c r="J10" s="139"/>
      <c r="K10" s="139">
        <v>45973</v>
      </c>
      <c r="L10" s="139">
        <v>45159</v>
      </c>
      <c r="M10" s="139">
        <v>45848</v>
      </c>
      <c r="N10" s="139"/>
      <c r="O10" s="139">
        <v>83243</v>
      </c>
      <c r="P10" s="139"/>
      <c r="Q10" s="139">
        <f>44677+45602</f>
        <v>90279</v>
      </c>
      <c r="R10" s="139"/>
      <c r="S10" s="139">
        <v>44321</v>
      </c>
      <c r="T10" s="139"/>
      <c r="U10" s="139">
        <v>90536</v>
      </c>
      <c r="V10" s="139">
        <f>89105+90536</f>
        <v>179641</v>
      </c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44"/>
      <c r="AJ10" s="44"/>
    </row>
    <row r="11" spans="1:36" s="125" customFormat="1" ht="18.600000000000001" thickBot="1" x14ac:dyDescent="0.4">
      <c r="A11" s="145">
        <v>2700</v>
      </c>
      <c r="B11" s="69" t="s">
        <v>471</v>
      </c>
      <c r="C11" s="140">
        <v>706774</v>
      </c>
      <c r="D11" s="105">
        <v>0</v>
      </c>
      <c r="E11" s="105">
        <v>706744</v>
      </c>
      <c r="F11" s="140">
        <f t="shared" ref="F11" si="1">SUM(H11:AH11)</f>
        <v>670743</v>
      </c>
      <c r="G11" s="140">
        <f t="shared" si="0"/>
        <v>36031</v>
      </c>
      <c r="H11" s="139"/>
      <c r="I11" s="139"/>
      <c r="J11" s="139"/>
      <c r="K11" s="139"/>
      <c r="L11" s="139"/>
      <c r="M11" s="139"/>
      <c r="N11" s="139">
        <v>117648</v>
      </c>
      <c r="O11" s="139">
        <v>83045</v>
      </c>
      <c r="P11" s="139"/>
      <c r="Q11" s="139">
        <v>131387</v>
      </c>
      <c r="R11" s="139">
        <v>47130</v>
      </c>
      <c r="S11" s="139"/>
      <c r="T11" s="139">
        <v>97015</v>
      </c>
      <c r="U11" s="139"/>
      <c r="V11" s="139"/>
      <c r="W11" s="139">
        <v>103982</v>
      </c>
      <c r="X11" s="139"/>
      <c r="Y11" s="139">
        <v>90536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44"/>
      <c r="AJ11" s="44"/>
    </row>
    <row r="12" spans="1:36" s="125" customFormat="1" ht="29.4" thickBot="1" x14ac:dyDescent="0.4">
      <c r="A12" s="145" t="s">
        <v>36</v>
      </c>
      <c r="B12" s="69" t="s">
        <v>94</v>
      </c>
      <c r="C12" s="140">
        <v>2000000</v>
      </c>
      <c r="D12" s="105">
        <v>0</v>
      </c>
      <c r="E12" s="105">
        <v>2000000</v>
      </c>
      <c r="F12" s="140">
        <f>SUM(H12:AH12)</f>
        <v>2000000</v>
      </c>
      <c r="G12" s="140">
        <f t="shared" si="0"/>
        <v>0</v>
      </c>
      <c r="H12" s="139"/>
      <c r="I12" s="139"/>
      <c r="J12" s="139">
        <v>103000</v>
      </c>
      <c r="K12" s="139">
        <v>140000</v>
      </c>
      <c r="L12" s="139">
        <v>196000</v>
      </c>
      <c r="M12" s="139">
        <v>132000</v>
      </c>
      <c r="N12" s="139">
        <v>131000</v>
      </c>
      <c r="O12" s="139">
        <v>129000</v>
      </c>
      <c r="P12" s="139">
        <v>153000</v>
      </c>
      <c r="Q12" s="139">
        <v>132000</v>
      </c>
      <c r="R12" s="139"/>
      <c r="S12" s="139">
        <f>123000+150000</f>
        <v>273000</v>
      </c>
      <c r="T12" s="139">
        <v>200000</v>
      </c>
      <c r="U12" s="139">
        <v>205000</v>
      </c>
      <c r="V12" s="139">
        <f>1000+187000</f>
        <v>188000</v>
      </c>
      <c r="W12" s="139">
        <v>18000</v>
      </c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44"/>
      <c r="AJ12" s="44"/>
    </row>
    <row r="13" spans="1:36" s="125" customFormat="1" ht="18.600000000000001" thickBot="1" x14ac:dyDescent="0.4">
      <c r="A13" s="145" t="s">
        <v>160</v>
      </c>
      <c r="B13" s="69" t="s">
        <v>284</v>
      </c>
      <c r="C13" s="140">
        <v>1069271</v>
      </c>
      <c r="D13" s="105"/>
      <c r="E13" s="105"/>
      <c r="F13" s="140">
        <f>SUM(H13:AH13)</f>
        <v>925870.22000000009</v>
      </c>
      <c r="G13" s="140">
        <f t="shared" si="0"/>
        <v>143400.77999999991</v>
      </c>
      <c r="H13" s="139"/>
      <c r="I13" s="139"/>
      <c r="J13" s="139">
        <f>32919+48187</f>
        <v>81106</v>
      </c>
      <c r="K13" s="139"/>
      <c r="L13" s="139">
        <f>51258+48088</f>
        <v>99346</v>
      </c>
      <c r="M13" s="139">
        <v>52569</v>
      </c>
      <c r="N13" s="139">
        <v>48607</v>
      </c>
      <c r="O13" s="139"/>
      <c r="P13" s="139">
        <v>50312</v>
      </c>
      <c r="Q13" s="139">
        <f>50965+53377</f>
        <v>104342</v>
      </c>
      <c r="R13" s="139">
        <v>61014</v>
      </c>
      <c r="S13" s="139">
        <v>82123</v>
      </c>
      <c r="T13" s="139">
        <v>275372.3</v>
      </c>
      <c r="U13" s="139">
        <f>8024.82+36494.22</f>
        <v>44519.040000000001</v>
      </c>
      <c r="V13" s="139">
        <v>20534.23</v>
      </c>
      <c r="W13" s="139">
        <v>6025.65</v>
      </c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44"/>
      <c r="AJ13" s="44"/>
    </row>
    <row r="14" spans="1:36" ht="15" thickBot="1" x14ac:dyDescent="0.35">
      <c r="A14" s="69"/>
      <c r="B14" s="69"/>
      <c r="C14" s="69"/>
      <c r="D14" s="69"/>
      <c r="E14" s="69"/>
      <c r="F14" s="69"/>
      <c r="G14" s="6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76"/>
      <c r="AJ14" s="76"/>
    </row>
    <row r="15" spans="1:36" s="124" customFormat="1" ht="15" thickBot="1" x14ac:dyDescent="0.35">
      <c r="A15" s="71" t="s">
        <v>48</v>
      </c>
      <c r="B15" s="71"/>
      <c r="C15" s="71">
        <f>SUM(C9:C13)</f>
        <v>5976458</v>
      </c>
      <c r="D15" s="71">
        <v>0</v>
      </c>
      <c r="E15" s="71">
        <f>C15+D15</f>
        <v>5976458</v>
      </c>
      <c r="F15" s="71">
        <f t="shared" ref="F15:AJ15" si="2">SUM(F9:F13)</f>
        <v>5797026.2199999997</v>
      </c>
      <c r="G15" s="71">
        <f t="shared" si="2"/>
        <v>179431.77999999991</v>
      </c>
      <c r="H15" s="71">
        <f t="shared" si="2"/>
        <v>0</v>
      </c>
      <c r="I15" s="71">
        <f t="shared" si="2"/>
        <v>0</v>
      </c>
      <c r="J15" s="71">
        <f t="shared" si="2"/>
        <v>184106</v>
      </c>
      <c r="K15" s="71">
        <f t="shared" si="2"/>
        <v>185973</v>
      </c>
      <c r="L15" s="71">
        <f t="shared" si="2"/>
        <v>740415</v>
      </c>
      <c r="M15" s="71">
        <f t="shared" si="2"/>
        <v>323519</v>
      </c>
      <c r="N15" s="71">
        <f t="shared" si="2"/>
        <v>341900</v>
      </c>
      <c r="O15" s="71">
        <f t="shared" si="2"/>
        <v>453857</v>
      </c>
      <c r="P15" s="71">
        <f t="shared" si="2"/>
        <v>307074</v>
      </c>
      <c r="Q15" s="71">
        <f>SUM(Q9:Q13)</f>
        <v>563801</v>
      </c>
      <c r="R15" s="71">
        <f t="shared" si="2"/>
        <v>216635</v>
      </c>
      <c r="S15" s="71">
        <f t="shared" si="2"/>
        <v>517658</v>
      </c>
      <c r="T15" s="71">
        <f t="shared" si="2"/>
        <v>572387.30000000005</v>
      </c>
      <c r="U15" s="71">
        <f t="shared" si="2"/>
        <v>340055.03999999998</v>
      </c>
      <c r="V15" s="71">
        <f t="shared" si="2"/>
        <v>504802.01</v>
      </c>
      <c r="W15" s="71">
        <f t="shared" si="2"/>
        <v>203894.87</v>
      </c>
      <c r="X15" s="71">
        <f t="shared" si="2"/>
        <v>0</v>
      </c>
      <c r="Y15" s="71">
        <f t="shared" si="2"/>
        <v>90536</v>
      </c>
      <c r="Z15" s="71">
        <f t="shared" si="2"/>
        <v>0</v>
      </c>
      <c r="AA15" s="71">
        <f t="shared" si="2"/>
        <v>0</v>
      </c>
      <c r="AB15" s="71">
        <f t="shared" si="2"/>
        <v>250413</v>
      </c>
      <c r="AC15" s="71">
        <f t="shared" si="2"/>
        <v>0</v>
      </c>
      <c r="AD15" s="71">
        <f t="shared" si="2"/>
        <v>0</v>
      </c>
      <c r="AE15" s="71">
        <f t="shared" si="2"/>
        <v>0</v>
      </c>
      <c r="AF15" s="71">
        <f t="shared" si="2"/>
        <v>0</v>
      </c>
      <c r="AG15" s="71">
        <f t="shared" si="2"/>
        <v>0</v>
      </c>
      <c r="AH15" s="71">
        <f t="shared" si="2"/>
        <v>0</v>
      </c>
      <c r="AI15" s="71">
        <f t="shared" si="2"/>
        <v>0</v>
      </c>
      <c r="AJ15" s="71">
        <f t="shared" si="2"/>
        <v>0</v>
      </c>
    </row>
    <row r="16" spans="1:36" x14ac:dyDescent="0.3">
      <c r="AI16" s="76"/>
      <c r="AJ16" s="76"/>
    </row>
    <row r="17" spans="17:36" x14ac:dyDescent="0.3">
      <c r="Q17" s="123"/>
    </row>
    <row r="18" spans="17:36" x14ac:dyDescent="0.3">
      <c r="Q18" s="149"/>
      <c r="S18" s="123"/>
    </row>
    <row r="20" spans="17:36" x14ac:dyDescent="0.3">
      <c r="AI20" s="76"/>
      <c r="AJ20" s="76"/>
    </row>
    <row r="22" spans="17:36" x14ac:dyDescent="0.3">
      <c r="AI22" s="76"/>
      <c r="AJ22" s="76"/>
    </row>
    <row r="26" spans="17:36" x14ac:dyDescent="0.3">
      <c r="AI26" s="76"/>
      <c r="AJ26" s="76"/>
    </row>
    <row r="27" spans="17:36" x14ac:dyDescent="0.3">
      <c r="AI27" s="76"/>
      <c r="AJ27" s="76"/>
    </row>
    <row r="32" spans="17:36" x14ac:dyDescent="0.3">
      <c r="AI32" s="76"/>
      <c r="AJ32" s="76"/>
    </row>
    <row r="33" spans="35:36" x14ac:dyDescent="0.3">
      <c r="AI33" s="76"/>
      <c r="AJ33" s="76"/>
    </row>
    <row r="35" spans="35:36" x14ac:dyDescent="0.3">
      <c r="AI35" s="76"/>
      <c r="AJ35" s="76"/>
    </row>
    <row r="38" spans="35:36" x14ac:dyDescent="0.3">
      <c r="AI38" s="30"/>
      <c r="AJ38" s="30"/>
    </row>
    <row r="39" spans="35:36" x14ac:dyDescent="0.3">
      <c r="AI39" s="30"/>
      <c r="AJ39" s="30"/>
    </row>
    <row r="40" spans="35:36" x14ac:dyDescent="0.3">
      <c r="AI40" s="30"/>
      <c r="AJ40" s="30"/>
    </row>
    <row r="41" spans="35:36" x14ac:dyDescent="0.3">
      <c r="AI41" s="30"/>
      <c r="AJ41" s="30"/>
    </row>
    <row r="42" spans="35:36" x14ac:dyDescent="0.3">
      <c r="AI42" s="30"/>
      <c r="AJ42" s="30"/>
    </row>
    <row r="43" spans="35:36" x14ac:dyDescent="0.3">
      <c r="AI43" s="30"/>
      <c r="AJ43" s="30"/>
    </row>
    <row r="44" spans="35:36" x14ac:dyDescent="0.3">
      <c r="AI44" s="30"/>
      <c r="AJ44" s="30"/>
    </row>
    <row r="45" spans="35:36" x14ac:dyDescent="0.3">
      <c r="AI45" s="30"/>
      <c r="AJ45" s="30"/>
    </row>
    <row r="46" spans="35:36" x14ac:dyDescent="0.3">
      <c r="AI46" s="30"/>
      <c r="AJ46" s="30"/>
    </row>
    <row r="47" spans="35:36" x14ac:dyDescent="0.3">
      <c r="AI47" s="30"/>
      <c r="AJ47" s="30"/>
    </row>
    <row r="48" spans="35:36" x14ac:dyDescent="0.3">
      <c r="AI48" s="30"/>
      <c r="AJ48" s="30"/>
    </row>
    <row r="49" spans="35:36" x14ac:dyDescent="0.3">
      <c r="AI49" s="30"/>
      <c r="AJ49" s="30"/>
    </row>
    <row r="50" spans="35:36" x14ac:dyDescent="0.3">
      <c r="AI50" s="30"/>
      <c r="AJ50" s="30"/>
    </row>
    <row r="51" spans="35:36" x14ac:dyDescent="0.3">
      <c r="AI51" s="30"/>
      <c r="AJ51" s="30"/>
    </row>
  </sheetData>
  <sheetProtection algorithmName="SHA-512" hashValue="GrfmWkr3RLmdotXd5VR08gjk8GaGCGc3QqOxzIC/5c1KmOgw1ouP6BjeYxgMmGNvEzxCNTh8zBe0nC8wY9DNpg==" saltValue="UxYxRT0BcfCTJFAmwv3+yA==" spinCount="100000" sheet="1" objects="1" scenarios="1"/>
  <pageMargins left="0.7" right="0.7" top="0.75" bottom="0.75" header="0.3" footer="0.3"/>
  <pageSetup scale="24" fitToHeight="0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8">
    <tabColor theme="2"/>
  </sheetPr>
  <dimension ref="A1:AK56"/>
  <sheetViews>
    <sheetView workbookViewId="0">
      <pane xSplit="8" ySplit="8" topLeftCell="AK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G21" sqref="G21"/>
    </sheetView>
  </sheetViews>
  <sheetFormatPr defaultColWidth="8.88671875" defaultRowHeight="14.4" x14ac:dyDescent="0.3"/>
  <cols>
    <col min="1" max="1" width="8.88671875" style="36"/>
    <col min="2" max="2" width="36.88671875" style="44" customWidth="1"/>
    <col min="3" max="4" width="13.5546875" style="45" customWidth="1"/>
    <col min="5" max="5" width="15.33203125" style="45" customWidth="1"/>
    <col min="6" max="6" width="13.5546875" style="45" customWidth="1"/>
    <col min="7" max="7" width="13.6640625" style="45" customWidth="1"/>
    <col min="8" max="8" width="17.5546875" style="45" customWidth="1"/>
    <col min="9" max="35" width="15.6640625" style="93" customWidth="1"/>
    <col min="36" max="37" width="21.33203125" style="44" customWidth="1"/>
    <col min="38" max="16384" width="8.88671875" style="44"/>
  </cols>
  <sheetData>
    <row r="1" spans="1:37" s="45" customFormat="1" ht="21" x14ac:dyDescent="0.4">
      <c r="A1" s="32" t="s">
        <v>0</v>
      </c>
      <c r="B1" s="53"/>
      <c r="C1" s="48" t="s">
        <v>26</v>
      </c>
      <c r="D1" s="48"/>
      <c r="E1" s="48"/>
      <c r="F1" s="48"/>
      <c r="G1" s="47"/>
      <c r="H1" s="49"/>
      <c r="I1" s="81"/>
      <c r="J1" s="81"/>
      <c r="K1" s="81"/>
      <c r="L1" s="81"/>
      <c r="M1" s="48" t="str">
        <f>C1</f>
        <v>Title II-B Math &amp; Science Partnerships</v>
      </c>
      <c r="N1" s="81"/>
      <c r="O1" s="81"/>
      <c r="P1" s="81"/>
      <c r="Q1" s="81"/>
      <c r="R1" s="81"/>
      <c r="S1" s="48" t="s">
        <v>26</v>
      </c>
      <c r="T1" s="81"/>
      <c r="U1" s="81"/>
      <c r="V1" s="81"/>
      <c r="W1" s="81"/>
      <c r="X1" s="81"/>
      <c r="Y1" s="81"/>
      <c r="Z1" s="48" t="str">
        <f>$C$1</f>
        <v>Title II-B Math &amp; Science Partnerships</v>
      </c>
      <c r="AA1" s="81"/>
      <c r="AB1" s="48"/>
      <c r="AC1" s="81"/>
      <c r="AD1" s="81"/>
      <c r="AE1" s="81"/>
      <c r="AF1" s="81"/>
      <c r="AG1" s="48" t="str">
        <f>$C$1</f>
        <v>Title II-B Math &amp; Science Partnerships</v>
      </c>
      <c r="AH1" s="81"/>
      <c r="AI1" s="81"/>
      <c r="AJ1" s="47"/>
      <c r="AK1" s="47"/>
    </row>
    <row r="2" spans="1:37" s="45" customFormat="1" ht="21" x14ac:dyDescent="0.4">
      <c r="A2" s="32" t="s">
        <v>171</v>
      </c>
      <c r="B2" s="49"/>
      <c r="C2" s="48" t="s">
        <v>181</v>
      </c>
      <c r="D2" s="51"/>
      <c r="E2" s="51"/>
      <c r="F2" s="51"/>
      <c r="G2" s="50"/>
      <c r="H2" s="19"/>
      <c r="I2" s="143"/>
      <c r="J2" s="143"/>
      <c r="K2" s="143"/>
      <c r="L2" s="143"/>
      <c r="M2" s="142" t="str">
        <f>"FY"&amp;C4</f>
        <v>FY2018-19</v>
      </c>
      <c r="N2" s="143"/>
      <c r="O2" s="143"/>
      <c r="P2" s="143"/>
      <c r="Q2" s="143"/>
      <c r="R2" s="143"/>
      <c r="S2" s="142" t="str">
        <f>"FY"&amp;C4</f>
        <v>FY2018-19</v>
      </c>
      <c r="T2" s="143"/>
      <c r="U2" s="143"/>
      <c r="V2" s="143"/>
      <c r="W2" s="143"/>
      <c r="X2" s="143"/>
      <c r="Y2" s="143"/>
      <c r="Z2" s="142" t="str">
        <f>"FY"&amp;$C$4</f>
        <v>FY2018-19</v>
      </c>
      <c r="AA2" s="143"/>
      <c r="AB2" s="142"/>
      <c r="AC2" s="143"/>
      <c r="AD2" s="143"/>
      <c r="AE2" s="143"/>
      <c r="AF2" s="143"/>
      <c r="AG2" s="142" t="str">
        <f>"FY"&amp;$C$4</f>
        <v>FY2018-19</v>
      </c>
      <c r="AH2" s="81"/>
      <c r="AI2" s="81"/>
      <c r="AJ2" s="47"/>
      <c r="AK2" s="47"/>
    </row>
    <row r="3" spans="1:37" s="45" customFormat="1" ht="15.9" customHeight="1" x14ac:dyDescent="0.3">
      <c r="A3" s="33" t="s">
        <v>1</v>
      </c>
      <c r="B3" s="53"/>
      <c r="C3" s="51">
        <v>5366</v>
      </c>
      <c r="D3" s="51"/>
      <c r="E3" s="51"/>
      <c r="F3" s="51"/>
      <c r="G3" s="50"/>
      <c r="H3" s="19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54"/>
      <c r="AK3" s="54"/>
    </row>
    <row r="4" spans="1:37" s="45" customFormat="1" ht="15.9" customHeight="1" x14ac:dyDescent="0.4">
      <c r="A4" s="33" t="s">
        <v>2</v>
      </c>
      <c r="B4" s="53"/>
      <c r="C4" s="51" t="s">
        <v>188</v>
      </c>
      <c r="D4" s="48"/>
      <c r="E4" s="48"/>
      <c r="F4" s="48"/>
      <c r="G4" s="19"/>
      <c r="H4" s="19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54"/>
      <c r="AK4" s="54"/>
    </row>
    <row r="5" spans="1:37" s="45" customFormat="1" ht="15.9" customHeight="1" x14ac:dyDescent="0.3">
      <c r="A5" s="33" t="s">
        <v>18</v>
      </c>
      <c r="B5" s="53"/>
      <c r="C5" s="50" t="s">
        <v>269</v>
      </c>
      <c r="D5" s="50"/>
      <c r="E5" s="50"/>
      <c r="F5" s="50"/>
      <c r="G5" s="19"/>
      <c r="H5" s="19"/>
      <c r="I5" s="82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52"/>
      <c r="AK5" s="52"/>
    </row>
    <row r="6" spans="1:37" s="45" customFormat="1" ht="15.9" customHeight="1" x14ac:dyDescent="0.3">
      <c r="A6" s="33" t="s">
        <v>19</v>
      </c>
      <c r="B6" s="53"/>
      <c r="C6" s="51" t="s">
        <v>32</v>
      </c>
      <c r="D6" s="51"/>
      <c r="E6" s="51"/>
      <c r="F6" s="51"/>
      <c r="G6" s="19"/>
      <c r="H6" s="19"/>
      <c r="I6" s="82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52"/>
      <c r="AK6" s="52"/>
    </row>
    <row r="7" spans="1:37" s="45" customFormat="1" ht="15.9" customHeight="1" thickBot="1" x14ac:dyDescent="0.45">
      <c r="A7" s="32"/>
      <c r="B7" s="53"/>
      <c r="C7" s="51"/>
      <c r="D7" s="51"/>
      <c r="E7" s="51"/>
      <c r="F7" s="51"/>
      <c r="G7" s="19"/>
      <c r="H7" s="19"/>
      <c r="I7" s="82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52"/>
      <c r="AK7" s="52"/>
    </row>
    <row r="8" spans="1:37" ht="29.4" thickBot="1" x14ac:dyDescent="0.35">
      <c r="A8" s="34" t="s">
        <v>161</v>
      </c>
      <c r="B8" s="12" t="s">
        <v>155</v>
      </c>
      <c r="C8" s="12" t="s">
        <v>15</v>
      </c>
      <c r="D8" s="12" t="s">
        <v>124</v>
      </c>
      <c r="E8" s="12" t="s">
        <v>185</v>
      </c>
      <c r="F8" s="12" t="s">
        <v>163</v>
      </c>
      <c r="G8" s="12" t="s">
        <v>16</v>
      </c>
      <c r="H8" s="10" t="s">
        <v>17</v>
      </c>
      <c r="I8" s="141" t="s">
        <v>67</v>
      </c>
      <c r="J8" s="141" t="s">
        <v>68</v>
      </c>
      <c r="K8" s="141" t="s">
        <v>69</v>
      </c>
      <c r="L8" s="141" t="s">
        <v>141</v>
      </c>
      <c r="M8" s="141" t="s">
        <v>142</v>
      </c>
      <c r="N8" s="141" t="s">
        <v>152</v>
      </c>
      <c r="O8" s="141" t="s">
        <v>143</v>
      </c>
      <c r="P8" s="141" t="s">
        <v>144</v>
      </c>
      <c r="Q8" s="141" t="s">
        <v>145</v>
      </c>
      <c r="R8" s="141" t="s">
        <v>146</v>
      </c>
      <c r="S8" s="141" t="s">
        <v>147</v>
      </c>
      <c r="T8" s="141" t="s">
        <v>148</v>
      </c>
      <c r="U8" s="141" t="s">
        <v>149</v>
      </c>
      <c r="V8" s="141" t="s">
        <v>150</v>
      </c>
      <c r="W8" s="141" t="s">
        <v>151</v>
      </c>
      <c r="X8" s="55" t="s">
        <v>189</v>
      </c>
      <c r="Y8" s="59" t="s">
        <v>190</v>
      </c>
      <c r="Z8" s="55" t="s">
        <v>153</v>
      </c>
      <c r="AA8" s="55" t="s">
        <v>270</v>
      </c>
      <c r="AB8" s="55" t="s">
        <v>271</v>
      </c>
      <c r="AC8" s="55" t="s">
        <v>272</v>
      </c>
      <c r="AD8" s="55" t="s">
        <v>273</v>
      </c>
      <c r="AE8" s="55" t="s">
        <v>274</v>
      </c>
      <c r="AF8" s="55" t="s">
        <v>275</v>
      </c>
      <c r="AG8" s="59" t="s">
        <v>276</v>
      </c>
      <c r="AH8" s="55" t="s">
        <v>277</v>
      </c>
      <c r="AI8" s="55" t="s">
        <v>278</v>
      </c>
      <c r="AJ8" s="55" t="s">
        <v>183</v>
      </c>
      <c r="AK8" s="55" t="s">
        <v>184</v>
      </c>
    </row>
    <row r="9" spans="1:37" s="21" customFormat="1" ht="15" thickBot="1" x14ac:dyDescent="0.35">
      <c r="A9" s="83"/>
      <c r="B9" s="84"/>
      <c r="C9" s="85">
        <v>0</v>
      </c>
      <c r="D9" s="85"/>
      <c r="E9" s="85"/>
      <c r="F9" s="85">
        <f>C9+D9+E9</f>
        <v>0</v>
      </c>
      <c r="G9" s="102">
        <f>SUM(I9:AI9)</f>
        <v>0</v>
      </c>
      <c r="H9" s="85">
        <f t="shared" ref="H9:H11" si="0">F9-G9</f>
        <v>0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44"/>
      <c r="AK9" s="44"/>
    </row>
    <row r="10" spans="1:37" s="21" customFormat="1" ht="15" thickBot="1" x14ac:dyDescent="0.35">
      <c r="A10" s="83"/>
      <c r="B10" s="84"/>
      <c r="C10" s="85">
        <v>0</v>
      </c>
      <c r="D10" s="85"/>
      <c r="E10" s="85"/>
      <c r="F10" s="85">
        <f t="shared" ref="F10:F14" si="1">C10+D10+E10</f>
        <v>0</v>
      </c>
      <c r="G10" s="102">
        <f t="shared" ref="G10:G14" si="2">SUM(I10:AI10)</f>
        <v>0</v>
      </c>
      <c r="H10" s="85">
        <f t="shared" si="0"/>
        <v>0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44"/>
      <c r="AK10" s="44"/>
    </row>
    <row r="11" spans="1:37" s="21" customFormat="1" ht="15" thickBot="1" x14ac:dyDescent="0.35">
      <c r="A11" s="83"/>
      <c r="B11" s="84"/>
      <c r="C11" s="85">
        <v>0</v>
      </c>
      <c r="D11" s="85"/>
      <c r="E11" s="85"/>
      <c r="F11" s="85">
        <f t="shared" si="1"/>
        <v>0</v>
      </c>
      <c r="G11" s="102">
        <f t="shared" si="2"/>
        <v>0</v>
      </c>
      <c r="H11" s="85">
        <f t="shared" si="0"/>
        <v>0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44"/>
      <c r="AK11" s="44"/>
    </row>
    <row r="12" spans="1:37" s="154" customFormat="1" ht="15" thickBot="1" x14ac:dyDescent="0.35">
      <c r="A12" s="150"/>
      <c r="B12" s="84"/>
      <c r="C12" s="151">
        <v>0</v>
      </c>
      <c r="D12" s="151"/>
      <c r="E12" s="85"/>
      <c r="F12" s="85">
        <f t="shared" si="1"/>
        <v>0</v>
      </c>
      <c r="G12" s="152">
        <f t="shared" si="2"/>
        <v>0</v>
      </c>
      <c r="H12" s="151">
        <f>F12-G12</f>
        <v>0</v>
      </c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38"/>
      <c r="AK12" s="38"/>
    </row>
    <row r="13" spans="1:37" s="21" customFormat="1" ht="15" thickBot="1" x14ac:dyDescent="0.35">
      <c r="A13" s="83"/>
      <c r="B13" s="84"/>
      <c r="C13" s="85">
        <v>0</v>
      </c>
      <c r="D13" s="85"/>
      <c r="E13" s="85"/>
      <c r="F13" s="85">
        <f t="shared" si="1"/>
        <v>0</v>
      </c>
      <c r="G13" s="102">
        <f t="shared" si="2"/>
        <v>0</v>
      </c>
      <c r="H13" s="85">
        <f t="shared" ref="H13" si="3">F13-G13</f>
        <v>0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44"/>
      <c r="AK13" s="44"/>
    </row>
    <row r="14" spans="1:37" s="21" customFormat="1" ht="15" thickBot="1" x14ac:dyDescent="0.35">
      <c r="A14" s="83"/>
      <c r="B14" s="84"/>
      <c r="C14" s="85">
        <v>0</v>
      </c>
      <c r="D14" s="85"/>
      <c r="E14" s="85"/>
      <c r="F14" s="85">
        <f t="shared" si="1"/>
        <v>0</v>
      </c>
      <c r="G14" s="102">
        <f t="shared" si="2"/>
        <v>0</v>
      </c>
      <c r="H14" s="85">
        <f>F14-G14</f>
        <v>0</v>
      </c>
      <c r="I14" s="86"/>
      <c r="J14" s="103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76"/>
      <c r="AK14" s="76"/>
    </row>
    <row r="15" spans="1:37" s="21" customFormat="1" ht="15" thickBot="1" x14ac:dyDescent="0.35">
      <c r="A15" s="83"/>
      <c r="B15" s="84"/>
      <c r="C15" s="85"/>
      <c r="D15" s="85"/>
      <c r="E15" s="85"/>
      <c r="F15" s="122"/>
      <c r="G15" s="87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76"/>
      <c r="AK15" s="76"/>
    </row>
    <row r="16" spans="1:37" s="14" customFormat="1" ht="15" thickBot="1" x14ac:dyDescent="0.35">
      <c r="A16" s="88" t="s">
        <v>48</v>
      </c>
      <c r="B16" s="22"/>
      <c r="C16" s="89">
        <f>SUM(C9:C14)</f>
        <v>0</v>
      </c>
      <c r="D16" s="89">
        <f>SUM(D9:D14)</f>
        <v>0</v>
      </c>
      <c r="E16" s="85"/>
      <c r="F16" s="89">
        <f>SUM(F9:F14)</f>
        <v>0</v>
      </c>
      <c r="G16" s="104">
        <f t="shared" ref="G16:AK16" si="4">SUM(G9:G14)</f>
        <v>0</v>
      </c>
      <c r="H16" s="104">
        <f t="shared" si="4"/>
        <v>0</v>
      </c>
      <c r="I16" s="89">
        <f t="shared" si="4"/>
        <v>0</v>
      </c>
      <c r="J16" s="104">
        <f t="shared" si="4"/>
        <v>0</v>
      </c>
      <c r="K16" s="89">
        <f t="shared" si="4"/>
        <v>0</v>
      </c>
      <c r="L16" s="89">
        <f t="shared" si="4"/>
        <v>0</v>
      </c>
      <c r="M16" s="89">
        <f t="shared" si="4"/>
        <v>0</v>
      </c>
      <c r="N16" s="89">
        <f t="shared" si="4"/>
        <v>0</v>
      </c>
      <c r="O16" s="89">
        <f t="shared" si="4"/>
        <v>0</v>
      </c>
      <c r="P16" s="89">
        <f t="shared" si="4"/>
        <v>0</v>
      </c>
      <c r="Q16" s="89">
        <f t="shared" si="4"/>
        <v>0</v>
      </c>
      <c r="R16" s="89">
        <f t="shared" si="4"/>
        <v>0</v>
      </c>
      <c r="S16" s="89">
        <f t="shared" si="4"/>
        <v>0</v>
      </c>
      <c r="T16" s="89">
        <f t="shared" si="4"/>
        <v>0</v>
      </c>
      <c r="U16" s="89">
        <f t="shared" si="4"/>
        <v>0</v>
      </c>
      <c r="V16" s="89">
        <f t="shared" si="4"/>
        <v>0</v>
      </c>
      <c r="W16" s="89">
        <f t="shared" si="4"/>
        <v>0</v>
      </c>
      <c r="X16" s="89">
        <f t="shared" si="4"/>
        <v>0</v>
      </c>
      <c r="Y16" s="89">
        <f t="shared" si="4"/>
        <v>0</v>
      </c>
      <c r="Z16" s="89">
        <f t="shared" si="4"/>
        <v>0</v>
      </c>
      <c r="AA16" s="89">
        <f t="shared" si="4"/>
        <v>0</v>
      </c>
      <c r="AB16" s="89">
        <f t="shared" si="4"/>
        <v>0</v>
      </c>
      <c r="AC16" s="89">
        <f t="shared" si="4"/>
        <v>0</v>
      </c>
      <c r="AD16" s="89">
        <f t="shared" si="4"/>
        <v>0</v>
      </c>
      <c r="AE16" s="89">
        <f t="shared" si="4"/>
        <v>0</v>
      </c>
      <c r="AF16" s="89">
        <f t="shared" si="4"/>
        <v>0</v>
      </c>
      <c r="AG16" s="89">
        <f t="shared" si="4"/>
        <v>0</v>
      </c>
      <c r="AH16" s="89">
        <f t="shared" si="4"/>
        <v>0</v>
      </c>
      <c r="AI16" s="89">
        <f t="shared" si="4"/>
        <v>0</v>
      </c>
      <c r="AJ16" s="89">
        <f t="shared" si="4"/>
        <v>0</v>
      </c>
      <c r="AK16" s="89">
        <f t="shared" si="4"/>
        <v>0</v>
      </c>
    </row>
    <row r="17" spans="1:37" s="17" customFormat="1" x14ac:dyDescent="0.3">
      <c r="A17" s="35"/>
      <c r="C17" s="16"/>
      <c r="D17" s="16"/>
      <c r="E17" s="16"/>
      <c r="F17" s="16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44"/>
      <c r="AK17" s="44"/>
    </row>
    <row r="18" spans="1:37" s="17" customFormat="1" x14ac:dyDescent="0.3">
      <c r="A18" s="35"/>
      <c r="C18" s="16"/>
      <c r="D18" s="16"/>
      <c r="E18" s="16"/>
      <c r="F18" s="16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44"/>
      <c r="AK18" s="44"/>
    </row>
    <row r="19" spans="1:37" s="17" customFormat="1" x14ac:dyDescent="0.3">
      <c r="A19" s="35"/>
      <c r="C19" s="16"/>
      <c r="D19" s="16"/>
      <c r="E19" s="16"/>
      <c r="F19" s="16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76"/>
      <c r="AK19" s="76"/>
    </row>
    <row r="20" spans="1:37" s="17" customFormat="1" x14ac:dyDescent="0.3">
      <c r="A20" s="35"/>
      <c r="C20" s="16"/>
      <c r="D20" s="16"/>
      <c r="E20" s="16"/>
      <c r="F20" s="16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44"/>
      <c r="AK20" s="44"/>
    </row>
    <row r="21" spans="1:37" s="17" customFormat="1" x14ac:dyDescent="0.3">
      <c r="A21" s="35"/>
      <c r="C21" s="16"/>
      <c r="D21" s="16"/>
      <c r="E21" s="16"/>
      <c r="F21" s="16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76"/>
      <c r="AK21" s="76"/>
    </row>
    <row r="22" spans="1:37" s="17" customFormat="1" x14ac:dyDescent="0.3">
      <c r="A22" s="35"/>
      <c r="C22" s="16"/>
      <c r="D22" s="16"/>
      <c r="E22" s="16"/>
      <c r="F22" s="16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44"/>
      <c r="AK22" s="44"/>
    </row>
    <row r="23" spans="1:37" s="17" customFormat="1" x14ac:dyDescent="0.3">
      <c r="A23" s="35"/>
      <c r="C23" s="16"/>
      <c r="D23" s="16"/>
      <c r="E23" s="16"/>
      <c r="F23" s="16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44"/>
      <c r="AK23" s="44"/>
    </row>
    <row r="24" spans="1:37" s="17" customFormat="1" x14ac:dyDescent="0.3">
      <c r="A24" s="35"/>
      <c r="C24" s="16"/>
      <c r="D24" s="16"/>
      <c r="E24" s="16"/>
      <c r="F24" s="16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44"/>
      <c r="AK24" s="44"/>
    </row>
    <row r="25" spans="1:37" s="17" customFormat="1" x14ac:dyDescent="0.3">
      <c r="A25" s="35"/>
      <c r="C25" s="16"/>
      <c r="D25" s="16"/>
      <c r="E25" s="16"/>
      <c r="F25" s="16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76"/>
      <c r="AK25" s="76"/>
    </row>
    <row r="26" spans="1:37" s="17" customFormat="1" x14ac:dyDescent="0.3">
      <c r="A26" s="35"/>
      <c r="C26" s="16"/>
      <c r="D26" s="16"/>
      <c r="E26" s="16"/>
      <c r="F26" s="16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76"/>
      <c r="AK26" s="76"/>
    </row>
    <row r="27" spans="1:37" s="17" customFormat="1" x14ac:dyDescent="0.3">
      <c r="A27" s="35"/>
      <c r="C27" s="16"/>
      <c r="D27" s="16"/>
      <c r="E27" s="16"/>
      <c r="F27" s="16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44"/>
      <c r="AK27" s="44"/>
    </row>
    <row r="28" spans="1:37" s="17" customFormat="1" x14ac:dyDescent="0.3">
      <c r="A28" s="35"/>
      <c r="C28" s="16"/>
      <c r="D28" s="16"/>
      <c r="E28" s="16"/>
      <c r="F28" s="16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44"/>
      <c r="AK28" s="44"/>
    </row>
    <row r="29" spans="1:37" s="17" customFormat="1" x14ac:dyDescent="0.3">
      <c r="A29" s="35"/>
      <c r="C29" s="16"/>
      <c r="D29" s="16"/>
      <c r="E29" s="16"/>
      <c r="F29" s="16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44"/>
      <c r="AK29" s="44"/>
    </row>
    <row r="30" spans="1:37" s="17" customFormat="1" x14ac:dyDescent="0.3">
      <c r="A30" s="35"/>
      <c r="C30" s="16"/>
      <c r="D30" s="16"/>
      <c r="E30" s="16"/>
      <c r="F30" s="16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44"/>
      <c r="AK30" s="44"/>
    </row>
    <row r="31" spans="1:37" s="17" customFormat="1" x14ac:dyDescent="0.3">
      <c r="A31" s="35"/>
      <c r="C31" s="16"/>
      <c r="D31" s="16"/>
      <c r="E31" s="16"/>
      <c r="F31" s="16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76"/>
      <c r="AK31" s="76"/>
    </row>
    <row r="32" spans="1:37" s="17" customFormat="1" x14ac:dyDescent="0.3">
      <c r="A32" s="35"/>
      <c r="C32" s="16"/>
      <c r="D32" s="16"/>
      <c r="E32" s="16"/>
      <c r="F32" s="16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76"/>
      <c r="AK32" s="76"/>
    </row>
    <row r="33" spans="1:37" s="17" customFormat="1" x14ac:dyDescent="0.3">
      <c r="A33" s="35"/>
      <c r="C33" s="16"/>
      <c r="D33" s="16"/>
      <c r="E33" s="16"/>
      <c r="F33" s="16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44"/>
      <c r="AK33" s="44"/>
    </row>
    <row r="34" spans="1:37" s="17" customFormat="1" x14ac:dyDescent="0.3">
      <c r="A34" s="35"/>
      <c r="C34" s="16"/>
      <c r="D34" s="16"/>
      <c r="E34" s="16"/>
      <c r="F34" s="16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76"/>
      <c r="AK34" s="76"/>
    </row>
    <row r="35" spans="1:37" s="17" customFormat="1" x14ac:dyDescent="0.3">
      <c r="A35" s="35"/>
      <c r="C35" s="16"/>
      <c r="D35" s="16"/>
      <c r="E35" s="16"/>
      <c r="F35" s="16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44"/>
      <c r="AK35" s="44"/>
    </row>
    <row r="36" spans="1:37" s="17" customFormat="1" x14ac:dyDescent="0.3">
      <c r="A36" s="35"/>
      <c r="C36" s="16"/>
      <c r="D36" s="16"/>
      <c r="E36" s="16"/>
      <c r="F36" s="16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44"/>
      <c r="AK36" s="44"/>
    </row>
    <row r="37" spans="1:37" s="17" customFormat="1" x14ac:dyDescent="0.3">
      <c r="A37" s="35"/>
      <c r="C37" s="16"/>
      <c r="D37" s="16"/>
      <c r="E37" s="16"/>
      <c r="F37" s="16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</row>
    <row r="38" spans="1:37" s="17" customFormat="1" x14ac:dyDescent="0.3">
      <c r="A38" s="35"/>
      <c r="C38" s="16"/>
      <c r="D38" s="16"/>
      <c r="E38" s="16"/>
      <c r="F38" s="16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30"/>
      <c r="AK38" s="30"/>
    </row>
    <row r="39" spans="1:37" s="17" customFormat="1" x14ac:dyDescent="0.3">
      <c r="A39" s="35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30"/>
      <c r="AK39" s="30"/>
    </row>
    <row r="40" spans="1:37" s="17" customFormat="1" x14ac:dyDescent="0.3">
      <c r="A40" s="35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30"/>
      <c r="AK40" s="30"/>
    </row>
    <row r="41" spans="1:37" s="17" customFormat="1" x14ac:dyDescent="0.3">
      <c r="A41" s="35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30"/>
      <c r="AK41" s="30"/>
    </row>
    <row r="42" spans="1:37" s="17" customFormat="1" x14ac:dyDescent="0.3">
      <c r="A42" s="35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30"/>
      <c r="AK42" s="30"/>
    </row>
    <row r="43" spans="1:37" s="17" customFormat="1" x14ac:dyDescent="0.3">
      <c r="A43" s="35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30"/>
      <c r="AK43" s="30"/>
    </row>
    <row r="44" spans="1:37" s="17" customFormat="1" x14ac:dyDescent="0.3">
      <c r="A44" s="35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30"/>
      <c r="AK44" s="30"/>
    </row>
    <row r="45" spans="1:37" s="17" customFormat="1" x14ac:dyDescent="0.3">
      <c r="A45" s="35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30"/>
      <c r="AK45" s="30"/>
    </row>
    <row r="46" spans="1:37" s="17" customFormat="1" x14ac:dyDescent="0.3">
      <c r="A46" s="35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30"/>
      <c r="AK46" s="30"/>
    </row>
    <row r="47" spans="1:37" s="17" customFormat="1" x14ac:dyDescent="0.3">
      <c r="A47" s="35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30"/>
      <c r="AK47" s="30"/>
    </row>
    <row r="48" spans="1:37" s="17" customFormat="1" x14ac:dyDescent="0.3">
      <c r="A48" s="35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30"/>
      <c r="AK48" s="30"/>
    </row>
    <row r="49" spans="9:37" x14ac:dyDescent="0.3"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AJ49" s="30"/>
      <c r="AK49" s="30"/>
    </row>
    <row r="50" spans="9:37" x14ac:dyDescent="0.3"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AJ50" s="30"/>
      <c r="AK50" s="30"/>
    </row>
    <row r="51" spans="9:37" x14ac:dyDescent="0.3"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9:37" x14ac:dyDescent="0.3"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</row>
    <row r="53" spans="9:37" x14ac:dyDescent="0.3"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9:37" x14ac:dyDescent="0.3"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</row>
    <row r="55" spans="9:37" x14ac:dyDescent="0.3"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</row>
    <row r="56" spans="9:37" x14ac:dyDescent="0.3"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</sheetData>
  <sheetProtection algorithmName="SHA-512" hashValue="upr7sUHD+JzMSb8Qng3yz9GRBYde5hBxCixWXxlTna11wIP9UMjkaG7L/Be96PnFJUa+U7EuDKbnA+dgS9R/Xg==" saltValue="ziG9GptmyQV6S5VLL4B98Q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3">
    <tabColor theme="2"/>
  </sheetPr>
  <dimension ref="A1:AJ47"/>
  <sheetViews>
    <sheetView zoomScale="90" zoomScaleNormal="90" workbookViewId="0">
      <pane xSplit="7" ySplit="8" topLeftCell="M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F26" sqref="F26"/>
    </sheetView>
  </sheetViews>
  <sheetFormatPr defaultColWidth="9.109375" defaultRowHeight="14.4" x14ac:dyDescent="0.3"/>
  <cols>
    <col min="1" max="1" width="9.109375" style="44"/>
    <col min="2" max="2" width="36.6640625" style="44" customWidth="1"/>
    <col min="3" max="5" width="14.33203125" style="44" customWidth="1"/>
    <col min="6" max="6" width="14.109375" style="44" customWidth="1"/>
    <col min="7" max="7" width="17.88671875" style="44" customWidth="1"/>
    <col min="8" max="8" width="12.109375" style="44" customWidth="1"/>
    <col min="9" max="9" width="12.88671875" style="44" customWidth="1"/>
    <col min="10" max="10" width="12" style="44" customWidth="1"/>
    <col min="11" max="11" width="11.88671875" style="44" customWidth="1"/>
    <col min="12" max="12" width="12.33203125" style="44" customWidth="1"/>
    <col min="13" max="13" width="12.6640625" style="44" customWidth="1"/>
    <col min="14" max="14" width="12.44140625" style="44" customWidth="1"/>
    <col min="15" max="15" width="13.109375" style="44" customWidth="1"/>
    <col min="16" max="16" width="12.33203125" style="44" customWidth="1"/>
    <col min="17" max="17" width="13.88671875" style="44" customWidth="1"/>
    <col min="18" max="18" width="12.88671875" style="44" customWidth="1"/>
    <col min="19" max="19" width="13.109375" style="44" customWidth="1"/>
    <col min="20" max="20" width="13" style="44" customWidth="1"/>
    <col min="21" max="22" width="15.6640625" style="44" customWidth="1"/>
    <col min="23" max="23" width="12.5546875" style="44" bestFit="1" customWidth="1"/>
    <col min="24" max="24" width="15" style="44" bestFit="1" customWidth="1"/>
    <col min="25" max="25" width="14.6640625" style="44" bestFit="1" customWidth="1"/>
    <col min="26" max="26" width="12.109375" style="44" bestFit="1" customWidth="1"/>
    <col min="27" max="27" width="13.44140625" style="44" bestFit="1" customWidth="1"/>
    <col min="28" max="28" width="11" style="44" bestFit="1" customWidth="1"/>
    <col min="29" max="29" width="9.6640625" style="44" bestFit="1" customWidth="1"/>
    <col min="30" max="30" width="9.33203125" style="44" bestFit="1" customWidth="1"/>
    <col min="31" max="31" width="9.5546875" style="44" bestFit="1" customWidth="1"/>
    <col min="32" max="32" width="8.88671875" style="44" bestFit="1" customWidth="1"/>
    <col min="33" max="33" width="11.5546875" style="44" bestFit="1" customWidth="1"/>
    <col min="34" max="34" width="15.44140625" style="44" bestFit="1" customWidth="1"/>
    <col min="35" max="36" width="21.33203125" style="44" customWidth="1"/>
    <col min="37" max="16384" width="9.109375" style="44"/>
  </cols>
  <sheetData>
    <row r="1" spans="1:36" ht="21" x14ac:dyDescent="0.4">
      <c r="A1" s="47" t="s">
        <v>0</v>
      </c>
      <c r="B1" s="53"/>
      <c r="C1" s="48" t="s">
        <v>415</v>
      </c>
      <c r="D1" s="48"/>
      <c r="E1" s="48"/>
      <c r="F1" s="47"/>
      <c r="G1" s="49"/>
      <c r="H1" s="54"/>
      <c r="I1" s="54"/>
      <c r="J1" s="48"/>
      <c r="K1" s="48"/>
      <c r="L1" s="47"/>
      <c r="M1" s="47"/>
      <c r="N1" s="48" t="str">
        <f>$C$1</f>
        <v>Title III PD</v>
      </c>
      <c r="O1" s="49"/>
      <c r="P1" s="54"/>
      <c r="Q1" s="48"/>
      <c r="R1" s="48"/>
      <c r="S1" s="48"/>
      <c r="T1" s="48" t="str">
        <f>$C$1</f>
        <v>Title III PD</v>
      </c>
      <c r="U1" s="47"/>
      <c r="V1" s="49"/>
      <c r="W1" s="49"/>
      <c r="X1" s="48"/>
      <c r="Y1" s="49"/>
      <c r="Z1" s="49"/>
      <c r="AA1" s="48" t="str">
        <f>$C$1</f>
        <v>Title III PD</v>
      </c>
      <c r="AB1" s="49"/>
      <c r="AC1" s="49"/>
      <c r="AD1" s="49"/>
      <c r="AE1" s="48"/>
      <c r="AF1" s="49"/>
      <c r="AG1" s="49"/>
      <c r="AH1" s="49"/>
      <c r="AI1" s="47"/>
      <c r="AJ1" s="47"/>
    </row>
    <row r="2" spans="1:36" ht="21" x14ac:dyDescent="0.4">
      <c r="A2" s="47" t="s">
        <v>171</v>
      </c>
      <c r="B2" s="49"/>
      <c r="C2" s="47"/>
      <c r="D2" s="47"/>
      <c r="E2" s="47"/>
      <c r="F2" s="50"/>
      <c r="G2" s="19"/>
      <c r="H2" s="54"/>
      <c r="I2" s="54"/>
      <c r="J2" s="50"/>
      <c r="K2" s="48"/>
      <c r="L2" s="48" t="s">
        <v>33</v>
      </c>
      <c r="M2" s="51"/>
      <c r="N2" s="50" t="str">
        <f>"FY"&amp;$C$4</f>
        <v>FY2018-19</v>
      </c>
      <c r="O2" s="19"/>
      <c r="P2" s="19"/>
      <c r="Q2" s="50"/>
      <c r="R2" s="50"/>
      <c r="S2" s="48"/>
      <c r="T2" s="50" t="str">
        <f>"FY"&amp;$C$4</f>
        <v>FY2018-19</v>
      </c>
      <c r="U2" s="51"/>
      <c r="V2" s="19"/>
      <c r="W2" s="49"/>
      <c r="X2" s="50"/>
      <c r="Y2" s="49"/>
      <c r="Z2" s="49"/>
      <c r="AA2" s="50" t="str">
        <f>"FY"&amp;$C$4</f>
        <v>FY2018-19</v>
      </c>
      <c r="AB2" s="49"/>
      <c r="AC2" s="49"/>
      <c r="AD2" s="49"/>
      <c r="AE2" s="50"/>
      <c r="AF2" s="49"/>
      <c r="AG2" s="49"/>
      <c r="AH2" s="49"/>
      <c r="AI2" s="47"/>
      <c r="AJ2" s="47"/>
    </row>
    <row r="3" spans="1:36" ht="15.9" customHeight="1" x14ac:dyDescent="0.4">
      <c r="A3" s="50" t="s">
        <v>1</v>
      </c>
      <c r="B3" s="53"/>
      <c r="C3" s="51">
        <v>5365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54"/>
      <c r="AJ3" s="54"/>
    </row>
    <row r="4" spans="1:36" ht="15.9" customHeight="1" x14ac:dyDescent="0.4">
      <c r="A4" s="50" t="s">
        <v>2</v>
      </c>
      <c r="B4" s="53"/>
      <c r="C4" s="51" t="s">
        <v>188</v>
      </c>
      <c r="D4" s="51"/>
      <c r="E4" s="51"/>
      <c r="F4" s="19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54"/>
      <c r="AJ4" s="54"/>
    </row>
    <row r="5" spans="1:36" ht="15.9" customHeight="1" x14ac:dyDescent="0.4">
      <c r="A5" s="50" t="s">
        <v>164</v>
      </c>
      <c r="B5" s="53"/>
      <c r="C5" s="63" t="s">
        <v>508</v>
      </c>
      <c r="D5" s="128"/>
      <c r="E5" s="128"/>
      <c r="F5" s="50"/>
      <c r="G5" s="9"/>
      <c r="H5" s="9"/>
      <c r="I5" s="9"/>
      <c r="J5" s="9"/>
      <c r="K5" s="9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2"/>
      <c r="AJ5" s="52"/>
    </row>
    <row r="6" spans="1:36" ht="15.9" customHeight="1" x14ac:dyDescent="0.4">
      <c r="A6" s="50" t="s">
        <v>19</v>
      </c>
      <c r="B6" s="53"/>
      <c r="C6" s="67" t="s">
        <v>509</v>
      </c>
      <c r="D6" s="50"/>
      <c r="E6" s="50"/>
      <c r="F6" s="50"/>
      <c r="G6" s="9"/>
      <c r="H6" s="9"/>
      <c r="I6" s="9"/>
      <c r="J6" s="9"/>
      <c r="K6" s="9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2"/>
      <c r="AJ6" s="52"/>
    </row>
    <row r="7" spans="1:36" ht="15.9" customHeight="1" thickBot="1" x14ac:dyDescent="0.45">
      <c r="A7" s="50"/>
      <c r="B7" s="53"/>
      <c r="C7" s="50"/>
      <c r="D7" s="50"/>
      <c r="E7" s="50"/>
      <c r="F7" s="50"/>
      <c r="G7" s="9"/>
      <c r="H7" s="9"/>
      <c r="I7" s="9"/>
      <c r="J7" s="9"/>
      <c r="K7" s="9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52"/>
      <c r="AJ7" s="52"/>
    </row>
    <row r="8" spans="1:36" s="126" customFormat="1" ht="29.4" thickBot="1" x14ac:dyDescent="0.35">
      <c r="A8" s="55" t="s">
        <v>161</v>
      </c>
      <c r="B8" s="55" t="s">
        <v>45</v>
      </c>
      <c r="C8" s="55" t="s">
        <v>15</v>
      </c>
      <c r="D8" s="55" t="s">
        <v>124</v>
      </c>
      <c r="E8" s="55" t="s">
        <v>163</v>
      </c>
      <c r="F8" s="55" t="s">
        <v>16</v>
      </c>
      <c r="G8" s="25" t="s">
        <v>17</v>
      </c>
      <c r="H8" s="26" t="s">
        <v>67</v>
      </c>
      <c r="I8" s="27" t="s">
        <v>68</v>
      </c>
      <c r="J8" s="26" t="s">
        <v>69</v>
      </c>
      <c r="K8" s="27" t="s">
        <v>141</v>
      </c>
      <c r="L8" s="26" t="s">
        <v>142</v>
      </c>
      <c r="M8" s="27" t="s">
        <v>152</v>
      </c>
      <c r="N8" s="27" t="s">
        <v>143</v>
      </c>
      <c r="O8" s="27" t="s">
        <v>144</v>
      </c>
      <c r="P8" s="27" t="s">
        <v>145</v>
      </c>
      <c r="Q8" s="27" t="s">
        <v>146</v>
      </c>
      <c r="R8" s="27" t="s">
        <v>147</v>
      </c>
      <c r="S8" s="27" t="s">
        <v>148</v>
      </c>
      <c r="T8" s="26" t="s">
        <v>149</v>
      </c>
      <c r="U8" s="27" t="s">
        <v>150</v>
      </c>
      <c r="V8" s="27" t="s">
        <v>151</v>
      </c>
      <c r="W8" s="27" t="s">
        <v>189</v>
      </c>
      <c r="X8" s="26" t="s">
        <v>190</v>
      </c>
      <c r="Y8" s="27" t="s">
        <v>153</v>
      </c>
      <c r="Z8" s="27" t="s">
        <v>270</v>
      </c>
      <c r="AA8" s="27" t="s">
        <v>271</v>
      </c>
      <c r="AB8" s="27" t="s">
        <v>272</v>
      </c>
      <c r="AC8" s="27" t="s">
        <v>273</v>
      </c>
      <c r="AD8" s="27" t="s">
        <v>274</v>
      </c>
      <c r="AE8" s="27" t="s">
        <v>275</v>
      </c>
      <c r="AF8" s="26" t="s">
        <v>276</v>
      </c>
      <c r="AG8" s="27" t="s">
        <v>277</v>
      </c>
      <c r="AH8" s="27" t="s">
        <v>278</v>
      </c>
      <c r="AI8" s="55" t="s">
        <v>183</v>
      </c>
      <c r="AJ8" s="55" t="s">
        <v>184</v>
      </c>
    </row>
    <row r="9" spans="1:36" s="125" customFormat="1" ht="29.4" thickBot="1" x14ac:dyDescent="0.4">
      <c r="A9" s="145" t="s">
        <v>36</v>
      </c>
      <c r="B9" s="69" t="s">
        <v>94</v>
      </c>
      <c r="C9" s="140">
        <v>113000</v>
      </c>
      <c r="D9" s="105">
        <v>0</v>
      </c>
      <c r="E9" s="105">
        <v>113000</v>
      </c>
      <c r="F9" s="140">
        <f>SUM(H9:AH9)</f>
        <v>64150</v>
      </c>
      <c r="G9" s="140">
        <f t="shared" ref="G9" si="0">C9-F9</f>
        <v>48850</v>
      </c>
      <c r="H9" s="139"/>
      <c r="I9" s="139"/>
      <c r="J9" s="139"/>
      <c r="K9" s="139"/>
      <c r="L9" s="139"/>
      <c r="M9" s="139">
        <v>1816</v>
      </c>
      <c r="N9" s="139">
        <v>3111</v>
      </c>
      <c r="O9" s="139">
        <v>6598</v>
      </c>
      <c r="P9" s="139">
        <v>6707</v>
      </c>
      <c r="Q9" s="139">
        <v>6150</v>
      </c>
      <c r="R9" s="139"/>
      <c r="S9" s="139">
        <f>7144+9923</f>
        <v>17067</v>
      </c>
      <c r="T9" s="139">
        <v>22247</v>
      </c>
      <c r="U9" s="139">
        <v>454</v>
      </c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44"/>
      <c r="AJ9" s="44"/>
    </row>
    <row r="10" spans="1:36" ht="15" thickBot="1" x14ac:dyDescent="0.35">
      <c r="A10" s="69"/>
      <c r="B10" s="69"/>
      <c r="C10" s="69"/>
      <c r="D10" s="69"/>
      <c r="E10" s="69"/>
      <c r="F10" s="69"/>
      <c r="G10" s="6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76"/>
      <c r="AJ10" s="76"/>
    </row>
    <row r="11" spans="1:36" s="124" customFormat="1" ht="15" thickBot="1" x14ac:dyDescent="0.35">
      <c r="A11" s="71" t="s">
        <v>48</v>
      </c>
      <c r="B11" s="71"/>
      <c r="C11" s="71">
        <f>SUM(C9:C9)</f>
        <v>113000</v>
      </c>
      <c r="D11" s="71">
        <v>0</v>
      </c>
      <c r="E11" s="71">
        <f>C11+D11</f>
        <v>113000</v>
      </c>
      <c r="F11" s="71">
        <f t="shared" ref="F11:AJ11" si="1">SUM(F9:F9)</f>
        <v>64150</v>
      </c>
      <c r="G11" s="71">
        <f t="shared" si="1"/>
        <v>48850</v>
      </c>
      <c r="H11" s="71">
        <f t="shared" si="1"/>
        <v>0</v>
      </c>
      <c r="I11" s="71">
        <f t="shared" si="1"/>
        <v>0</v>
      </c>
      <c r="J11" s="71">
        <f t="shared" si="1"/>
        <v>0</v>
      </c>
      <c r="K11" s="71">
        <f t="shared" si="1"/>
        <v>0</v>
      </c>
      <c r="L11" s="71">
        <f t="shared" si="1"/>
        <v>0</v>
      </c>
      <c r="M11" s="71">
        <f t="shared" si="1"/>
        <v>1816</v>
      </c>
      <c r="N11" s="71">
        <f t="shared" si="1"/>
        <v>3111</v>
      </c>
      <c r="O11" s="71">
        <f t="shared" si="1"/>
        <v>6598</v>
      </c>
      <c r="P11" s="71">
        <f t="shared" si="1"/>
        <v>6707</v>
      </c>
      <c r="Q11" s="71">
        <f t="shared" si="1"/>
        <v>6150</v>
      </c>
      <c r="R11" s="71">
        <f t="shared" si="1"/>
        <v>0</v>
      </c>
      <c r="S11" s="71">
        <f t="shared" si="1"/>
        <v>17067</v>
      </c>
      <c r="T11" s="71">
        <f t="shared" si="1"/>
        <v>22247</v>
      </c>
      <c r="U11" s="71">
        <f t="shared" si="1"/>
        <v>454</v>
      </c>
      <c r="V11" s="71">
        <f t="shared" si="1"/>
        <v>0</v>
      </c>
      <c r="W11" s="71">
        <f t="shared" si="1"/>
        <v>0</v>
      </c>
      <c r="X11" s="71">
        <f t="shared" si="1"/>
        <v>0</v>
      </c>
      <c r="Y11" s="71">
        <f t="shared" si="1"/>
        <v>0</v>
      </c>
      <c r="Z11" s="71">
        <f t="shared" si="1"/>
        <v>0</v>
      </c>
      <c r="AA11" s="71">
        <f t="shared" si="1"/>
        <v>0</v>
      </c>
      <c r="AB11" s="71">
        <f t="shared" si="1"/>
        <v>0</v>
      </c>
      <c r="AC11" s="71">
        <f t="shared" si="1"/>
        <v>0</v>
      </c>
      <c r="AD11" s="71">
        <f t="shared" si="1"/>
        <v>0</v>
      </c>
      <c r="AE11" s="71">
        <f t="shared" si="1"/>
        <v>0</v>
      </c>
      <c r="AF11" s="71">
        <f t="shared" si="1"/>
        <v>0</v>
      </c>
      <c r="AG11" s="71">
        <f t="shared" si="1"/>
        <v>0</v>
      </c>
      <c r="AH11" s="71">
        <f t="shared" si="1"/>
        <v>0</v>
      </c>
      <c r="AI11" s="71">
        <f t="shared" si="1"/>
        <v>0</v>
      </c>
      <c r="AJ11" s="71">
        <f t="shared" si="1"/>
        <v>0</v>
      </c>
    </row>
    <row r="12" spans="1:36" x14ac:dyDescent="0.3">
      <c r="AI12" s="76"/>
      <c r="AJ12" s="76"/>
    </row>
    <row r="13" spans="1:36" x14ac:dyDescent="0.3">
      <c r="Q13" s="123"/>
    </row>
    <row r="14" spans="1:36" x14ac:dyDescent="0.3">
      <c r="S14" s="123"/>
    </row>
    <row r="16" spans="1:36" x14ac:dyDescent="0.3">
      <c r="AI16" s="76"/>
      <c r="AJ16" s="76"/>
    </row>
    <row r="18" spans="35:36" x14ac:dyDescent="0.3">
      <c r="AI18" s="76"/>
      <c r="AJ18" s="76"/>
    </row>
    <row r="22" spans="35:36" x14ac:dyDescent="0.3">
      <c r="AI22" s="76"/>
      <c r="AJ22" s="76"/>
    </row>
    <row r="23" spans="35:36" x14ac:dyDescent="0.3">
      <c r="AI23" s="76"/>
      <c r="AJ23" s="76"/>
    </row>
    <row r="28" spans="35:36" x14ac:dyDescent="0.3">
      <c r="AI28" s="76"/>
      <c r="AJ28" s="76"/>
    </row>
    <row r="29" spans="35:36" x14ac:dyDescent="0.3">
      <c r="AI29" s="76"/>
      <c r="AJ29" s="76"/>
    </row>
    <row r="31" spans="35:36" x14ac:dyDescent="0.3">
      <c r="AI31" s="76"/>
      <c r="AJ31" s="76"/>
    </row>
    <row r="34" spans="35:36" x14ac:dyDescent="0.3">
      <c r="AI34" s="30"/>
      <c r="AJ34" s="30"/>
    </row>
    <row r="35" spans="35:36" x14ac:dyDescent="0.3">
      <c r="AI35" s="30"/>
      <c r="AJ35" s="30"/>
    </row>
    <row r="36" spans="35:36" x14ac:dyDescent="0.3">
      <c r="AI36" s="30"/>
      <c r="AJ36" s="30"/>
    </row>
    <row r="37" spans="35:36" x14ac:dyDescent="0.3">
      <c r="AI37" s="30"/>
      <c r="AJ37" s="30"/>
    </row>
    <row r="38" spans="35:36" x14ac:dyDescent="0.3">
      <c r="AI38" s="30"/>
      <c r="AJ38" s="30"/>
    </row>
    <row r="39" spans="35:36" x14ac:dyDescent="0.3">
      <c r="AI39" s="30"/>
      <c r="AJ39" s="30"/>
    </row>
    <row r="40" spans="35:36" x14ac:dyDescent="0.3">
      <c r="AI40" s="30"/>
      <c r="AJ40" s="30"/>
    </row>
    <row r="41" spans="35:36" x14ac:dyDescent="0.3">
      <c r="AI41" s="30"/>
      <c r="AJ41" s="30"/>
    </row>
    <row r="42" spans="35:36" x14ac:dyDescent="0.3">
      <c r="AI42" s="30"/>
      <c r="AJ42" s="30"/>
    </row>
    <row r="43" spans="35:36" x14ac:dyDescent="0.3">
      <c r="AI43" s="30"/>
      <c r="AJ43" s="30"/>
    </row>
    <row r="44" spans="35:36" x14ac:dyDescent="0.3">
      <c r="AI44" s="30"/>
      <c r="AJ44" s="30"/>
    </row>
    <row r="45" spans="35:36" x14ac:dyDescent="0.3">
      <c r="AI45" s="30"/>
      <c r="AJ45" s="30"/>
    </row>
    <row r="46" spans="35:36" x14ac:dyDescent="0.3">
      <c r="AI46" s="30"/>
      <c r="AJ46" s="30"/>
    </row>
    <row r="47" spans="35:36" x14ac:dyDescent="0.3">
      <c r="AI47" s="30"/>
      <c r="AJ47" s="30"/>
    </row>
  </sheetData>
  <sheetProtection password="E89A" sheet="1" objects="1" scenarios="1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>
    <tabColor theme="2"/>
  </sheetPr>
  <dimension ref="A1:AO58"/>
  <sheetViews>
    <sheetView zoomScale="98" zoomScaleNormal="98" workbookViewId="0">
      <pane xSplit="7" ySplit="8" topLeftCell="O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C5" sqref="C5"/>
    </sheetView>
  </sheetViews>
  <sheetFormatPr defaultColWidth="9.109375" defaultRowHeight="14.4" x14ac:dyDescent="0.3"/>
  <cols>
    <col min="1" max="1" width="9.109375" style="45"/>
    <col min="2" max="2" width="34.44140625" style="45" customWidth="1"/>
    <col min="3" max="3" width="9.6640625" style="45" customWidth="1"/>
    <col min="4" max="4" width="44.88671875" style="45" customWidth="1"/>
    <col min="5" max="7" width="14.6640625" style="45" customWidth="1"/>
    <col min="8" max="31" width="12.6640625" style="45" customWidth="1"/>
    <col min="32" max="33" width="21.33203125" style="44" customWidth="1"/>
    <col min="34" max="16384" width="9.109375" style="45"/>
  </cols>
  <sheetData>
    <row r="1" spans="1:33" ht="21" x14ac:dyDescent="0.4">
      <c r="A1" s="47" t="s">
        <v>0</v>
      </c>
      <c r="B1" s="53"/>
      <c r="C1" s="48" t="s">
        <v>49</v>
      </c>
      <c r="D1" s="48"/>
      <c r="E1" s="54"/>
      <c r="F1" s="54"/>
      <c r="G1" s="53"/>
      <c r="H1" s="53"/>
      <c r="I1" s="53"/>
      <c r="J1" s="48"/>
      <c r="K1" s="53"/>
      <c r="L1" s="48" t="str">
        <f>$C$1</f>
        <v>Title V-B Charter School Grant Program C1</v>
      </c>
      <c r="M1" s="53"/>
      <c r="N1" s="53"/>
      <c r="O1" s="53"/>
      <c r="P1" s="53"/>
      <c r="Q1" s="48"/>
      <c r="R1" s="48" t="str">
        <f>$C$1</f>
        <v>Title V-B Charter School Grant Program C1</v>
      </c>
      <c r="S1" s="53"/>
      <c r="T1" s="53"/>
      <c r="U1" s="53"/>
      <c r="V1" s="53"/>
      <c r="W1" s="53"/>
      <c r="X1" s="53"/>
      <c r="Y1" s="48" t="str">
        <f>$C$1</f>
        <v>Title V-B Charter School Grant Program C1</v>
      </c>
      <c r="Z1" s="53"/>
      <c r="AA1" s="53"/>
      <c r="AB1" s="53"/>
      <c r="AC1" s="53"/>
      <c r="AD1" s="53"/>
      <c r="AE1" s="53"/>
      <c r="AF1" s="47"/>
      <c r="AG1" s="47"/>
    </row>
    <row r="2" spans="1:33" ht="21" x14ac:dyDescent="0.4">
      <c r="A2" s="47" t="s">
        <v>171</v>
      </c>
      <c r="B2" s="49"/>
      <c r="C2" s="48" t="s">
        <v>182</v>
      </c>
      <c r="D2" s="48"/>
      <c r="E2" s="54"/>
      <c r="F2" s="54"/>
      <c r="G2" s="53"/>
      <c r="H2" s="53"/>
      <c r="I2" s="53"/>
      <c r="J2" s="50"/>
      <c r="K2" s="53"/>
      <c r="L2" s="50" t="str">
        <f>"FY"&amp;$C$4</f>
        <v>FY2018-19</v>
      </c>
      <c r="M2" s="53"/>
      <c r="N2" s="53"/>
      <c r="O2" s="53"/>
      <c r="P2" s="53"/>
      <c r="Q2" s="56"/>
      <c r="R2" s="50" t="str">
        <f>"FY"&amp;$C$4</f>
        <v>FY2018-19</v>
      </c>
      <c r="S2" s="53"/>
      <c r="T2" s="53"/>
      <c r="U2" s="53"/>
      <c r="V2" s="53"/>
      <c r="W2" s="53"/>
      <c r="X2" s="53"/>
      <c r="Y2" s="50" t="str">
        <f>"FY"&amp;$C$4</f>
        <v>FY2018-19</v>
      </c>
      <c r="Z2" s="53"/>
      <c r="AA2" s="53"/>
      <c r="AB2" s="53"/>
      <c r="AC2" s="53"/>
      <c r="AD2" s="53"/>
      <c r="AE2" s="53"/>
      <c r="AF2" s="47"/>
      <c r="AG2" s="47"/>
    </row>
    <row r="3" spans="1:33" ht="15.6" x14ac:dyDescent="0.3">
      <c r="A3" s="50" t="s">
        <v>1</v>
      </c>
      <c r="B3" s="53"/>
      <c r="C3" s="51">
        <v>5282</v>
      </c>
      <c r="D3" s="51"/>
      <c r="E3" s="54"/>
      <c r="F3" s="54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4"/>
    </row>
    <row r="4" spans="1:33" ht="15.6" x14ac:dyDescent="0.3">
      <c r="A4" s="50" t="s">
        <v>2</v>
      </c>
      <c r="B4" s="53"/>
      <c r="C4" s="51" t="s">
        <v>188</v>
      </c>
      <c r="D4" s="51"/>
      <c r="E4" s="50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4"/>
      <c r="AG4" s="54"/>
    </row>
    <row r="5" spans="1:33" ht="15.6" x14ac:dyDescent="0.3">
      <c r="A5" s="50" t="s">
        <v>18</v>
      </c>
      <c r="B5" s="53"/>
      <c r="C5" s="63" t="s">
        <v>508</v>
      </c>
      <c r="D5" s="50"/>
      <c r="E5" s="54"/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2"/>
      <c r="AG5" s="52"/>
    </row>
    <row r="6" spans="1:33" ht="15.6" x14ac:dyDescent="0.3">
      <c r="A6" s="50" t="s">
        <v>19</v>
      </c>
      <c r="B6" s="53"/>
      <c r="C6" s="67" t="s">
        <v>509</v>
      </c>
      <c r="D6" s="50"/>
      <c r="E6" s="54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2"/>
      <c r="AG6" s="52"/>
    </row>
    <row r="7" spans="1:33" ht="15" thickBot="1" x14ac:dyDescent="0.3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2"/>
      <c r="AG7" s="52"/>
    </row>
    <row r="8" spans="1:33" ht="29.4" thickBot="1" x14ac:dyDescent="0.35">
      <c r="A8" s="57" t="s">
        <v>161</v>
      </c>
      <c r="B8" s="57" t="s">
        <v>162</v>
      </c>
      <c r="C8" s="57" t="s">
        <v>168</v>
      </c>
      <c r="D8" s="57" t="s">
        <v>44</v>
      </c>
      <c r="E8" s="55" t="s">
        <v>15</v>
      </c>
      <c r="F8" s="55" t="s">
        <v>16</v>
      </c>
      <c r="G8" s="25" t="s">
        <v>17</v>
      </c>
      <c r="H8" s="231" t="s">
        <v>141</v>
      </c>
      <c r="I8" s="232" t="s">
        <v>142</v>
      </c>
      <c r="J8" s="231" t="s">
        <v>152</v>
      </c>
      <c r="K8" s="232" t="s">
        <v>143</v>
      </c>
      <c r="L8" s="231" t="s">
        <v>144</v>
      </c>
      <c r="M8" s="232" t="s">
        <v>145</v>
      </c>
      <c r="N8" s="231" t="s">
        <v>146</v>
      </c>
      <c r="O8" s="232" t="s">
        <v>147</v>
      </c>
      <c r="P8" s="231" t="s">
        <v>148</v>
      </c>
      <c r="Q8" s="232" t="s">
        <v>149</v>
      </c>
      <c r="R8" s="232" t="s">
        <v>150</v>
      </c>
      <c r="S8" s="232" t="s">
        <v>151</v>
      </c>
      <c r="T8" s="232" t="s">
        <v>189</v>
      </c>
      <c r="U8" s="232" t="s">
        <v>190</v>
      </c>
      <c r="V8" s="232" t="s">
        <v>153</v>
      </c>
      <c r="W8" s="232" t="s">
        <v>270</v>
      </c>
      <c r="X8" s="232" t="s">
        <v>271</v>
      </c>
      <c r="Y8" s="232" t="s">
        <v>272</v>
      </c>
      <c r="Z8" s="232" t="s">
        <v>273</v>
      </c>
      <c r="AA8" s="232" t="s">
        <v>274</v>
      </c>
      <c r="AB8" s="232" t="s">
        <v>275</v>
      </c>
      <c r="AC8" s="232" t="s">
        <v>276</v>
      </c>
      <c r="AD8" s="232" t="s">
        <v>277</v>
      </c>
      <c r="AE8" s="232" t="s">
        <v>278</v>
      </c>
      <c r="AF8" s="188" t="s">
        <v>183</v>
      </c>
      <c r="AG8" s="188" t="s">
        <v>184</v>
      </c>
    </row>
    <row r="9" spans="1:33" ht="15" thickBot="1" x14ac:dyDescent="0.35">
      <c r="A9" s="200" t="s">
        <v>97</v>
      </c>
      <c r="B9" s="199" t="s">
        <v>98</v>
      </c>
      <c r="C9" s="202" t="s">
        <v>502</v>
      </c>
      <c r="D9" s="201" t="s">
        <v>454</v>
      </c>
      <c r="E9" s="257">
        <v>229250</v>
      </c>
      <c r="F9" s="258">
        <f t="shared" ref="F9:F36" si="0">SUM(H9:AE9)</f>
        <v>229250</v>
      </c>
      <c r="G9" s="259">
        <f>E9-F9</f>
        <v>0</v>
      </c>
      <c r="H9" s="253"/>
      <c r="I9" s="253"/>
      <c r="J9" s="253"/>
      <c r="K9" s="253"/>
      <c r="L9" s="260">
        <v>160176</v>
      </c>
      <c r="M9" s="260"/>
      <c r="N9" s="253"/>
      <c r="O9" s="253"/>
      <c r="P9" s="253"/>
      <c r="Q9" s="253"/>
      <c r="R9" s="253"/>
      <c r="S9" s="253">
        <v>69074</v>
      </c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61"/>
      <c r="AG9" s="234"/>
    </row>
    <row r="10" spans="1:33" ht="15" thickBot="1" x14ac:dyDescent="0.35">
      <c r="A10" s="166" t="s">
        <v>4</v>
      </c>
      <c r="B10" s="199" t="s">
        <v>100</v>
      </c>
      <c r="C10" s="200" t="s">
        <v>424</v>
      </c>
      <c r="D10" s="201" t="s">
        <v>447</v>
      </c>
      <c r="E10" s="262">
        <v>195000</v>
      </c>
      <c r="F10" s="258">
        <f t="shared" si="0"/>
        <v>155171.28</v>
      </c>
      <c r="G10" s="259">
        <f t="shared" ref="G10:G38" si="1">E10-F10</f>
        <v>39828.720000000001</v>
      </c>
      <c r="H10" s="253"/>
      <c r="I10" s="253"/>
      <c r="J10" s="253"/>
      <c r="K10" s="253"/>
      <c r="L10" s="253">
        <v>15374</v>
      </c>
      <c r="M10" s="260">
        <v>71222</v>
      </c>
      <c r="N10" s="253"/>
      <c r="O10" s="260"/>
      <c r="P10" s="253">
        <v>68575.28</v>
      </c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61"/>
      <c r="AG10" s="234"/>
    </row>
    <row r="11" spans="1:33" ht="29.4" thickBot="1" x14ac:dyDescent="0.35">
      <c r="A11" s="200" t="s">
        <v>53</v>
      </c>
      <c r="B11" s="199" t="s">
        <v>194</v>
      </c>
      <c r="C11" s="200" t="s">
        <v>60</v>
      </c>
      <c r="D11" s="228" t="s">
        <v>449</v>
      </c>
      <c r="E11" s="263">
        <v>229250</v>
      </c>
      <c r="F11" s="258">
        <f t="shared" si="0"/>
        <v>229249.81</v>
      </c>
      <c r="G11" s="259">
        <f t="shared" si="1"/>
        <v>0.19000000000232831</v>
      </c>
      <c r="H11" s="253"/>
      <c r="I11" s="253"/>
      <c r="J11" s="253"/>
      <c r="K11" s="253"/>
      <c r="L11" s="253"/>
      <c r="M11" s="253"/>
      <c r="N11" s="253"/>
      <c r="O11" s="260"/>
      <c r="P11" s="260"/>
      <c r="Q11" s="253">
        <v>127983</v>
      </c>
      <c r="R11" s="253">
        <v>101266.81</v>
      </c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61"/>
      <c r="AG11" s="234"/>
    </row>
    <row r="12" spans="1:33" ht="15" thickBot="1" x14ac:dyDescent="0.35">
      <c r="A12" s="166" t="s">
        <v>56</v>
      </c>
      <c r="B12" s="199" t="s">
        <v>230</v>
      </c>
      <c r="C12" s="166" t="s">
        <v>503</v>
      </c>
      <c r="D12" s="213" t="s">
        <v>230</v>
      </c>
      <c r="E12" s="258">
        <v>229250</v>
      </c>
      <c r="F12" s="258">
        <f t="shared" si="0"/>
        <v>226851.94</v>
      </c>
      <c r="G12" s="259">
        <f t="shared" si="1"/>
        <v>2398.0599999999977</v>
      </c>
      <c r="H12" s="253"/>
      <c r="I12" s="253"/>
      <c r="J12" s="253"/>
      <c r="K12" s="253"/>
      <c r="L12" s="253"/>
      <c r="M12" s="253"/>
      <c r="N12" s="253">
        <v>50850</v>
      </c>
      <c r="O12" s="260"/>
      <c r="P12" s="260">
        <v>122262</v>
      </c>
      <c r="Q12" s="253"/>
      <c r="R12" s="253">
        <v>53739.94</v>
      </c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61"/>
      <c r="AG12" s="234"/>
    </row>
    <row r="13" spans="1:33" ht="15" thickBot="1" x14ac:dyDescent="0.35">
      <c r="A13" s="200" t="s">
        <v>56</v>
      </c>
      <c r="B13" s="199" t="s">
        <v>230</v>
      </c>
      <c r="C13" s="200" t="s">
        <v>439</v>
      </c>
      <c r="D13" s="201" t="s">
        <v>460</v>
      </c>
      <c r="E13" s="258">
        <v>346905</v>
      </c>
      <c r="F13" s="258">
        <f t="shared" si="0"/>
        <v>37892</v>
      </c>
      <c r="G13" s="259">
        <f t="shared" si="1"/>
        <v>309013</v>
      </c>
      <c r="H13" s="253"/>
      <c r="I13" s="253"/>
      <c r="J13" s="253"/>
      <c r="K13" s="253"/>
      <c r="L13" s="253"/>
      <c r="M13" s="253"/>
      <c r="N13" s="253"/>
      <c r="O13" s="260"/>
      <c r="P13" s="260"/>
      <c r="Q13" s="253">
        <v>18262</v>
      </c>
      <c r="R13" s="253">
        <v>19630</v>
      </c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61"/>
      <c r="AG13" s="234"/>
    </row>
    <row r="14" spans="1:33" ht="29.4" thickBot="1" x14ac:dyDescent="0.35">
      <c r="A14" s="200" t="s">
        <v>53</v>
      </c>
      <c r="B14" s="199" t="s">
        <v>194</v>
      </c>
      <c r="C14" s="202" t="s">
        <v>428</v>
      </c>
      <c r="D14" s="201" t="s">
        <v>450</v>
      </c>
      <c r="E14" s="258">
        <v>346905</v>
      </c>
      <c r="F14" s="258">
        <f t="shared" si="0"/>
        <v>292366.14</v>
      </c>
      <c r="G14" s="259">
        <f t="shared" si="1"/>
        <v>54538.859999999986</v>
      </c>
      <c r="H14" s="253"/>
      <c r="I14" s="253"/>
      <c r="J14" s="253"/>
      <c r="K14" s="260"/>
      <c r="L14" s="260"/>
      <c r="M14" s="260">
        <v>123111</v>
      </c>
      <c r="N14" s="253"/>
      <c r="O14" s="260">
        <f>29669+47757</f>
        <v>77426</v>
      </c>
      <c r="P14" s="260"/>
      <c r="Q14" s="253"/>
      <c r="R14" s="253"/>
      <c r="S14" s="253">
        <v>91829.14</v>
      </c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33"/>
    </row>
    <row r="15" spans="1:33" ht="15" thickBot="1" x14ac:dyDescent="0.35">
      <c r="A15" s="200" t="s">
        <v>56</v>
      </c>
      <c r="B15" s="199" t="s">
        <v>230</v>
      </c>
      <c r="C15" s="202" t="s">
        <v>440</v>
      </c>
      <c r="D15" s="201" t="s">
        <v>461</v>
      </c>
      <c r="E15" s="258">
        <v>196500</v>
      </c>
      <c r="F15" s="258">
        <f t="shared" si="0"/>
        <v>17584</v>
      </c>
      <c r="G15" s="259">
        <f t="shared" si="1"/>
        <v>178916</v>
      </c>
      <c r="H15" s="253"/>
      <c r="I15" s="253"/>
      <c r="J15" s="253"/>
      <c r="K15" s="260"/>
      <c r="L15" s="260"/>
      <c r="M15" s="260"/>
      <c r="N15" s="253">
        <v>17584</v>
      </c>
      <c r="O15" s="260"/>
      <c r="P15" s="260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33"/>
    </row>
    <row r="16" spans="1:33" ht="15" thickBot="1" x14ac:dyDescent="0.35">
      <c r="A16" s="200" t="s">
        <v>55</v>
      </c>
      <c r="B16" s="199" t="s">
        <v>58</v>
      </c>
      <c r="C16" s="202" t="s">
        <v>437</v>
      </c>
      <c r="D16" s="201" t="s">
        <v>458</v>
      </c>
      <c r="E16" s="258">
        <v>229250</v>
      </c>
      <c r="F16" s="258">
        <f t="shared" si="0"/>
        <v>204163</v>
      </c>
      <c r="G16" s="259">
        <f t="shared" si="1"/>
        <v>25087</v>
      </c>
      <c r="H16" s="253"/>
      <c r="I16" s="253"/>
      <c r="J16" s="253"/>
      <c r="K16" s="260"/>
      <c r="L16" s="260">
        <f>20552+30019</f>
        <v>50571</v>
      </c>
      <c r="M16" s="260">
        <v>7202</v>
      </c>
      <c r="N16" s="253">
        <v>5903</v>
      </c>
      <c r="O16" s="260">
        <v>38289</v>
      </c>
      <c r="P16" s="260">
        <v>33587</v>
      </c>
      <c r="Q16" s="253">
        <v>68611</v>
      </c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61"/>
      <c r="AG16" s="234"/>
    </row>
    <row r="17" spans="1:33" ht="15" thickBot="1" x14ac:dyDescent="0.35">
      <c r="A17" s="200" t="s">
        <v>56</v>
      </c>
      <c r="B17" s="199" t="s">
        <v>230</v>
      </c>
      <c r="C17" s="200" t="s">
        <v>441</v>
      </c>
      <c r="D17" s="201" t="s">
        <v>462</v>
      </c>
      <c r="E17" s="258">
        <v>294500</v>
      </c>
      <c r="F17" s="258">
        <f t="shared" si="0"/>
        <v>229701</v>
      </c>
      <c r="G17" s="259">
        <f t="shared" si="1"/>
        <v>64799</v>
      </c>
      <c r="H17" s="253"/>
      <c r="I17" s="253"/>
      <c r="J17" s="253"/>
      <c r="K17" s="260"/>
      <c r="L17" s="260"/>
      <c r="M17" s="260">
        <v>31609</v>
      </c>
      <c r="N17" s="253"/>
      <c r="O17" s="260"/>
      <c r="P17" s="260">
        <v>80213</v>
      </c>
      <c r="Q17" s="253">
        <v>20369</v>
      </c>
      <c r="R17" s="253">
        <v>97510</v>
      </c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33"/>
    </row>
    <row r="18" spans="1:33" ht="29.4" thickBot="1" x14ac:dyDescent="0.35">
      <c r="A18" s="200" t="s">
        <v>53</v>
      </c>
      <c r="B18" s="199" t="s">
        <v>194</v>
      </c>
      <c r="C18" s="200" t="s">
        <v>429</v>
      </c>
      <c r="D18" s="201" t="s">
        <v>451</v>
      </c>
      <c r="E18" s="258">
        <v>247750</v>
      </c>
      <c r="F18" s="258">
        <f t="shared" si="0"/>
        <v>244793.38</v>
      </c>
      <c r="G18" s="259">
        <f t="shared" si="1"/>
        <v>2956.6199999999953</v>
      </c>
      <c r="H18" s="253"/>
      <c r="I18" s="253"/>
      <c r="J18" s="253"/>
      <c r="K18" s="260"/>
      <c r="L18" s="260"/>
      <c r="M18" s="260"/>
      <c r="N18" s="253"/>
      <c r="O18" s="260"/>
      <c r="P18" s="260">
        <v>133243</v>
      </c>
      <c r="Q18" s="253"/>
      <c r="R18" s="253"/>
      <c r="S18" s="253">
        <v>111550.38</v>
      </c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64"/>
      <c r="AG18" s="235"/>
    </row>
    <row r="19" spans="1:33" ht="15" thickBot="1" x14ac:dyDescent="0.35">
      <c r="A19" s="200" t="s">
        <v>29</v>
      </c>
      <c r="B19" s="199" t="s">
        <v>89</v>
      </c>
      <c r="C19" s="200" t="s">
        <v>435</v>
      </c>
      <c r="D19" s="201" t="s">
        <v>457</v>
      </c>
      <c r="E19" s="258">
        <v>201470</v>
      </c>
      <c r="F19" s="258">
        <f t="shared" si="0"/>
        <v>201470</v>
      </c>
      <c r="G19" s="259">
        <f t="shared" si="1"/>
        <v>0</v>
      </c>
      <c r="H19" s="254"/>
      <c r="I19" s="254"/>
      <c r="J19" s="265"/>
      <c r="K19" s="266"/>
      <c r="L19" s="260">
        <v>9916</v>
      </c>
      <c r="M19" s="260">
        <v>3754</v>
      </c>
      <c r="N19" s="265"/>
      <c r="O19" s="260">
        <v>57553</v>
      </c>
      <c r="P19" s="267">
        <f>77156+53091</f>
        <v>130247</v>
      </c>
      <c r="Q19" s="265"/>
      <c r="R19" s="254"/>
      <c r="S19" s="253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61"/>
      <c r="AG19" s="234"/>
    </row>
    <row r="20" spans="1:33" ht="15" thickBot="1" x14ac:dyDescent="0.35">
      <c r="A20" s="200" t="s">
        <v>130</v>
      </c>
      <c r="B20" s="199" t="s">
        <v>139</v>
      </c>
      <c r="C20" s="202" t="s">
        <v>436</v>
      </c>
      <c r="D20" s="201" t="s">
        <v>126</v>
      </c>
      <c r="E20" s="258">
        <v>215000</v>
      </c>
      <c r="F20" s="258">
        <f t="shared" si="0"/>
        <v>214839</v>
      </c>
      <c r="G20" s="259">
        <f t="shared" si="1"/>
        <v>161</v>
      </c>
      <c r="H20" s="253"/>
      <c r="I20" s="253"/>
      <c r="J20" s="253"/>
      <c r="K20" s="260">
        <v>16837</v>
      </c>
      <c r="L20" s="260">
        <v>67000</v>
      </c>
      <c r="M20" s="260">
        <v>38765</v>
      </c>
      <c r="N20" s="253"/>
      <c r="O20" s="260">
        <v>92237</v>
      </c>
      <c r="P20" s="260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33"/>
    </row>
    <row r="21" spans="1:33" ht="15" thickBot="1" x14ac:dyDescent="0.35">
      <c r="A21" s="200" t="s">
        <v>120</v>
      </c>
      <c r="B21" s="199" t="s">
        <v>122</v>
      </c>
      <c r="C21" s="202" t="s">
        <v>434</v>
      </c>
      <c r="D21" s="201" t="s">
        <v>456</v>
      </c>
      <c r="E21" s="258">
        <v>229250</v>
      </c>
      <c r="F21" s="258">
        <f t="shared" si="0"/>
        <v>179986</v>
      </c>
      <c r="G21" s="259">
        <f t="shared" si="1"/>
        <v>49264</v>
      </c>
      <c r="H21" s="253"/>
      <c r="I21" s="253"/>
      <c r="J21" s="253"/>
      <c r="K21" s="260">
        <v>38212</v>
      </c>
      <c r="L21" s="260"/>
      <c r="M21" s="260">
        <v>7074</v>
      </c>
      <c r="N21" s="253"/>
      <c r="O21" s="260"/>
      <c r="P21" s="260"/>
      <c r="Q21" s="253"/>
      <c r="R21" s="253">
        <v>18258</v>
      </c>
      <c r="S21" s="253">
        <v>116442</v>
      </c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33"/>
    </row>
    <row r="22" spans="1:33" ht="15" thickBot="1" x14ac:dyDescent="0.35">
      <c r="A22" s="200" t="s">
        <v>56</v>
      </c>
      <c r="B22" s="199" t="s">
        <v>230</v>
      </c>
      <c r="C22" s="200" t="s">
        <v>442</v>
      </c>
      <c r="D22" s="201" t="s">
        <v>463</v>
      </c>
      <c r="E22" s="258">
        <v>229250</v>
      </c>
      <c r="F22" s="258">
        <f t="shared" si="0"/>
        <v>117029</v>
      </c>
      <c r="G22" s="259">
        <f t="shared" si="1"/>
        <v>112221</v>
      </c>
      <c r="H22" s="253"/>
      <c r="I22" s="253"/>
      <c r="J22" s="253"/>
      <c r="K22" s="260"/>
      <c r="L22" s="260"/>
      <c r="M22" s="260"/>
      <c r="N22" s="253"/>
      <c r="O22" s="260">
        <v>59551</v>
      </c>
      <c r="P22" s="260">
        <f>12714.28+44763.72</f>
        <v>57478</v>
      </c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61"/>
      <c r="AG22" s="234"/>
    </row>
    <row r="23" spans="1:33" ht="15" thickBot="1" x14ac:dyDescent="0.35">
      <c r="A23" s="200" t="s">
        <v>56</v>
      </c>
      <c r="B23" s="199" t="s">
        <v>230</v>
      </c>
      <c r="C23" s="200" t="s">
        <v>443</v>
      </c>
      <c r="D23" s="201" t="s">
        <v>129</v>
      </c>
      <c r="E23" s="258">
        <v>90000</v>
      </c>
      <c r="F23" s="258">
        <f t="shared" si="0"/>
        <v>90000</v>
      </c>
      <c r="G23" s="259">
        <f t="shared" si="1"/>
        <v>0</v>
      </c>
      <c r="H23" s="253"/>
      <c r="I23" s="253"/>
      <c r="J23" s="253"/>
      <c r="K23" s="260"/>
      <c r="L23" s="260"/>
      <c r="M23" s="260">
        <v>11658</v>
      </c>
      <c r="N23" s="253">
        <v>39573</v>
      </c>
      <c r="O23" s="260"/>
      <c r="P23" s="260">
        <f>28804+8836</f>
        <v>37640</v>
      </c>
      <c r="Q23" s="253">
        <v>1129</v>
      </c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61"/>
      <c r="AG23" s="234"/>
    </row>
    <row r="24" spans="1:33" ht="15" thickBot="1" x14ac:dyDescent="0.35">
      <c r="A24" s="200" t="s">
        <v>56</v>
      </c>
      <c r="B24" s="199" t="s">
        <v>230</v>
      </c>
      <c r="C24" s="200" t="s">
        <v>444</v>
      </c>
      <c r="D24" s="201" t="s">
        <v>464</v>
      </c>
      <c r="E24" s="258">
        <v>52500</v>
      </c>
      <c r="F24" s="258">
        <f t="shared" si="0"/>
        <v>22493</v>
      </c>
      <c r="G24" s="259">
        <f t="shared" si="1"/>
        <v>30007</v>
      </c>
      <c r="H24" s="253"/>
      <c r="I24" s="253"/>
      <c r="J24" s="253"/>
      <c r="K24" s="260"/>
      <c r="L24" s="260"/>
      <c r="M24" s="260">
        <v>7606</v>
      </c>
      <c r="N24" s="253"/>
      <c r="O24" s="260">
        <v>3327</v>
      </c>
      <c r="P24" s="260"/>
      <c r="Q24" s="253"/>
      <c r="R24" s="253">
        <v>11560</v>
      </c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61"/>
      <c r="AG24" s="234"/>
    </row>
    <row r="25" spans="1:33" ht="15" thickBot="1" x14ac:dyDescent="0.35">
      <c r="A25" s="202" t="s">
        <v>421</v>
      </c>
      <c r="B25" s="199" t="s">
        <v>423</v>
      </c>
      <c r="C25" s="202" t="s">
        <v>433</v>
      </c>
      <c r="D25" s="203" t="s">
        <v>455</v>
      </c>
      <c r="E25" s="258">
        <v>229250</v>
      </c>
      <c r="F25" s="258">
        <f t="shared" si="0"/>
        <v>227325.57</v>
      </c>
      <c r="G25" s="259">
        <f t="shared" si="1"/>
        <v>1924.429999999993</v>
      </c>
      <c r="H25" s="253"/>
      <c r="I25" s="253"/>
      <c r="J25" s="253"/>
      <c r="K25" s="260"/>
      <c r="L25" s="260"/>
      <c r="M25" s="268">
        <v>13654</v>
      </c>
      <c r="N25" s="253"/>
      <c r="O25" s="260">
        <f>54571+52183.66</f>
        <v>106754.66</v>
      </c>
      <c r="P25" s="260">
        <f>78450.77+28466.14</f>
        <v>106916.91</v>
      </c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61"/>
      <c r="AG25" s="234"/>
    </row>
    <row r="26" spans="1:33" ht="15" thickBot="1" x14ac:dyDescent="0.35">
      <c r="A26" s="200" t="s">
        <v>59</v>
      </c>
      <c r="B26" s="199" t="s">
        <v>422</v>
      </c>
      <c r="C26" s="202" t="s">
        <v>427</v>
      </c>
      <c r="D26" s="201" t="s">
        <v>128</v>
      </c>
      <c r="E26" s="258">
        <v>135000</v>
      </c>
      <c r="F26" s="258">
        <f t="shared" si="0"/>
        <v>134170.77000000002</v>
      </c>
      <c r="G26" s="259">
        <f t="shared" si="1"/>
        <v>829.22999999998137</v>
      </c>
      <c r="H26" s="253"/>
      <c r="I26" s="253"/>
      <c r="J26" s="253"/>
      <c r="K26" s="260"/>
      <c r="L26" s="260">
        <v>17671</v>
      </c>
      <c r="M26" s="260"/>
      <c r="N26" s="253">
        <v>30724</v>
      </c>
      <c r="O26" s="253"/>
      <c r="P26" s="253">
        <v>17366</v>
      </c>
      <c r="Q26" s="253"/>
      <c r="R26" s="253"/>
      <c r="S26" s="253">
        <v>68409.77</v>
      </c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61"/>
      <c r="AG26" s="234"/>
    </row>
    <row r="27" spans="1:33" ht="15" thickBot="1" x14ac:dyDescent="0.35">
      <c r="A27" s="200" t="s">
        <v>35</v>
      </c>
      <c r="B27" s="199" t="s">
        <v>378</v>
      </c>
      <c r="C27" s="200" t="s">
        <v>438</v>
      </c>
      <c r="D27" s="201" t="s">
        <v>459</v>
      </c>
      <c r="E27" s="258">
        <v>196500</v>
      </c>
      <c r="F27" s="258">
        <f t="shared" si="0"/>
        <v>134232.70000000001</v>
      </c>
      <c r="G27" s="259">
        <f t="shared" si="1"/>
        <v>62267.299999999988</v>
      </c>
      <c r="H27" s="253"/>
      <c r="I27" s="253"/>
      <c r="J27" s="253"/>
      <c r="K27" s="260"/>
      <c r="L27" s="260"/>
      <c r="M27" s="260"/>
      <c r="N27" s="253"/>
      <c r="O27" s="253"/>
      <c r="P27" s="253"/>
      <c r="Q27" s="253"/>
      <c r="R27" s="253">
        <v>134232.70000000001</v>
      </c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61"/>
      <c r="AG27" s="234"/>
    </row>
    <row r="28" spans="1:33" ht="15" thickBot="1" x14ac:dyDescent="0.35">
      <c r="A28" s="200" t="s">
        <v>4</v>
      </c>
      <c r="B28" s="199" t="s">
        <v>100</v>
      </c>
      <c r="C28" s="200" t="s">
        <v>425</v>
      </c>
      <c r="D28" s="201" t="s">
        <v>448</v>
      </c>
      <c r="E28" s="258">
        <v>215000</v>
      </c>
      <c r="F28" s="258">
        <f t="shared" si="0"/>
        <v>215000</v>
      </c>
      <c r="G28" s="259">
        <f t="shared" si="1"/>
        <v>0</v>
      </c>
      <c r="H28" s="253"/>
      <c r="I28" s="253"/>
      <c r="J28" s="253"/>
      <c r="K28" s="260"/>
      <c r="L28" s="260"/>
      <c r="M28" s="260"/>
      <c r="N28" s="253"/>
      <c r="O28" s="253"/>
      <c r="P28" s="253"/>
      <c r="Q28" s="253"/>
      <c r="R28" s="253"/>
      <c r="S28" s="253">
        <v>215000</v>
      </c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61"/>
      <c r="AG28" s="234"/>
    </row>
    <row r="29" spans="1:33" ht="15" thickBot="1" x14ac:dyDescent="0.35">
      <c r="A29" s="200" t="s">
        <v>97</v>
      </c>
      <c r="B29" s="199" t="s">
        <v>98</v>
      </c>
      <c r="C29" s="200" t="s">
        <v>432</v>
      </c>
      <c r="D29" s="201" t="s">
        <v>127</v>
      </c>
      <c r="E29" s="258">
        <v>196500</v>
      </c>
      <c r="F29" s="258">
        <f t="shared" si="0"/>
        <v>196500</v>
      </c>
      <c r="G29" s="259">
        <f t="shared" si="1"/>
        <v>0</v>
      </c>
      <c r="H29" s="253"/>
      <c r="I29" s="253"/>
      <c r="J29" s="253"/>
      <c r="K29" s="260"/>
      <c r="L29" s="264"/>
      <c r="M29" s="260">
        <v>13196</v>
      </c>
      <c r="N29" s="253"/>
      <c r="O29" s="253">
        <v>19925</v>
      </c>
      <c r="P29" s="253">
        <v>56592</v>
      </c>
      <c r="Q29" s="253">
        <v>106787</v>
      </c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61"/>
      <c r="AG29" s="234"/>
    </row>
    <row r="30" spans="1:33" ht="29.4" thickBot="1" x14ac:dyDescent="0.35">
      <c r="A30" s="200" t="s">
        <v>53</v>
      </c>
      <c r="B30" s="199" t="s">
        <v>194</v>
      </c>
      <c r="C30" s="202" t="s">
        <v>430</v>
      </c>
      <c r="D30" s="201" t="s">
        <v>452</v>
      </c>
      <c r="E30" s="258">
        <v>196500</v>
      </c>
      <c r="F30" s="258">
        <f t="shared" si="0"/>
        <v>184272.01</v>
      </c>
      <c r="G30" s="259">
        <f t="shared" si="1"/>
        <v>12227.989999999991</v>
      </c>
      <c r="H30" s="253"/>
      <c r="I30" s="253"/>
      <c r="J30" s="253"/>
      <c r="K30" s="260"/>
      <c r="L30" s="260"/>
      <c r="M30" s="260"/>
      <c r="N30" s="253"/>
      <c r="O30" s="253"/>
      <c r="P30" s="253"/>
      <c r="Q30" s="253"/>
      <c r="R30" s="253"/>
      <c r="S30" s="253">
        <v>184272.01</v>
      </c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33"/>
    </row>
    <row r="31" spans="1:33" ht="15" thickBot="1" x14ac:dyDescent="0.35">
      <c r="A31" s="202" t="s">
        <v>56</v>
      </c>
      <c r="B31" s="199" t="s">
        <v>230</v>
      </c>
      <c r="C31" s="166" t="s">
        <v>445</v>
      </c>
      <c r="D31" s="203" t="s">
        <v>465</v>
      </c>
      <c r="E31" s="258">
        <v>247750</v>
      </c>
      <c r="F31" s="258">
        <f t="shared" si="0"/>
        <v>240235</v>
      </c>
      <c r="G31" s="259">
        <f t="shared" si="1"/>
        <v>7515</v>
      </c>
      <c r="H31" s="253"/>
      <c r="I31" s="253"/>
      <c r="J31" s="253"/>
      <c r="K31" s="253"/>
      <c r="L31" s="253"/>
      <c r="M31" s="260">
        <v>103602</v>
      </c>
      <c r="N31" s="253"/>
      <c r="O31" s="253"/>
      <c r="P31" s="253"/>
      <c r="Q31" s="253"/>
      <c r="R31" s="253">
        <v>136633</v>
      </c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61"/>
      <c r="AG31" s="234"/>
    </row>
    <row r="32" spans="1:33" ht="15" thickBot="1" x14ac:dyDescent="0.35">
      <c r="A32" s="200" t="s">
        <v>4</v>
      </c>
      <c r="B32" s="199" t="s">
        <v>100</v>
      </c>
      <c r="C32" s="202" t="s">
        <v>426</v>
      </c>
      <c r="D32" s="201" t="s">
        <v>361</v>
      </c>
      <c r="E32" s="258">
        <v>196500</v>
      </c>
      <c r="F32" s="258">
        <f t="shared" si="0"/>
        <v>164597.54</v>
      </c>
      <c r="G32" s="259">
        <f t="shared" si="1"/>
        <v>31902.459999999992</v>
      </c>
      <c r="H32" s="253"/>
      <c r="I32" s="253"/>
      <c r="J32" s="253"/>
      <c r="K32" s="253"/>
      <c r="L32" s="253"/>
      <c r="M32" s="260"/>
      <c r="N32" s="253"/>
      <c r="O32" s="253"/>
      <c r="P32" s="253"/>
      <c r="Q32" s="253"/>
      <c r="R32" s="253"/>
      <c r="S32" s="253">
        <f>124768.82+39828.72</f>
        <v>164597.54</v>
      </c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61"/>
      <c r="AG32" s="234"/>
    </row>
    <row r="33" spans="1:41" ht="15" thickBot="1" x14ac:dyDescent="0.35">
      <c r="A33" s="166" t="s">
        <v>487</v>
      </c>
      <c r="B33" s="199" t="s">
        <v>488</v>
      </c>
      <c r="C33" s="166" t="s">
        <v>504</v>
      </c>
      <c r="D33" s="201" t="s">
        <v>489</v>
      </c>
      <c r="E33" s="258">
        <v>229250</v>
      </c>
      <c r="F33" s="258">
        <f t="shared" si="0"/>
        <v>229216</v>
      </c>
      <c r="G33" s="259">
        <f t="shared" si="1"/>
        <v>34</v>
      </c>
      <c r="H33" s="253"/>
      <c r="I33" s="253"/>
      <c r="J33" s="253"/>
      <c r="K33" s="253"/>
      <c r="L33" s="253"/>
      <c r="M33" s="260"/>
      <c r="N33" s="253"/>
      <c r="O33" s="253">
        <f>3000+13500</f>
        <v>16500</v>
      </c>
      <c r="P33" s="253">
        <v>212716</v>
      </c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61"/>
      <c r="AG33" s="234"/>
    </row>
    <row r="34" spans="1:41" ht="29.4" thickBot="1" x14ac:dyDescent="0.35">
      <c r="A34" s="200" t="s">
        <v>53</v>
      </c>
      <c r="B34" s="199" t="s">
        <v>194</v>
      </c>
      <c r="C34" s="202" t="s">
        <v>431</v>
      </c>
      <c r="D34" s="203" t="s">
        <v>453</v>
      </c>
      <c r="E34" s="258">
        <v>229250</v>
      </c>
      <c r="F34" s="258">
        <f t="shared" si="0"/>
        <v>229249.63</v>
      </c>
      <c r="G34" s="259">
        <f t="shared" si="1"/>
        <v>0.36999999999534339</v>
      </c>
      <c r="H34" s="253"/>
      <c r="I34" s="253"/>
      <c r="J34" s="253"/>
      <c r="K34" s="253"/>
      <c r="L34" s="253"/>
      <c r="M34" s="260"/>
      <c r="N34" s="253"/>
      <c r="O34" s="253"/>
      <c r="P34" s="253"/>
      <c r="Q34" s="253">
        <v>35746</v>
      </c>
      <c r="R34" s="253"/>
      <c r="S34" s="253">
        <v>193503.63</v>
      </c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33"/>
    </row>
    <row r="35" spans="1:41" ht="15" thickBot="1" x14ac:dyDescent="0.35">
      <c r="A35" s="202" t="s">
        <v>56</v>
      </c>
      <c r="B35" s="199" t="s">
        <v>230</v>
      </c>
      <c r="C35" s="166" t="s">
        <v>446</v>
      </c>
      <c r="D35" s="213" t="s">
        <v>466</v>
      </c>
      <c r="E35" s="258">
        <v>229250</v>
      </c>
      <c r="F35" s="258">
        <f t="shared" si="0"/>
        <v>167477</v>
      </c>
      <c r="G35" s="259">
        <f t="shared" si="1"/>
        <v>61773</v>
      </c>
      <c r="H35" s="253"/>
      <c r="I35" s="253"/>
      <c r="J35" s="253"/>
      <c r="K35" s="253"/>
      <c r="L35" s="253">
        <v>1340</v>
      </c>
      <c r="M35" s="260">
        <v>17125</v>
      </c>
      <c r="N35" s="253">
        <v>23638</v>
      </c>
      <c r="O35" s="260">
        <f>20954</f>
        <v>20954</v>
      </c>
      <c r="P35" s="268">
        <v>26543</v>
      </c>
      <c r="Q35" s="253">
        <v>77877</v>
      </c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61"/>
      <c r="AG35" s="234"/>
    </row>
    <row r="36" spans="1:41" ht="15" thickBot="1" x14ac:dyDescent="0.35">
      <c r="A36" s="166" t="s">
        <v>492</v>
      </c>
      <c r="B36" s="204" t="s">
        <v>493</v>
      </c>
      <c r="C36" s="166" t="s">
        <v>494</v>
      </c>
      <c r="D36" s="201" t="s">
        <v>495</v>
      </c>
      <c r="E36" s="269">
        <v>229250</v>
      </c>
      <c r="F36" s="258">
        <f t="shared" si="0"/>
        <v>228113.93</v>
      </c>
      <c r="G36" s="259">
        <f t="shared" si="1"/>
        <v>1136.070000000007</v>
      </c>
      <c r="H36" s="253"/>
      <c r="I36" s="253"/>
      <c r="J36" s="253"/>
      <c r="K36" s="253"/>
      <c r="L36" s="253"/>
      <c r="M36" s="260"/>
      <c r="N36" s="253"/>
      <c r="O36" s="253"/>
      <c r="P36" s="253"/>
      <c r="Q36" s="253"/>
      <c r="R36" s="253">
        <v>213124.75</v>
      </c>
      <c r="S36" s="253">
        <v>14989.18</v>
      </c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61"/>
      <c r="AG36" s="234"/>
    </row>
    <row r="37" spans="1:41" ht="15" thickBot="1" x14ac:dyDescent="0.35">
      <c r="A37" s="202" t="s">
        <v>56</v>
      </c>
      <c r="B37" s="199" t="s">
        <v>230</v>
      </c>
      <c r="C37" s="227" t="s">
        <v>485</v>
      </c>
      <c r="D37" s="229" t="s">
        <v>486</v>
      </c>
      <c r="E37" s="270">
        <v>229250</v>
      </c>
      <c r="F37" s="258"/>
      <c r="G37" s="259">
        <f t="shared" si="1"/>
        <v>229250</v>
      </c>
      <c r="H37" s="253"/>
      <c r="I37" s="253"/>
      <c r="J37" s="253"/>
      <c r="K37" s="253"/>
      <c r="L37" s="253"/>
      <c r="M37" s="260"/>
      <c r="N37" s="253">
        <v>80850</v>
      </c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61"/>
      <c r="AG37" s="234"/>
    </row>
    <row r="38" spans="1:41" ht="15" thickBot="1" x14ac:dyDescent="0.35">
      <c r="A38" s="200" t="s">
        <v>4</v>
      </c>
      <c r="B38" s="199" t="s">
        <v>100</v>
      </c>
      <c r="C38" s="226" t="s">
        <v>490</v>
      </c>
      <c r="D38" s="214" t="s">
        <v>491</v>
      </c>
      <c r="E38" s="271">
        <v>229250</v>
      </c>
      <c r="F38" s="258">
        <f>SUM(H38:AE38)</f>
        <v>0</v>
      </c>
      <c r="G38" s="259">
        <f t="shared" si="1"/>
        <v>229250</v>
      </c>
      <c r="H38" s="253"/>
      <c r="I38" s="253"/>
      <c r="J38" s="253"/>
      <c r="K38" s="253"/>
      <c r="L38" s="253"/>
      <c r="M38" s="260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61"/>
      <c r="AG38" s="234"/>
    </row>
    <row r="39" spans="1:41" ht="15" thickBot="1" x14ac:dyDescent="0.35">
      <c r="A39" s="210"/>
      <c r="B39" s="210"/>
      <c r="C39" s="210"/>
      <c r="D39" s="210"/>
      <c r="E39" s="272"/>
      <c r="F39" s="272"/>
      <c r="G39" s="272"/>
      <c r="H39" s="253"/>
      <c r="I39" s="253"/>
      <c r="J39" s="253"/>
      <c r="K39" s="253"/>
      <c r="L39" s="253"/>
      <c r="M39" s="260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61"/>
      <c r="AG39" s="234"/>
    </row>
    <row r="40" spans="1:41" ht="15" thickBot="1" x14ac:dyDescent="0.35">
      <c r="A40" s="146" t="s">
        <v>48</v>
      </c>
      <c r="B40" s="112"/>
      <c r="C40" s="112"/>
      <c r="D40" s="112"/>
      <c r="E40" s="252">
        <f t="shared" ref="E40:AO40" si="2">SUM(E9:E38)</f>
        <v>6550530</v>
      </c>
      <c r="F40" s="252">
        <f t="shared" si="2"/>
        <v>5043229.6999999993</v>
      </c>
      <c r="G40" s="273">
        <f t="shared" si="2"/>
        <v>1507300.2999999998</v>
      </c>
      <c r="H40" s="273">
        <f t="shared" si="2"/>
        <v>0</v>
      </c>
      <c r="I40" s="273">
        <f t="shared" si="2"/>
        <v>0</v>
      </c>
      <c r="J40" s="273">
        <f t="shared" si="2"/>
        <v>0</v>
      </c>
      <c r="K40" s="273">
        <f t="shared" si="2"/>
        <v>55049</v>
      </c>
      <c r="L40" s="273">
        <f t="shared" si="2"/>
        <v>322048</v>
      </c>
      <c r="M40" s="273">
        <f t="shared" si="2"/>
        <v>449578</v>
      </c>
      <c r="N40" s="273">
        <f t="shared" si="2"/>
        <v>249122</v>
      </c>
      <c r="O40" s="273">
        <f t="shared" si="2"/>
        <v>492516.66000000003</v>
      </c>
      <c r="P40" s="273">
        <f t="shared" si="2"/>
        <v>1083379.19</v>
      </c>
      <c r="Q40" s="273">
        <f t="shared" si="2"/>
        <v>456764</v>
      </c>
      <c r="R40" s="273">
        <f t="shared" si="2"/>
        <v>785955.2</v>
      </c>
      <c r="S40" s="273">
        <f t="shared" si="2"/>
        <v>1229667.6500000001</v>
      </c>
      <c r="T40" s="273">
        <f t="shared" si="2"/>
        <v>0</v>
      </c>
      <c r="U40" s="273">
        <f t="shared" si="2"/>
        <v>0</v>
      </c>
      <c r="V40" s="273">
        <f t="shared" si="2"/>
        <v>0</v>
      </c>
      <c r="W40" s="273">
        <f t="shared" si="2"/>
        <v>0</v>
      </c>
      <c r="X40" s="273">
        <f t="shared" si="2"/>
        <v>0</v>
      </c>
      <c r="Y40" s="273">
        <f t="shared" si="2"/>
        <v>0</v>
      </c>
      <c r="Z40" s="273">
        <f t="shared" si="2"/>
        <v>0</v>
      </c>
      <c r="AA40" s="273">
        <f t="shared" si="2"/>
        <v>0</v>
      </c>
      <c r="AB40" s="273">
        <f t="shared" si="2"/>
        <v>0</v>
      </c>
      <c r="AC40" s="273">
        <f t="shared" si="2"/>
        <v>0</v>
      </c>
      <c r="AD40" s="273">
        <f t="shared" si="2"/>
        <v>0</v>
      </c>
      <c r="AE40" s="273">
        <f t="shared" si="2"/>
        <v>0</v>
      </c>
      <c r="AF40" s="273">
        <f t="shared" si="2"/>
        <v>0</v>
      </c>
      <c r="AG40" s="273">
        <f t="shared" si="2"/>
        <v>0</v>
      </c>
      <c r="AH40" s="273">
        <f t="shared" si="2"/>
        <v>0</v>
      </c>
      <c r="AI40" s="273">
        <f t="shared" si="2"/>
        <v>0</v>
      </c>
      <c r="AJ40" s="273">
        <f t="shared" si="2"/>
        <v>0</v>
      </c>
      <c r="AK40" s="273">
        <f t="shared" si="2"/>
        <v>0</v>
      </c>
      <c r="AL40" s="273">
        <f t="shared" si="2"/>
        <v>0</v>
      </c>
      <c r="AM40" s="273">
        <f t="shared" si="2"/>
        <v>0</v>
      </c>
      <c r="AN40" s="273">
        <f t="shared" si="2"/>
        <v>0</v>
      </c>
      <c r="AO40" s="273">
        <f t="shared" si="2"/>
        <v>0</v>
      </c>
    </row>
    <row r="41" spans="1:41" x14ac:dyDescent="0.3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55"/>
      <c r="AG41" s="76"/>
    </row>
    <row r="42" spans="1:41" x14ac:dyDescent="0.3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256"/>
    </row>
    <row r="43" spans="1:41" x14ac:dyDescent="0.3"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255"/>
      <c r="AG43" s="76"/>
    </row>
    <row r="44" spans="1:41" x14ac:dyDescent="0.3"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256"/>
    </row>
    <row r="45" spans="1:41" x14ac:dyDescent="0.3"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256"/>
      <c r="AG45" s="30"/>
    </row>
    <row r="46" spans="1:41" x14ac:dyDescent="0.3"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30"/>
      <c r="AG46" s="30"/>
    </row>
    <row r="47" spans="1:41" x14ac:dyDescent="0.3"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30"/>
      <c r="AG47" s="30"/>
    </row>
    <row r="48" spans="1:41" x14ac:dyDescent="0.3"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30"/>
      <c r="AG48" s="30"/>
    </row>
    <row r="49" spans="8:33" x14ac:dyDescent="0.3"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30"/>
      <c r="AG49" s="30"/>
    </row>
    <row r="50" spans="8:33" x14ac:dyDescent="0.3"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30"/>
      <c r="AG50" s="30"/>
    </row>
    <row r="51" spans="8:33" x14ac:dyDescent="0.3"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30"/>
      <c r="AG51" s="30"/>
    </row>
    <row r="52" spans="8:33" x14ac:dyDescent="0.3"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30"/>
      <c r="AG52" s="30"/>
    </row>
    <row r="53" spans="8:33" x14ac:dyDescent="0.3"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30"/>
      <c r="AG53" s="30"/>
    </row>
    <row r="54" spans="8:33" x14ac:dyDescent="0.3"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30"/>
      <c r="AG54" s="30"/>
    </row>
    <row r="55" spans="8:33" x14ac:dyDescent="0.3"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30"/>
      <c r="AG55" s="30"/>
    </row>
    <row r="56" spans="8:33" x14ac:dyDescent="0.3"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30"/>
      <c r="AG56" s="30"/>
    </row>
    <row r="57" spans="8:33" x14ac:dyDescent="0.3"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F57" s="30"/>
      <c r="AG57" s="30"/>
    </row>
    <row r="58" spans="8:33" x14ac:dyDescent="0.3"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F58" s="30"/>
      <c r="AG58" s="30"/>
    </row>
  </sheetData>
  <sheetProtection password="E89A" sheet="1" objects="1" scenarios="1"/>
  <autoFilter ref="A8:AG38" xr:uid="{00000000-0009-0000-0000-000012000000}">
    <sortState xmlns:xlrd2="http://schemas.microsoft.com/office/spreadsheetml/2017/richdata2" ref="A9:AI39">
      <sortCondition ref="C8:C39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7">
    <tabColor theme="2"/>
  </sheetPr>
  <dimension ref="A1:AO73"/>
  <sheetViews>
    <sheetView zoomScale="91" zoomScaleNormal="91" workbookViewId="0">
      <pane xSplit="7" ySplit="8" topLeftCell="N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E9" sqref="E9"/>
    </sheetView>
  </sheetViews>
  <sheetFormatPr defaultColWidth="8.88671875" defaultRowHeight="14.4" x14ac:dyDescent="0.3"/>
  <cols>
    <col min="1" max="1" width="8.88671875" style="65"/>
    <col min="2" max="2" width="31.5546875" style="44" customWidth="1"/>
    <col min="3" max="3" width="11.109375" style="65" customWidth="1"/>
    <col min="4" max="4" width="30.5546875" style="44" customWidth="1"/>
    <col min="5" max="7" width="14.6640625" style="45" customWidth="1"/>
    <col min="8" max="25" width="15.6640625" style="44" customWidth="1"/>
    <col min="26" max="27" width="21.33203125" style="44" customWidth="1"/>
    <col min="28" max="16384" width="8.88671875" style="44"/>
  </cols>
  <sheetData>
    <row r="1" spans="1:27" s="45" customFormat="1" ht="21" x14ac:dyDescent="0.4">
      <c r="A1" s="62" t="s">
        <v>0</v>
      </c>
      <c r="B1" s="53"/>
      <c r="C1" s="66" t="s">
        <v>231</v>
      </c>
      <c r="D1" s="50"/>
      <c r="E1" s="50"/>
      <c r="F1" s="50"/>
      <c r="G1" s="54"/>
      <c r="H1" s="53"/>
      <c r="I1" s="48"/>
      <c r="J1" s="66" t="str">
        <f>$C$1</f>
        <v>21st Century Cohort 8</v>
      </c>
      <c r="K1" s="53"/>
      <c r="L1" s="53"/>
      <c r="M1" s="48"/>
      <c r="N1" s="53"/>
      <c r="O1" s="53"/>
      <c r="P1" s="66" t="str">
        <f>$C$1</f>
        <v>21st Century Cohort 8</v>
      </c>
      <c r="Q1" s="48"/>
      <c r="R1" s="48"/>
      <c r="S1" s="53"/>
      <c r="T1" s="48"/>
      <c r="U1" s="53"/>
      <c r="V1" s="53"/>
      <c r="W1" s="66" t="str">
        <f>$C$1</f>
        <v>21st Century Cohort 8</v>
      </c>
      <c r="X1" s="53"/>
      <c r="Y1" s="48"/>
      <c r="Z1" s="47"/>
      <c r="AA1" s="47"/>
    </row>
    <row r="2" spans="1:27" s="3" customFormat="1" ht="21" x14ac:dyDescent="0.4">
      <c r="A2" s="47" t="s">
        <v>171</v>
      </c>
      <c r="B2" s="49"/>
      <c r="C2" s="62" t="s">
        <v>173</v>
      </c>
      <c r="D2" s="48"/>
      <c r="E2" s="48"/>
      <c r="F2" s="48"/>
      <c r="G2" s="15"/>
      <c r="H2" s="49"/>
      <c r="I2" s="49"/>
      <c r="J2" s="50" t="str">
        <f>"FY"&amp;$C$4</f>
        <v>FY2018-19</v>
      </c>
      <c r="K2" s="49"/>
      <c r="L2" s="49"/>
      <c r="M2" s="49"/>
      <c r="N2" s="49"/>
      <c r="O2" s="49"/>
      <c r="P2" s="50" t="str">
        <f>"FY"&amp;$C$4</f>
        <v>FY2018-19</v>
      </c>
      <c r="Q2" s="49"/>
      <c r="R2" s="49"/>
      <c r="S2" s="49"/>
      <c r="T2" s="49"/>
      <c r="U2" s="49"/>
      <c r="V2" s="49"/>
      <c r="W2" s="50" t="str">
        <f>"FY"&amp;$C$4</f>
        <v>FY2018-19</v>
      </c>
      <c r="X2" s="49"/>
      <c r="Y2" s="49"/>
      <c r="Z2" s="47"/>
      <c r="AA2" s="47"/>
    </row>
    <row r="3" spans="1:27" s="45" customFormat="1" ht="15.6" x14ac:dyDescent="0.3">
      <c r="A3" s="63" t="s">
        <v>1</v>
      </c>
      <c r="B3" s="53"/>
      <c r="C3" s="67">
        <v>5287</v>
      </c>
      <c r="D3" s="50"/>
      <c r="E3" s="50"/>
      <c r="F3" s="50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A3" s="54"/>
    </row>
    <row r="4" spans="1:27" s="45" customFormat="1" ht="15.6" x14ac:dyDescent="0.3">
      <c r="A4" s="63" t="s">
        <v>2</v>
      </c>
      <c r="B4" s="53"/>
      <c r="C4" s="67" t="s">
        <v>188</v>
      </c>
      <c r="D4" s="50"/>
      <c r="E4" s="50"/>
      <c r="F4" s="50"/>
      <c r="G4" s="5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4"/>
      <c r="AA4" s="54"/>
    </row>
    <row r="5" spans="1:27" s="45" customFormat="1" ht="15.6" x14ac:dyDescent="0.3">
      <c r="A5" s="63" t="s">
        <v>18</v>
      </c>
      <c r="B5" s="53"/>
      <c r="C5" s="63" t="s">
        <v>508</v>
      </c>
      <c r="D5" s="50"/>
      <c r="E5" s="50"/>
      <c r="F5" s="50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2"/>
      <c r="AA5" s="52"/>
    </row>
    <row r="6" spans="1:27" s="45" customFormat="1" ht="15.6" x14ac:dyDescent="0.3">
      <c r="A6" s="63" t="s">
        <v>19</v>
      </c>
      <c r="B6" s="53"/>
      <c r="C6" s="67" t="s">
        <v>509</v>
      </c>
      <c r="D6" s="50"/>
      <c r="E6" s="50"/>
      <c r="F6" s="50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2"/>
      <c r="AA6" s="52"/>
    </row>
    <row r="7" spans="1:27" s="45" customFormat="1" ht="24" thickBot="1" x14ac:dyDescent="0.5">
      <c r="A7" s="315"/>
      <c r="B7" s="316"/>
      <c r="C7" s="316"/>
      <c r="D7" s="316"/>
      <c r="E7" s="316"/>
      <c r="F7" s="317"/>
      <c r="G7" s="317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2"/>
      <c r="AA7" s="52"/>
    </row>
    <row r="8" spans="1:27" ht="29.4" thickBot="1" x14ac:dyDescent="0.35">
      <c r="A8" s="11" t="s">
        <v>161</v>
      </c>
      <c r="B8" s="12" t="s">
        <v>155</v>
      </c>
      <c r="C8" s="11" t="s">
        <v>168</v>
      </c>
      <c r="D8" s="12" t="s">
        <v>44</v>
      </c>
      <c r="E8" s="13" t="s">
        <v>15</v>
      </c>
      <c r="F8" s="12" t="s">
        <v>16</v>
      </c>
      <c r="G8" s="29" t="s">
        <v>17</v>
      </c>
      <c r="H8" s="26" t="s">
        <v>67</v>
      </c>
      <c r="I8" s="27" t="s">
        <v>68</v>
      </c>
      <c r="J8" s="26" t="s">
        <v>69</v>
      </c>
      <c r="K8" s="27" t="s">
        <v>141</v>
      </c>
      <c r="L8" s="26" t="s">
        <v>142</v>
      </c>
      <c r="M8" s="27" t="s">
        <v>152</v>
      </c>
      <c r="N8" s="27" t="s">
        <v>143</v>
      </c>
      <c r="O8" s="27" t="s">
        <v>144</v>
      </c>
      <c r="P8" s="27" t="s">
        <v>145</v>
      </c>
      <c r="Q8" s="27" t="s">
        <v>146</v>
      </c>
      <c r="R8" s="27" t="s">
        <v>147</v>
      </c>
      <c r="S8" s="27" t="s">
        <v>148</v>
      </c>
      <c r="T8" s="26" t="s">
        <v>149</v>
      </c>
      <c r="U8" s="27" t="s">
        <v>150</v>
      </c>
      <c r="V8" s="27" t="s">
        <v>151</v>
      </c>
      <c r="W8" s="27" t="s">
        <v>189</v>
      </c>
      <c r="X8" s="26" t="s">
        <v>190</v>
      </c>
      <c r="Y8" s="27" t="s">
        <v>153</v>
      </c>
      <c r="Z8" s="12" t="s">
        <v>183</v>
      </c>
      <c r="AA8" s="12" t="s">
        <v>184</v>
      </c>
    </row>
    <row r="9" spans="1:27" s="37" customFormat="1" ht="15" thickBot="1" x14ac:dyDescent="0.35">
      <c r="A9" s="98" t="s">
        <v>70</v>
      </c>
      <c r="B9" s="95" t="s">
        <v>191</v>
      </c>
      <c r="C9" s="99" t="s">
        <v>321</v>
      </c>
      <c r="D9" s="95" t="s">
        <v>340</v>
      </c>
      <c r="E9" s="169">
        <v>149790</v>
      </c>
      <c r="F9" s="169">
        <f t="shared" ref="F9:F48" si="0">SUM(H9:Y9)</f>
        <v>140217.82</v>
      </c>
      <c r="G9" s="169">
        <f t="shared" ref="G9:G48" si="1">E9-F9</f>
        <v>9572.179999999993</v>
      </c>
      <c r="H9" s="170"/>
      <c r="I9" s="171"/>
      <c r="J9" s="171"/>
      <c r="K9" s="230"/>
      <c r="L9" s="171"/>
      <c r="M9" s="183">
        <f>12491+21034</f>
        <v>33525</v>
      </c>
      <c r="N9" s="171"/>
      <c r="O9" s="171">
        <f>6733+24684</f>
        <v>31417</v>
      </c>
      <c r="P9" s="220"/>
      <c r="Q9" s="171">
        <f>9942+7700</f>
        <v>17642</v>
      </c>
      <c r="R9" s="171"/>
      <c r="S9" s="171">
        <v>7099</v>
      </c>
      <c r="T9" s="171">
        <v>21624</v>
      </c>
      <c r="U9" s="171"/>
      <c r="V9" s="171">
        <v>28910.82</v>
      </c>
      <c r="W9" s="171"/>
      <c r="X9" s="171"/>
      <c r="Y9" s="171"/>
      <c r="Z9" s="68"/>
      <c r="AA9" s="68"/>
    </row>
    <row r="10" spans="1:27" s="37" customFormat="1" ht="15" thickBot="1" x14ac:dyDescent="0.35">
      <c r="A10" s="98" t="s">
        <v>70</v>
      </c>
      <c r="B10" s="95" t="s">
        <v>191</v>
      </c>
      <c r="C10" s="94" t="s">
        <v>320</v>
      </c>
      <c r="D10" s="95" t="s">
        <v>339</v>
      </c>
      <c r="E10" s="169">
        <v>142702</v>
      </c>
      <c r="F10" s="169">
        <f t="shared" si="0"/>
        <v>134251.96</v>
      </c>
      <c r="G10" s="169">
        <f t="shared" si="1"/>
        <v>8450.0400000000081</v>
      </c>
      <c r="H10" s="211"/>
      <c r="I10" s="211"/>
      <c r="J10" s="211"/>
      <c r="K10" s="212"/>
      <c r="L10" s="211">
        <f>10395</f>
        <v>10395</v>
      </c>
      <c r="M10" s="212">
        <v>18722</v>
      </c>
      <c r="N10" s="211"/>
      <c r="O10" s="211">
        <f>7990+6894</f>
        <v>14884</v>
      </c>
      <c r="P10" s="221"/>
      <c r="Q10" s="211">
        <f>16250+13404</f>
        <v>29654</v>
      </c>
      <c r="R10" s="211">
        <v>5771</v>
      </c>
      <c r="S10" s="211"/>
      <c r="T10" s="211">
        <v>22058</v>
      </c>
      <c r="U10" s="211"/>
      <c r="V10" s="211">
        <v>32767.96</v>
      </c>
      <c r="W10" s="211"/>
      <c r="X10" s="211"/>
      <c r="Y10" s="211"/>
      <c r="Z10" s="68"/>
      <c r="AA10" s="68"/>
    </row>
    <row r="11" spans="1:27" s="37" customFormat="1" ht="43.8" thickBot="1" x14ac:dyDescent="0.35">
      <c r="A11" s="98" t="s">
        <v>22</v>
      </c>
      <c r="B11" s="95" t="s">
        <v>83</v>
      </c>
      <c r="C11" s="94">
        <v>2918</v>
      </c>
      <c r="D11" s="95" t="s">
        <v>341</v>
      </c>
      <c r="E11" s="169">
        <v>195000</v>
      </c>
      <c r="F11" s="169">
        <f t="shared" si="0"/>
        <v>131426</v>
      </c>
      <c r="G11" s="169">
        <f t="shared" si="1"/>
        <v>63574</v>
      </c>
      <c r="H11" s="173"/>
      <c r="I11" s="173"/>
      <c r="J11" s="173"/>
      <c r="K11" s="173">
        <v>11816</v>
      </c>
      <c r="L11" s="173">
        <v>6033</v>
      </c>
      <c r="M11" s="173">
        <v>5164</v>
      </c>
      <c r="N11" s="173">
        <v>11878</v>
      </c>
      <c r="O11" s="173">
        <v>9659</v>
      </c>
      <c r="P11" s="222">
        <v>11716</v>
      </c>
      <c r="Q11" s="173">
        <v>13705</v>
      </c>
      <c r="R11" s="173">
        <v>18069</v>
      </c>
      <c r="S11" s="173">
        <v>14490</v>
      </c>
      <c r="T11" s="173">
        <v>17068</v>
      </c>
      <c r="U11" s="173">
        <v>11828</v>
      </c>
      <c r="V11" s="173"/>
      <c r="W11" s="173"/>
      <c r="X11" s="173"/>
      <c r="Y11" s="173"/>
      <c r="Z11" s="68"/>
      <c r="AA11" s="68"/>
    </row>
    <row r="12" spans="1:27" s="37" customFormat="1" ht="15" thickBot="1" x14ac:dyDescent="0.35">
      <c r="A12" s="98" t="s">
        <v>23</v>
      </c>
      <c r="B12" s="95" t="s">
        <v>302</v>
      </c>
      <c r="C12" s="94">
        <v>1652</v>
      </c>
      <c r="D12" s="95" t="s">
        <v>342</v>
      </c>
      <c r="E12" s="169">
        <v>150000</v>
      </c>
      <c r="F12" s="169">
        <f t="shared" si="0"/>
        <v>150000</v>
      </c>
      <c r="G12" s="169">
        <f t="shared" si="1"/>
        <v>0</v>
      </c>
      <c r="H12" s="211"/>
      <c r="I12" s="211"/>
      <c r="J12" s="211">
        <v>8974</v>
      </c>
      <c r="K12" s="212">
        <v>6688</v>
      </c>
      <c r="L12" s="211">
        <v>9861</v>
      </c>
      <c r="M12" s="212">
        <v>8505</v>
      </c>
      <c r="N12" s="211">
        <v>9861</v>
      </c>
      <c r="O12" s="211">
        <v>15577</v>
      </c>
      <c r="P12" s="221">
        <v>5389</v>
      </c>
      <c r="Q12" s="211">
        <v>19423</v>
      </c>
      <c r="R12" s="221">
        <v>9759</v>
      </c>
      <c r="S12" s="211">
        <v>15548</v>
      </c>
      <c r="T12" s="211">
        <v>29757</v>
      </c>
      <c r="U12" s="211">
        <v>9992</v>
      </c>
      <c r="V12" s="211">
        <v>666</v>
      </c>
      <c r="W12" s="211"/>
      <c r="X12" s="211"/>
      <c r="Y12" s="211"/>
      <c r="Z12" s="68"/>
      <c r="AA12" s="68"/>
    </row>
    <row r="13" spans="1:27" s="37" customFormat="1" ht="29.4" thickBot="1" x14ac:dyDescent="0.35">
      <c r="A13" s="98" t="s">
        <v>4</v>
      </c>
      <c r="B13" s="95" t="s">
        <v>100</v>
      </c>
      <c r="C13" s="94" t="s">
        <v>322</v>
      </c>
      <c r="D13" s="95" t="s">
        <v>343</v>
      </c>
      <c r="E13" s="169">
        <v>299926</v>
      </c>
      <c r="F13" s="169">
        <f t="shared" si="0"/>
        <v>295654</v>
      </c>
      <c r="G13" s="169">
        <f t="shared" si="1"/>
        <v>4272</v>
      </c>
      <c r="H13" s="172"/>
      <c r="I13" s="172"/>
      <c r="J13" s="172"/>
      <c r="K13" s="175">
        <v>5449</v>
      </c>
      <c r="L13" s="172">
        <v>14945</v>
      </c>
      <c r="M13" s="175">
        <v>17819</v>
      </c>
      <c r="N13" s="172">
        <v>30534</v>
      </c>
      <c r="O13" s="172"/>
      <c r="P13" s="207"/>
      <c r="Q13" s="172">
        <v>11284</v>
      </c>
      <c r="R13" s="207">
        <f>16200+21659</f>
        <v>37859</v>
      </c>
      <c r="S13" s="172">
        <v>43760</v>
      </c>
      <c r="T13" s="172"/>
      <c r="U13" s="172"/>
      <c r="V13" s="172">
        <v>134004</v>
      </c>
      <c r="W13" s="172"/>
      <c r="X13" s="172"/>
      <c r="Y13" s="172"/>
      <c r="Z13" s="174"/>
      <c r="AA13" s="174"/>
    </row>
    <row r="14" spans="1:27" s="37" customFormat="1" ht="29.4" thickBot="1" x14ac:dyDescent="0.35">
      <c r="A14" s="98" t="s">
        <v>285</v>
      </c>
      <c r="B14" s="95" t="s">
        <v>303</v>
      </c>
      <c r="C14" s="94" t="s">
        <v>323</v>
      </c>
      <c r="D14" s="95" t="s">
        <v>344</v>
      </c>
      <c r="E14" s="169">
        <v>145200</v>
      </c>
      <c r="F14" s="169">
        <f t="shared" si="0"/>
        <v>128985.34999999999</v>
      </c>
      <c r="G14" s="169">
        <f t="shared" si="1"/>
        <v>16214.650000000009</v>
      </c>
      <c r="H14" s="172"/>
      <c r="I14" s="172">
        <v>38356</v>
      </c>
      <c r="J14" s="172">
        <v>6992</v>
      </c>
      <c r="K14" s="175"/>
      <c r="L14" s="172" t="s">
        <v>380</v>
      </c>
      <c r="M14" s="175"/>
      <c r="N14" s="172"/>
      <c r="O14" s="172"/>
      <c r="P14" s="207"/>
      <c r="Q14" s="172">
        <v>22185</v>
      </c>
      <c r="R14" s="207">
        <v>41547.9</v>
      </c>
      <c r="S14" s="172"/>
      <c r="T14" s="172"/>
      <c r="U14" s="172">
        <v>19904.45</v>
      </c>
      <c r="V14" s="172"/>
      <c r="W14" s="172"/>
      <c r="X14" s="172"/>
      <c r="Y14" s="172"/>
      <c r="Z14" s="174"/>
      <c r="AA14" s="174"/>
    </row>
    <row r="15" spans="1:27" s="37" customFormat="1" ht="15" thickBot="1" x14ac:dyDescent="0.35">
      <c r="A15" s="98" t="s">
        <v>5</v>
      </c>
      <c r="B15" s="95" t="s">
        <v>193</v>
      </c>
      <c r="C15" s="94" t="s">
        <v>324</v>
      </c>
      <c r="D15" s="95" t="s">
        <v>345</v>
      </c>
      <c r="E15" s="169">
        <v>144577</v>
      </c>
      <c r="F15" s="169">
        <f t="shared" si="0"/>
        <v>138658.69</v>
      </c>
      <c r="G15" s="169">
        <f t="shared" si="1"/>
        <v>5918.3099999999977</v>
      </c>
      <c r="H15" s="172"/>
      <c r="I15" s="172"/>
      <c r="J15" s="172"/>
      <c r="K15" s="175">
        <v>13015</v>
      </c>
      <c r="L15" s="172">
        <v>10979</v>
      </c>
      <c r="M15" s="175">
        <v>30317</v>
      </c>
      <c r="N15" s="172">
        <v>6042</v>
      </c>
      <c r="O15" s="172">
        <v>7963</v>
      </c>
      <c r="P15" s="207">
        <v>8142</v>
      </c>
      <c r="Q15" s="172"/>
      <c r="R15" s="207">
        <v>11756</v>
      </c>
      <c r="S15" s="172">
        <v>19077</v>
      </c>
      <c r="T15" s="172">
        <v>31183</v>
      </c>
      <c r="U15" s="172"/>
      <c r="V15" s="172">
        <v>184.69</v>
      </c>
      <c r="W15" s="172"/>
      <c r="X15" s="172"/>
      <c r="Y15" s="172"/>
      <c r="Z15" s="68"/>
      <c r="AA15" s="68"/>
    </row>
    <row r="16" spans="1:27" s="37" customFormat="1" ht="29.4" thickBot="1" x14ac:dyDescent="0.35">
      <c r="A16" s="98" t="s">
        <v>53</v>
      </c>
      <c r="B16" s="215" t="s">
        <v>194</v>
      </c>
      <c r="C16" s="94" t="s">
        <v>326</v>
      </c>
      <c r="D16" s="95" t="s">
        <v>347</v>
      </c>
      <c r="E16" s="169">
        <v>150000</v>
      </c>
      <c r="F16" s="169">
        <f t="shared" si="0"/>
        <v>81946.19</v>
      </c>
      <c r="G16" s="169">
        <f t="shared" si="1"/>
        <v>68053.81</v>
      </c>
      <c r="H16" s="211"/>
      <c r="I16" s="211"/>
      <c r="J16" s="211"/>
      <c r="K16" s="212"/>
      <c r="L16" s="211"/>
      <c r="M16" s="212"/>
      <c r="N16" s="211"/>
      <c r="O16" s="211"/>
      <c r="P16" s="221"/>
      <c r="Q16" s="211"/>
      <c r="R16" s="211">
        <v>17269</v>
      </c>
      <c r="S16" s="211"/>
      <c r="T16" s="211"/>
      <c r="U16" s="211">
        <v>64677.19</v>
      </c>
      <c r="V16" s="211"/>
      <c r="W16" s="211"/>
      <c r="X16" s="211"/>
      <c r="Y16" s="211"/>
      <c r="Z16" s="175"/>
      <c r="AA16" s="175"/>
    </row>
    <row r="17" spans="1:27" s="37" customFormat="1" ht="58.2" thickBot="1" x14ac:dyDescent="0.35">
      <c r="A17" s="98" t="s">
        <v>53</v>
      </c>
      <c r="B17" s="95" t="s">
        <v>194</v>
      </c>
      <c r="C17" s="97" t="s">
        <v>325</v>
      </c>
      <c r="D17" s="95" t="s">
        <v>346</v>
      </c>
      <c r="E17" s="169">
        <v>600000</v>
      </c>
      <c r="F17" s="169">
        <f t="shared" si="0"/>
        <v>528936.06999999995</v>
      </c>
      <c r="G17" s="169">
        <f t="shared" si="1"/>
        <v>71063.930000000051</v>
      </c>
      <c r="H17" s="172"/>
      <c r="I17" s="172"/>
      <c r="J17" s="172"/>
      <c r="K17" s="175"/>
      <c r="L17" s="172"/>
      <c r="M17" s="175"/>
      <c r="N17" s="172">
        <v>105417</v>
      </c>
      <c r="O17" s="172">
        <v>33266</v>
      </c>
      <c r="P17" s="207">
        <v>48063</v>
      </c>
      <c r="Q17" s="172">
        <v>91101</v>
      </c>
      <c r="R17" s="172">
        <v>49730</v>
      </c>
      <c r="S17" s="172">
        <v>60821</v>
      </c>
      <c r="T17" s="172">
        <v>105284</v>
      </c>
      <c r="U17" s="172">
        <v>35254.07</v>
      </c>
      <c r="V17" s="172"/>
      <c r="W17" s="172"/>
      <c r="X17" s="172"/>
      <c r="Y17" s="172"/>
      <c r="Z17" s="68"/>
      <c r="AA17" s="68"/>
    </row>
    <row r="18" spans="1:27" s="37" customFormat="1" ht="72.599999999999994" thickBot="1" x14ac:dyDescent="0.35">
      <c r="A18" s="98" t="s">
        <v>286</v>
      </c>
      <c r="B18" s="95" t="s">
        <v>304</v>
      </c>
      <c r="C18" s="94">
        <v>3578</v>
      </c>
      <c r="D18" s="95" t="s">
        <v>348</v>
      </c>
      <c r="E18" s="169">
        <v>127688</v>
      </c>
      <c r="F18" s="169">
        <f t="shared" si="0"/>
        <v>104451</v>
      </c>
      <c r="G18" s="169">
        <f t="shared" si="1"/>
        <v>23237</v>
      </c>
      <c r="H18" s="172"/>
      <c r="I18" s="172"/>
      <c r="J18" s="172"/>
      <c r="K18" s="175">
        <v>5928</v>
      </c>
      <c r="L18" s="172"/>
      <c r="M18" s="175"/>
      <c r="N18" s="172">
        <v>19849</v>
      </c>
      <c r="O18" s="172"/>
      <c r="P18" s="207"/>
      <c r="Q18" s="172"/>
      <c r="R18" s="172">
        <v>43096</v>
      </c>
      <c r="S18" s="172"/>
      <c r="T18" s="172"/>
      <c r="U18" s="172">
        <v>35578</v>
      </c>
      <c r="V18" s="172"/>
      <c r="W18" s="172"/>
      <c r="X18" s="172"/>
      <c r="Y18" s="172"/>
      <c r="Z18" s="68"/>
      <c r="AA18" s="68"/>
    </row>
    <row r="19" spans="1:27" s="37" customFormat="1" ht="29.4" thickBot="1" x14ac:dyDescent="0.35">
      <c r="A19" s="98" t="s">
        <v>287</v>
      </c>
      <c r="B19" s="95" t="s">
        <v>305</v>
      </c>
      <c r="C19" s="94" t="s">
        <v>327</v>
      </c>
      <c r="D19" s="95" t="s">
        <v>349</v>
      </c>
      <c r="E19" s="169">
        <v>120596</v>
      </c>
      <c r="F19" s="169">
        <f t="shared" si="0"/>
        <v>113930.59</v>
      </c>
      <c r="G19" s="169">
        <f t="shared" si="1"/>
        <v>6665.4100000000035</v>
      </c>
      <c r="H19" s="172"/>
      <c r="I19" s="172"/>
      <c r="J19" s="172"/>
      <c r="K19" s="175">
        <v>10074</v>
      </c>
      <c r="L19" s="172"/>
      <c r="M19" s="175">
        <v>9240</v>
      </c>
      <c r="N19" s="172"/>
      <c r="O19" s="172">
        <v>24552</v>
      </c>
      <c r="P19" s="207">
        <v>3427</v>
      </c>
      <c r="Q19" s="172"/>
      <c r="R19" s="172">
        <v>26628</v>
      </c>
      <c r="S19" s="172">
        <f>12288+1234</f>
        <v>13522</v>
      </c>
      <c r="T19" s="172">
        <v>26487.59</v>
      </c>
      <c r="U19" s="172"/>
      <c r="V19" s="172"/>
      <c r="W19" s="172"/>
      <c r="X19" s="172"/>
      <c r="Y19" s="172"/>
      <c r="Z19" s="68"/>
      <c r="AA19" s="68"/>
    </row>
    <row r="20" spans="1:27" s="37" customFormat="1" ht="15" thickBot="1" x14ac:dyDescent="0.35">
      <c r="A20" s="98" t="s">
        <v>29</v>
      </c>
      <c r="B20" s="95" t="s">
        <v>89</v>
      </c>
      <c r="C20" s="94" t="s">
        <v>328</v>
      </c>
      <c r="D20" s="215" t="s">
        <v>350</v>
      </c>
      <c r="E20" s="169">
        <v>150000</v>
      </c>
      <c r="F20" s="169">
        <f t="shared" si="0"/>
        <v>138612.32</v>
      </c>
      <c r="G20" s="169">
        <f t="shared" si="1"/>
        <v>11387.679999999993</v>
      </c>
      <c r="H20" s="172"/>
      <c r="I20" s="172"/>
      <c r="J20" s="172"/>
      <c r="K20" s="175">
        <v>14320</v>
      </c>
      <c r="L20" s="172">
        <v>11909</v>
      </c>
      <c r="M20" s="175">
        <v>13444</v>
      </c>
      <c r="N20" s="172">
        <v>12004</v>
      </c>
      <c r="O20" s="172">
        <v>9700</v>
      </c>
      <c r="P20" s="207">
        <v>10565</v>
      </c>
      <c r="Q20" s="172"/>
      <c r="R20" s="207">
        <v>12488</v>
      </c>
      <c r="S20" s="207">
        <f>14896+14851</f>
        <v>29747</v>
      </c>
      <c r="T20" s="172">
        <v>23861</v>
      </c>
      <c r="U20" s="172"/>
      <c r="V20" s="172">
        <v>574.32000000000005</v>
      </c>
      <c r="W20" s="172"/>
      <c r="X20" s="172"/>
      <c r="Y20" s="172"/>
      <c r="Z20" s="68"/>
      <c r="AA20" s="68"/>
    </row>
    <row r="21" spans="1:27" s="37" customFormat="1" ht="29.4" thickBot="1" x14ac:dyDescent="0.35">
      <c r="A21" s="98" t="s">
        <v>29</v>
      </c>
      <c r="B21" s="95" t="s">
        <v>89</v>
      </c>
      <c r="C21" s="94" t="s">
        <v>329</v>
      </c>
      <c r="D21" s="95" t="s">
        <v>351</v>
      </c>
      <c r="E21" s="169">
        <v>300000</v>
      </c>
      <c r="F21" s="169">
        <f t="shared" si="0"/>
        <v>291857.27</v>
      </c>
      <c r="G21" s="169">
        <f t="shared" si="1"/>
        <v>8142.7299999999814</v>
      </c>
      <c r="H21" s="172"/>
      <c r="I21" s="172"/>
      <c r="J21" s="172"/>
      <c r="K21" s="175">
        <v>17539</v>
      </c>
      <c r="L21" s="172">
        <v>18460</v>
      </c>
      <c r="M21" s="175">
        <v>33076</v>
      </c>
      <c r="N21" s="37">
        <v>22566</v>
      </c>
      <c r="O21" s="172">
        <v>26076</v>
      </c>
      <c r="P21" s="207">
        <v>21439</v>
      </c>
      <c r="Q21" s="172"/>
      <c r="R21" s="172">
        <v>31358</v>
      </c>
      <c r="S21" s="172">
        <f>26849+41742</f>
        <v>68591</v>
      </c>
      <c r="T21" s="172">
        <v>13215</v>
      </c>
      <c r="U21" s="172"/>
      <c r="V21" s="172">
        <v>39537.269999999997</v>
      </c>
      <c r="W21" s="172"/>
      <c r="X21" s="172"/>
      <c r="Y21" s="172"/>
      <c r="Z21" s="68"/>
      <c r="AA21" s="68"/>
    </row>
    <row r="22" spans="1:27" s="37" customFormat="1" ht="15" thickBot="1" x14ac:dyDescent="0.35">
      <c r="A22" s="98" t="s">
        <v>34</v>
      </c>
      <c r="B22" s="95" t="s">
        <v>195</v>
      </c>
      <c r="C22" s="94" t="s">
        <v>330</v>
      </c>
      <c r="D22" s="95" t="s">
        <v>352</v>
      </c>
      <c r="E22" s="169">
        <v>136202</v>
      </c>
      <c r="F22" s="169">
        <f t="shared" si="0"/>
        <v>136202</v>
      </c>
      <c r="G22" s="169">
        <f t="shared" si="1"/>
        <v>0</v>
      </c>
      <c r="H22" s="172"/>
      <c r="I22" s="172"/>
      <c r="J22" s="172"/>
      <c r="K22" s="175"/>
      <c r="L22" s="172"/>
      <c r="M22" s="175">
        <v>27902</v>
      </c>
      <c r="N22" s="172"/>
      <c r="O22" s="172">
        <v>16810</v>
      </c>
      <c r="P22" s="207">
        <v>10959</v>
      </c>
      <c r="Q22" s="172"/>
      <c r="R22" s="172"/>
      <c r="S22" s="172">
        <f>39976+20252</f>
        <v>60228</v>
      </c>
      <c r="T22" s="172"/>
      <c r="U22" s="172"/>
      <c r="V22" s="172">
        <v>20303</v>
      </c>
      <c r="W22" s="172"/>
      <c r="X22" s="172"/>
      <c r="Y22" s="172"/>
      <c r="Z22" s="68"/>
      <c r="AA22" s="68"/>
    </row>
    <row r="23" spans="1:27" s="37" customFormat="1" ht="43.8" thickBot="1" x14ac:dyDescent="0.35">
      <c r="A23" s="98" t="s">
        <v>55</v>
      </c>
      <c r="B23" s="95" t="s">
        <v>58</v>
      </c>
      <c r="C23" s="94" t="s">
        <v>331</v>
      </c>
      <c r="D23" s="95" t="s">
        <v>353</v>
      </c>
      <c r="E23" s="169">
        <v>427096</v>
      </c>
      <c r="F23" s="169">
        <f t="shared" si="0"/>
        <v>211134</v>
      </c>
      <c r="G23" s="169">
        <f t="shared" si="1"/>
        <v>215962</v>
      </c>
      <c r="H23" s="172"/>
      <c r="I23" s="172"/>
      <c r="J23" s="172"/>
      <c r="K23" s="175">
        <v>8894</v>
      </c>
      <c r="L23" s="172"/>
      <c r="M23" s="175"/>
      <c r="N23" s="172">
        <v>53798</v>
      </c>
      <c r="O23" s="172"/>
      <c r="P23" s="207"/>
      <c r="Q23" s="172">
        <v>48145</v>
      </c>
      <c r="R23" s="172"/>
      <c r="S23" s="172">
        <v>49355</v>
      </c>
      <c r="T23" s="172">
        <v>50942</v>
      </c>
      <c r="U23" s="172"/>
      <c r="V23" s="172"/>
      <c r="W23" s="172"/>
      <c r="X23" s="172"/>
      <c r="Y23" s="172"/>
      <c r="Z23" s="68"/>
      <c r="AA23" s="68"/>
    </row>
    <row r="24" spans="1:27" s="37" customFormat="1" ht="29.4" thickBot="1" x14ac:dyDescent="0.35">
      <c r="A24" s="98" t="s">
        <v>288</v>
      </c>
      <c r="B24" s="95" t="s">
        <v>306</v>
      </c>
      <c r="C24" s="94" t="s">
        <v>332</v>
      </c>
      <c r="D24" s="95" t="s">
        <v>354</v>
      </c>
      <c r="E24" s="169">
        <v>149483</v>
      </c>
      <c r="F24" s="169">
        <f t="shared" si="0"/>
        <v>149337.32</v>
      </c>
      <c r="G24" s="169">
        <f t="shared" si="1"/>
        <v>145.67999999999302</v>
      </c>
      <c r="H24" s="172"/>
      <c r="I24" s="172"/>
      <c r="J24" s="172"/>
      <c r="K24" s="175">
        <v>5799</v>
      </c>
      <c r="L24" s="172"/>
      <c r="M24" s="175"/>
      <c r="N24" s="172">
        <v>17278.099999999999</v>
      </c>
      <c r="O24" s="172"/>
      <c r="P24" s="207"/>
      <c r="Q24" s="172"/>
      <c r="R24" s="172">
        <v>21625.24</v>
      </c>
      <c r="S24" s="172">
        <v>46187.98</v>
      </c>
      <c r="T24" s="172">
        <v>58447</v>
      </c>
      <c r="U24" s="172"/>
      <c r="V24" s="172"/>
      <c r="W24" s="172"/>
      <c r="X24" s="172"/>
      <c r="Y24" s="172"/>
      <c r="Z24" s="68"/>
      <c r="AA24" s="68"/>
    </row>
    <row r="25" spans="1:27" s="37" customFormat="1" ht="29.4" thickBot="1" x14ac:dyDescent="0.35">
      <c r="A25" s="98" t="s">
        <v>289</v>
      </c>
      <c r="B25" s="95" t="s">
        <v>307</v>
      </c>
      <c r="C25" s="94" t="s">
        <v>333</v>
      </c>
      <c r="D25" s="95" t="s">
        <v>355</v>
      </c>
      <c r="E25" s="169">
        <v>108475</v>
      </c>
      <c r="F25" s="169">
        <f t="shared" si="0"/>
        <v>60843</v>
      </c>
      <c r="G25" s="169">
        <f t="shared" si="1"/>
        <v>47632</v>
      </c>
      <c r="H25" s="172"/>
      <c r="I25" s="172"/>
      <c r="J25" s="172"/>
      <c r="K25" s="175"/>
      <c r="L25" s="172"/>
      <c r="M25" s="175">
        <v>32041</v>
      </c>
      <c r="N25" s="172"/>
      <c r="O25" s="172"/>
      <c r="P25" s="207"/>
      <c r="Q25" s="172">
        <v>28802</v>
      </c>
      <c r="R25" s="172"/>
      <c r="S25" s="172"/>
      <c r="T25" s="172"/>
      <c r="U25" s="172"/>
      <c r="V25" s="172"/>
      <c r="W25" s="172"/>
      <c r="X25" s="172"/>
      <c r="Y25" s="172"/>
      <c r="Z25" s="68"/>
      <c r="AA25" s="68"/>
    </row>
    <row r="26" spans="1:27" s="37" customFormat="1" ht="29.4" thickBot="1" x14ac:dyDescent="0.35">
      <c r="A26" s="98" t="s">
        <v>91</v>
      </c>
      <c r="B26" s="95" t="s">
        <v>92</v>
      </c>
      <c r="C26" s="94" t="s">
        <v>334</v>
      </c>
      <c r="D26" s="95" t="s">
        <v>356</v>
      </c>
      <c r="E26" s="169">
        <v>150000</v>
      </c>
      <c r="F26" s="169">
        <f t="shared" si="0"/>
        <v>115342.98000000001</v>
      </c>
      <c r="G26" s="169">
        <f t="shared" si="1"/>
        <v>34657.01999999999</v>
      </c>
      <c r="H26" s="172"/>
      <c r="I26" s="172"/>
      <c r="J26" s="172"/>
      <c r="K26" s="175">
        <v>1254</v>
      </c>
      <c r="L26" s="172"/>
      <c r="M26" s="175">
        <v>26443</v>
      </c>
      <c r="N26" s="172"/>
      <c r="O26" s="172">
        <v>22049</v>
      </c>
      <c r="P26" s="207"/>
      <c r="Q26" s="172">
        <v>10265</v>
      </c>
      <c r="R26" s="172">
        <v>7331</v>
      </c>
      <c r="S26" s="172">
        <v>11261</v>
      </c>
      <c r="T26" s="172"/>
      <c r="U26" s="172"/>
      <c r="V26" s="172">
        <v>36739.980000000003</v>
      </c>
      <c r="W26" s="172"/>
      <c r="X26" s="172"/>
      <c r="Y26" s="172"/>
      <c r="Z26" s="68"/>
      <c r="AA26" s="68"/>
    </row>
    <row r="27" spans="1:27" s="37" customFormat="1" ht="15" thickBot="1" x14ac:dyDescent="0.35">
      <c r="A27" s="98" t="s">
        <v>37</v>
      </c>
      <c r="B27" s="95" t="s">
        <v>308</v>
      </c>
      <c r="C27" s="94" t="s">
        <v>335</v>
      </c>
      <c r="D27" s="95" t="s">
        <v>357</v>
      </c>
      <c r="E27" s="169">
        <v>150000</v>
      </c>
      <c r="F27" s="169">
        <f t="shared" si="0"/>
        <v>119156.58</v>
      </c>
      <c r="G27" s="169">
        <f t="shared" si="1"/>
        <v>30843.42</v>
      </c>
      <c r="H27" s="172"/>
      <c r="I27" s="172"/>
      <c r="J27" s="172"/>
      <c r="K27" s="175"/>
      <c r="L27" s="172"/>
      <c r="M27" s="175">
        <v>20000</v>
      </c>
      <c r="N27" s="172"/>
      <c r="O27" s="172">
        <v>40000</v>
      </c>
      <c r="P27" s="207"/>
      <c r="Q27" s="172">
        <v>-40000</v>
      </c>
      <c r="R27" s="172"/>
      <c r="S27" s="172">
        <v>130000</v>
      </c>
      <c r="T27" s="172"/>
      <c r="U27" s="172">
        <v>-30843.42</v>
      </c>
      <c r="V27" s="172"/>
      <c r="W27" s="172"/>
      <c r="X27" s="172"/>
      <c r="Y27" s="172"/>
      <c r="Z27" s="68"/>
      <c r="AA27" s="68"/>
    </row>
    <row r="28" spans="1:27" s="37" customFormat="1" ht="43.8" thickBot="1" x14ac:dyDescent="0.35">
      <c r="A28" s="98" t="s">
        <v>290</v>
      </c>
      <c r="B28" s="95" t="s">
        <v>309</v>
      </c>
      <c r="C28" s="94" t="s">
        <v>498</v>
      </c>
      <c r="D28" s="95" t="s">
        <v>358</v>
      </c>
      <c r="E28" s="169">
        <v>175000</v>
      </c>
      <c r="F28" s="169">
        <f t="shared" si="0"/>
        <v>174029.28</v>
      </c>
      <c r="G28" s="169">
        <f t="shared" si="1"/>
        <v>970.72000000000116</v>
      </c>
      <c r="H28" s="172"/>
      <c r="I28" s="172"/>
      <c r="J28" s="172"/>
      <c r="K28" s="175"/>
      <c r="L28" s="172"/>
      <c r="M28" s="175">
        <v>80370</v>
      </c>
      <c r="N28" s="172"/>
      <c r="O28" s="172">
        <f>9596-24321</f>
        <v>-14725</v>
      </c>
      <c r="P28" s="207">
        <v>18439</v>
      </c>
      <c r="Q28" s="172"/>
      <c r="R28" s="172"/>
      <c r="S28" s="172">
        <v>52955</v>
      </c>
      <c r="T28" s="172"/>
      <c r="U28" s="172"/>
      <c r="V28" s="172">
        <v>36990.28</v>
      </c>
      <c r="W28" s="172"/>
      <c r="X28" s="172"/>
      <c r="Y28" s="172"/>
      <c r="Z28" s="68"/>
      <c r="AA28" s="68"/>
    </row>
    <row r="29" spans="1:27" s="37" customFormat="1" ht="15" thickBot="1" x14ac:dyDescent="0.35">
      <c r="A29" s="98" t="s">
        <v>28</v>
      </c>
      <c r="B29" s="95" t="s">
        <v>93</v>
      </c>
      <c r="C29" s="94" t="s">
        <v>336</v>
      </c>
      <c r="D29" s="95" t="s">
        <v>505</v>
      </c>
      <c r="E29" s="169">
        <v>582000</v>
      </c>
      <c r="F29" s="169">
        <f t="shared" si="0"/>
        <v>564234.03</v>
      </c>
      <c r="G29" s="169">
        <f t="shared" si="1"/>
        <v>17765.969999999972</v>
      </c>
      <c r="H29" s="172"/>
      <c r="I29" s="172"/>
      <c r="J29" s="172"/>
      <c r="K29" s="175">
        <v>61485</v>
      </c>
      <c r="L29" s="197">
        <v>46152</v>
      </c>
      <c r="M29" s="175">
        <v>56081</v>
      </c>
      <c r="N29" s="172">
        <v>46574</v>
      </c>
      <c r="O29" s="172">
        <v>40205</v>
      </c>
      <c r="P29" s="207"/>
      <c r="Q29" s="172">
        <v>120162</v>
      </c>
      <c r="R29" s="172">
        <v>57808.87</v>
      </c>
      <c r="S29" s="172">
        <v>45178.54</v>
      </c>
      <c r="T29" s="172"/>
      <c r="U29" s="172"/>
      <c r="V29" s="172">
        <v>90587.62</v>
      </c>
      <c r="W29" s="172"/>
      <c r="X29" s="172"/>
      <c r="Y29" s="172"/>
      <c r="Z29" s="68"/>
      <c r="AA29" s="68"/>
    </row>
    <row r="30" spans="1:27" s="37" customFormat="1" ht="43.8" thickBot="1" x14ac:dyDescent="0.35">
      <c r="A30" s="98" t="s">
        <v>56</v>
      </c>
      <c r="B30" s="95" t="s">
        <v>230</v>
      </c>
      <c r="C30" s="94">
        <v>6219</v>
      </c>
      <c r="D30" s="95" t="s">
        <v>359</v>
      </c>
      <c r="E30" s="169">
        <v>450000</v>
      </c>
      <c r="F30" s="169">
        <f t="shared" si="0"/>
        <v>382558</v>
      </c>
      <c r="G30" s="169">
        <f t="shared" si="1"/>
        <v>67442</v>
      </c>
      <c r="H30" s="172"/>
      <c r="I30" s="172"/>
      <c r="J30" s="172"/>
      <c r="K30" s="175"/>
      <c r="L30" s="197">
        <v>42049</v>
      </c>
      <c r="M30" s="172"/>
      <c r="N30" s="172">
        <v>55013</v>
      </c>
      <c r="O30" s="207">
        <v>25167</v>
      </c>
      <c r="P30" s="207">
        <v>35462</v>
      </c>
      <c r="Q30" s="172"/>
      <c r="R30" s="172">
        <v>68003</v>
      </c>
      <c r="S30" s="172">
        <v>25608</v>
      </c>
      <c r="T30" s="172">
        <v>33300</v>
      </c>
      <c r="U30" s="172">
        <v>97956</v>
      </c>
      <c r="V30" s="172"/>
      <c r="W30" s="172"/>
      <c r="X30" s="172"/>
      <c r="Y30" s="172"/>
      <c r="Z30" s="68"/>
      <c r="AA30" s="68"/>
    </row>
    <row r="31" spans="1:27" s="37" customFormat="1" ht="15" thickBot="1" x14ac:dyDescent="0.35">
      <c r="A31" s="98" t="s">
        <v>56</v>
      </c>
      <c r="B31" s="95" t="s">
        <v>230</v>
      </c>
      <c r="C31" s="94" t="s">
        <v>385</v>
      </c>
      <c r="D31" s="95" t="s">
        <v>360</v>
      </c>
      <c r="E31" s="169">
        <v>149895</v>
      </c>
      <c r="F31" s="169">
        <f t="shared" si="0"/>
        <v>84436</v>
      </c>
      <c r="G31" s="169">
        <f t="shared" si="1"/>
        <v>65459</v>
      </c>
      <c r="H31" s="172"/>
      <c r="I31" s="172"/>
      <c r="J31" s="172"/>
      <c r="K31" s="175"/>
      <c r="L31" s="172">
        <v>6707</v>
      </c>
      <c r="M31" s="207">
        <v>8423</v>
      </c>
      <c r="N31" s="172">
        <v>10559</v>
      </c>
      <c r="O31" s="207">
        <v>7955</v>
      </c>
      <c r="P31" s="207">
        <v>14331</v>
      </c>
      <c r="Q31" s="172"/>
      <c r="R31" s="172">
        <f>10284</f>
        <v>10284</v>
      </c>
      <c r="S31" s="172">
        <v>10509</v>
      </c>
      <c r="T31" s="172">
        <v>15668</v>
      </c>
      <c r="U31" s="172"/>
      <c r="V31" s="172"/>
      <c r="W31" s="172"/>
      <c r="X31" s="172"/>
      <c r="Y31" s="172"/>
      <c r="Z31" s="68"/>
      <c r="AA31" s="68"/>
    </row>
    <row r="32" spans="1:27" s="37" customFormat="1" ht="15" thickBot="1" x14ac:dyDescent="0.35">
      <c r="A32" s="98" t="s">
        <v>56</v>
      </c>
      <c r="B32" s="95" t="s">
        <v>230</v>
      </c>
      <c r="C32" s="94" t="s">
        <v>376</v>
      </c>
      <c r="D32" s="95" t="s">
        <v>361</v>
      </c>
      <c r="E32" s="169">
        <v>150000</v>
      </c>
      <c r="F32" s="169">
        <f t="shared" si="0"/>
        <v>147516</v>
      </c>
      <c r="G32" s="169">
        <f t="shared" si="1"/>
        <v>2484</v>
      </c>
      <c r="H32" s="172"/>
      <c r="I32" s="172"/>
      <c r="J32" s="172">
        <v>16738</v>
      </c>
      <c r="K32" s="175">
        <v>14588</v>
      </c>
      <c r="L32" s="172"/>
      <c r="M32" s="172">
        <v>11755</v>
      </c>
      <c r="N32" s="172">
        <v>42165</v>
      </c>
      <c r="O32" s="172"/>
      <c r="P32" s="207"/>
      <c r="Q32" s="172"/>
      <c r="R32" s="172">
        <v>39400</v>
      </c>
      <c r="S32" s="172">
        <v>16511</v>
      </c>
      <c r="T32" s="172"/>
      <c r="U32" s="172"/>
      <c r="V32" s="172">
        <v>6359</v>
      </c>
      <c r="W32" s="172"/>
      <c r="X32" s="172"/>
      <c r="Y32" s="172"/>
      <c r="Z32" s="68"/>
      <c r="AA32" s="68"/>
    </row>
    <row r="33" spans="1:41" s="37" customFormat="1" ht="58.2" thickBot="1" x14ac:dyDescent="0.35">
      <c r="A33" s="98" t="s">
        <v>103</v>
      </c>
      <c r="B33" s="215" t="s">
        <v>196</v>
      </c>
      <c r="C33" s="94" t="s">
        <v>103</v>
      </c>
      <c r="D33" s="95" t="s">
        <v>362</v>
      </c>
      <c r="E33" s="169">
        <v>450000</v>
      </c>
      <c r="F33" s="169">
        <f t="shared" si="0"/>
        <v>450000</v>
      </c>
      <c r="G33" s="169">
        <f t="shared" si="1"/>
        <v>0</v>
      </c>
      <c r="H33" s="172"/>
      <c r="I33" s="172"/>
      <c r="J33" s="172">
        <v>27302</v>
      </c>
      <c r="K33" s="175">
        <v>38421</v>
      </c>
      <c r="L33" s="172">
        <v>41048</v>
      </c>
      <c r="M33" s="172">
        <v>33079</v>
      </c>
      <c r="N33" s="172">
        <v>25022</v>
      </c>
      <c r="O33" s="172"/>
      <c r="P33" s="207">
        <f>36536+37727</f>
        <v>74263</v>
      </c>
      <c r="Q33" s="172">
        <v>45078</v>
      </c>
      <c r="R33" s="172">
        <f>35634+46052</f>
        <v>81686</v>
      </c>
      <c r="S33" s="172">
        <v>35607</v>
      </c>
      <c r="T33" s="172">
        <v>48494</v>
      </c>
      <c r="U33" s="172"/>
      <c r="V33" s="172"/>
      <c r="W33" s="172"/>
      <c r="X33" s="172"/>
      <c r="Y33" s="172"/>
      <c r="Z33" s="68"/>
      <c r="AA33" s="68"/>
    </row>
    <row r="34" spans="1:41" s="37" customFormat="1" ht="29.4" thickBot="1" x14ac:dyDescent="0.35">
      <c r="A34" s="98" t="s">
        <v>291</v>
      </c>
      <c r="B34" s="95" t="s">
        <v>310</v>
      </c>
      <c r="C34" s="94" t="s">
        <v>337</v>
      </c>
      <c r="D34" s="95" t="s">
        <v>363</v>
      </c>
      <c r="E34" s="169">
        <v>102228</v>
      </c>
      <c r="F34" s="169">
        <f t="shared" si="0"/>
        <v>12620</v>
      </c>
      <c r="G34" s="169">
        <f t="shared" si="1"/>
        <v>89608</v>
      </c>
      <c r="H34" s="172"/>
      <c r="I34" s="172"/>
      <c r="J34" s="172"/>
      <c r="K34" s="175"/>
      <c r="L34" s="172"/>
      <c r="M34" s="172"/>
      <c r="N34" s="172"/>
      <c r="O34" s="172"/>
      <c r="P34" s="207"/>
      <c r="Q34" s="172"/>
      <c r="R34" s="172"/>
      <c r="S34" s="172">
        <v>12620</v>
      </c>
      <c r="T34" s="172"/>
      <c r="U34" s="172"/>
      <c r="V34" s="172"/>
      <c r="W34" s="172"/>
      <c r="X34" s="172"/>
      <c r="Y34" s="172"/>
      <c r="Z34" s="68"/>
      <c r="AA34" s="68"/>
    </row>
    <row r="35" spans="1:41" s="37" customFormat="1" ht="58.2" thickBot="1" x14ac:dyDescent="0.35">
      <c r="A35" s="98" t="s">
        <v>292</v>
      </c>
      <c r="B35" s="95" t="s">
        <v>311</v>
      </c>
      <c r="C35" s="94" t="s">
        <v>337</v>
      </c>
      <c r="D35" s="95" t="s">
        <v>507</v>
      </c>
      <c r="E35" s="169">
        <v>495080</v>
      </c>
      <c r="F35" s="169">
        <f t="shared" si="0"/>
        <v>495080</v>
      </c>
      <c r="G35" s="169">
        <f t="shared" si="1"/>
        <v>0</v>
      </c>
      <c r="H35" s="172"/>
      <c r="I35" s="172">
        <v>40535</v>
      </c>
      <c r="J35" s="172">
        <v>21994</v>
      </c>
      <c r="K35" s="175">
        <v>41587</v>
      </c>
      <c r="L35" s="172">
        <v>65980</v>
      </c>
      <c r="M35" s="172">
        <v>50208</v>
      </c>
      <c r="N35" s="172">
        <v>33065</v>
      </c>
      <c r="O35" s="172">
        <v>32977</v>
      </c>
      <c r="P35" s="223">
        <v>41954</v>
      </c>
      <c r="Q35" s="172">
        <v>32723</v>
      </c>
      <c r="R35" s="172">
        <v>35943</v>
      </c>
      <c r="S35" s="172">
        <v>74493</v>
      </c>
      <c r="T35" s="172">
        <v>23579</v>
      </c>
      <c r="U35" s="172">
        <v>42</v>
      </c>
      <c r="V35" s="172"/>
      <c r="W35" s="172"/>
      <c r="X35" s="172"/>
      <c r="Y35" s="172"/>
      <c r="Z35" s="68"/>
      <c r="AA35" s="68"/>
    </row>
    <row r="36" spans="1:41" s="37" customFormat="1" ht="15" thickBot="1" x14ac:dyDescent="0.35">
      <c r="A36" s="98" t="s">
        <v>293</v>
      </c>
      <c r="B36" s="95" t="s">
        <v>312</v>
      </c>
      <c r="C36" s="94" t="s">
        <v>293</v>
      </c>
      <c r="D36" s="95" t="s">
        <v>364</v>
      </c>
      <c r="E36" s="169">
        <v>118398</v>
      </c>
      <c r="F36" s="169">
        <f t="shared" si="0"/>
        <v>111632.42</v>
      </c>
      <c r="G36" s="169">
        <f t="shared" si="1"/>
        <v>6765.5800000000017</v>
      </c>
      <c r="H36" s="172"/>
      <c r="I36" s="172"/>
      <c r="J36" s="172"/>
      <c r="K36" s="175"/>
      <c r="L36" s="172"/>
      <c r="M36" s="172"/>
      <c r="N36" s="172"/>
      <c r="O36" s="172">
        <v>22195</v>
      </c>
      <c r="P36" s="207">
        <v>10643</v>
      </c>
      <c r="Q36" s="172">
        <v>10091</v>
      </c>
      <c r="R36" s="172">
        <v>18407</v>
      </c>
      <c r="S36" s="172">
        <v>14330</v>
      </c>
      <c r="T36" s="172"/>
      <c r="U36" s="172">
        <v>6598.42</v>
      </c>
      <c r="V36" s="172">
        <v>29368</v>
      </c>
      <c r="W36" s="172"/>
      <c r="X36" s="172"/>
      <c r="Y36" s="172"/>
      <c r="Z36" s="68"/>
      <c r="AA36" s="68"/>
    </row>
    <row r="37" spans="1:41" s="37" customFormat="1" ht="15" thickBot="1" x14ac:dyDescent="0.35">
      <c r="A37" s="98" t="s">
        <v>294</v>
      </c>
      <c r="B37" s="95" t="s">
        <v>313</v>
      </c>
      <c r="C37" s="94" t="s">
        <v>294</v>
      </c>
      <c r="D37" s="95" t="s">
        <v>365</v>
      </c>
      <c r="E37" s="169">
        <v>150000</v>
      </c>
      <c r="F37" s="169">
        <f t="shared" si="0"/>
        <v>150000</v>
      </c>
      <c r="G37" s="169">
        <f t="shared" si="1"/>
        <v>0</v>
      </c>
      <c r="H37" s="172"/>
      <c r="I37" s="172"/>
      <c r="J37" s="172">
        <v>5514.39</v>
      </c>
      <c r="K37" s="175"/>
      <c r="L37" s="172">
        <v>19188.310000000001</v>
      </c>
      <c r="M37" s="172">
        <v>11856.47</v>
      </c>
      <c r="N37" s="172">
        <v>10631.4</v>
      </c>
      <c r="O37" s="172">
        <v>9184.49</v>
      </c>
      <c r="P37" s="207">
        <v>13048.74</v>
      </c>
      <c r="Q37" s="172"/>
      <c r="R37" s="172">
        <v>38257.99</v>
      </c>
      <c r="S37" s="172">
        <v>15358.69</v>
      </c>
      <c r="T37" s="172">
        <v>26959.52</v>
      </c>
      <c r="U37" s="172"/>
      <c r="V37" s="172"/>
      <c r="W37" s="172"/>
      <c r="X37" s="172"/>
      <c r="Y37" s="172"/>
      <c r="Z37" s="68"/>
      <c r="AA37" s="68"/>
    </row>
    <row r="38" spans="1:41" s="37" customFormat="1" ht="15" thickBot="1" x14ac:dyDescent="0.35">
      <c r="A38" s="98" t="s">
        <v>295</v>
      </c>
      <c r="B38" s="95" t="s">
        <v>314</v>
      </c>
      <c r="C38" s="94" t="s">
        <v>295</v>
      </c>
      <c r="D38" s="95" t="s">
        <v>366</v>
      </c>
      <c r="E38" s="169">
        <v>132714</v>
      </c>
      <c r="F38" s="169">
        <f t="shared" si="0"/>
        <v>132714</v>
      </c>
      <c r="G38" s="169">
        <f t="shared" si="1"/>
        <v>0</v>
      </c>
      <c r="H38" s="172"/>
      <c r="I38" s="172"/>
      <c r="J38" s="172">
        <v>7010</v>
      </c>
      <c r="K38" s="175">
        <v>7107</v>
      </c>
      <c r="L38" s="172">
        <v>14123</v>
      </c>
      <c r="M38" s="172">
        <v>10563</v>
      </c>
      <c r="N38" s="172">
        <v>5015</v>
      </c>
      <c r="O38" s="172"/>
      <c r="P38" s="207">
        <v>17298</v>
      </c>
      <c r="Q38" s="172"/>
      <c r="R38" s="172">
        <v>36363</v>
      </c>
      <c r="S38" s="172">
        <v>20187</v>
      </c>
      <c r="T38" s="172">
        <v>15048</v>
      </c>
      <c r="U38" s="172"/>
      <c r="V38" s="172"/>
      <c r="W38" s="172"/>
      <c r="X38" s="172"/>
      <c r="Y38" s="172"/>
      <c r="Z38" s="68"/>
      <c r="AA38" s="68"/>
    </row>
    <row r="39" spans="1:41" s="37" customFormat="1" ht="15" thickBot="1" x14ac:dyDescent="0.35">
      <c r="A39" s="98" t="s">
        <v>296</v>
      </c>
      <c r="B39" s="95" t="s">
        <v>315</v>
      </c>
      <c r="C39" s="94" t="s">
        <v>296</v>
      </c>
      <c r="D39" s="95" t="s">
        <v>367</v>
      </c>
      <c r="E39" s="169">
        <v>149996</v>
      </c>
      <c r="F39" s="169">
        <f t="shared" si="0"/>
        <v>148647.12</v>
      </c>
      <c r="G39" s="169">
        <f t="shared" si="1"/>
        <v>1348.8800000000047</v>
      </c>
      <c r="H39" s="172"/>
      <c r="I39" s="172"/>
      <c r="J39" s="172">
        <v>8644</v>
      </c>
      <c r="K39" s="175">
        <v>6974</v>
      </c>
      <c r="L39" s="172">
        <v>4971</v>
      </c>
      <c r="M39" s="172">
        <v>8949</v>
      </c>
      <c r="N39" s="172">
        <v>13433</v>
      </c>
      <c r="O39" s="172">
        <f>7324+13433</f>
        <v>20757</v>
      </c>
      <c r="P39" s="207"/>
      <c r="Q39" s="172">
        <v>19985</v>
      </c>
      <c r="R39" s="172">
        <v>19529</v>
      </c>
      <c r="S39" s="172">
        <v>15591</v>
      </c>
      <c r="T39" s="172">
        <v>31163</v>
      </c>
      <c r="U39" s="172">
        <v>-1348.88</v>
      </c>
      <c r="V39" s="172"/>
      <c r="W39" s="172"/>
      <c r="X39" s="172"/>
      <c r="Y39" s="172"/>
      <c r="Z39" s="68"/>
      <c r="AA39" s="68"/>
    </row>
    <row r="40" spans="1:41" s="37" customFormat="1" ht="15" thickBot="1" x14ac:dyDescent="0.35">
      <c r="A40" s="98" t="s">
        <v>297</v>
      </c>
      <c r="B40" s="95" t="s">
        <v>316</v>
      </c>
      <c r="C40" s="94" t="s">
        <v>297</v>
      </c>
      <c r="D40" s="95" t="s">
        <v>368</v>
      </c>
      <c r="E40" s="169">
        <v>95776</v>
      </c>
      <c r="F40" s="169">
        <f t="shared" si="0"/>
        <v>95594</v>
      </c>
      <c r="G40" s="169">
        <f t="shared" si="1"/>
        <v>182</v>
      </c>
      <c r="H40" s="172"/>
      <c r="I40" s="172"/>
      <c r="J40" s="172">
        <v>4615</v>
      </c>
      <c r="K40" s="175">
        <v>3034</v>
      </c>
      <c r="L40" s="172">
        <v>7072</v>
      </c>
      <c r="M40" s="172">
        <v>6723</v>
      </c>
      <c r="N40" s="172">
        <v>7443</v>
      </c>
      <c r="O40" s="172">
        <v>4537</v>
      </c>
      <c r="P40" s="207"/>
      <c r="Q40" s="172">
        <f>6646+8894</f>
        <v>15540</v>
      </c>
      <c r="R40" s="172">
        <v>13962</v>
      </c>
      <c r="S40" s="172">
        <v>13564</v>
      </c>
      <c r="T40" s="172">
        <v>19104</v>
      </c>
      <c r="U40" s="172"/>
      <c r="V40" s="172"/>
      <c r="W40" s="172"/>
      <c r="X40" s="172"/>
      <c r="Y40" s="172"/>
      <c r="Z40" s="68"/>
      <c r="AA40" s="68"/>
    </row>
    <row r="41" spans="1:41" s="37" customFormat="1" ht="29.4" thickBot="1" x14ac:dyDescent="0.35">
      <c r="A41" s="98" t="s">
        <v>298</v>
      </c>
      <c r="B41" s="95" t="s">
        <v>317</v>
      </c>
      <c r="C41" s="94" t="s">
        <v>298</v>
      </c>
      <c r="D41" s="95" t="s">
        <v>369</v>
      </c>
      <c r="E41" s="169">
        <v>295890</v>
      </c>
      <c r="F41" s="169">
        <f t="shared" si="0"/>
        <v>295890</v>
      </c>
      <c r="G41" s="169">
        <f t="shared" si="1"/>
        <v>0</v>
      </c>
      <c r="H41" s="172"/>
      <c r="I41" s="172"/>
      <c r="J41" s="172"/>
      <c r="K41" s="175">
        <v>30990</v>
      </c>
      <c r="L41" s="172">
        <v>18403</v>
      </c>
      <c r="M41" s="172">
        <v>24074</v>
      </c>
      <c r="N41" s="172">
        <v>42503</v>
      </c>
      <c r="O41" s="172">
        <v>17124</v>
      </c>
      <c r="P41" s="207">
        <v>26034</v>
      </c>
      <c r="Q41" s="172">
        <v>17442</v>
      </c>
      <c r="R41" s="172">
        <v>25920</v>
      </c>
      <c r="S41" s="172">
        <v>26658</v>
      </c>
      <c r="T41" s="172">
        <v>60615</v>
      </c>
      <c r="U41" s="172">
        <v>6127</v>
      </c>
      <c r="V41" s="172"/>
      <c r="W41" s="172"/>
      <c r="X41" s="172"/>
      <c r="Y41" s="172"/>
      <c r="Z41" s="175"/>
      <c r="AA41" s="175"/>
    </row>
    <row r="42" spans="1:41" s="37" customFormat="1" ht="58.2" thickBot="1" x14ac:dyDescent="0.35">
      <c r="A42" s="98" t="s">
        <v>299</v>
      </c>
      <c r="B42" s="95" t="s">
        <v>318</v>
      </c>
      <c r="C42" s="94" t="s">
        <v>299</v>
      </c>
      <c r="D42" s="95" t="s">
        <v>370</v>
      </c>
      <c r="E42" s="169">
        <v>600000</v>
      </c>
      <c r="F42" s="169">
        <f t="shared" si="0"/>
        <v>600000</v>
      </c>
      <c r="G42" s="169">
        <f t="shared" si="1"/>
        <v>0</v>
      </c>
      <c r="H42" s="172"/>
      <c r="I42" s="172">
        <v>10675</v>
      </c>
      <c r="J42" s="172">
        <v>24901</v>
      </c>
      <c r="K42" s="175">
        <v>34017</v>
      </c>
      <c r="L42" s="172">
        <v>50892</v>
      </c>
      <c r="M42" s="172">
        <v>38239</v>
      </c>
      <c r="N42" s="172">
        <v>41636</v>
      </c>
      <c r="O42" s="172">
        <v>44562</v>
      </c>
      <c r="P42" s="207">
        <v>49572</v>
      </c>
      <c r="Q42" s="172">
        <f>50938+50974</f>
        <v>101912</v>
      </c>
      <c r="R42" s="172"/>
      <c r="S42" s="172">
        <f>67963.77+19132.23</f>
        <v>87096</v>
      </c>
      <c r="T42" s="172">
        <v>116498</v>
      </c>
      <c r="U42" s="172"/>
      <c r="V42" s="172"/>
      <c r="W42" s="172"/>
      <c r="X42" s="172"/>
      <c r="Y42" s="172"/>
      <c r="Z42" s="175"/>
      <c r="AA42" s="175"/>
    </row>
    <row r="43" spans="1:41" s="37" customFormat="1" ht="58.2" thickBot="1" x14ac:dyDescent="0.35">
      <c r="A43" s="98" t="s">
        <v>300</v>
      </c>
      <c r="B43" s="95" t="s">
        <v>319</v>
      </c>
      <c r="C43" s="94" t="s">
        <v>300</v>
      </c>
      <c r="D43" s="95" t="s">
        <v>371</v>
      </c>
      <c r="E43" s="169">
        <v>450000</v>
      </c>
      <c r="F43" s="169">
        <f t="shared" si="0"/>
        <v>445367</v>
      </c>
      <c r="G43" s="169">
        <f t="shared" si="1"/>
        <v>4633</v>
      </c>
      <c r="H43" s="172"/>
      <c r="I43" s="172"/>
      <c r="J43" s="172"/>
      <c r="K43" s="175">
        <f>15074</f>
        <v>15074</v>
      </c>
      <c r="L43" s="172">
        <v>19347</v>
      </c>
      <c r="M43" s="172">
        <v>36598</v>
      </c>
      <c r="N43" s="172">
        <v>34225</v>
      </c>
      <c r="O43" s="172">
        <v>33620</v>
      </c>
      <c r="P43" s="207"/>
      <c r="Q43" s="172">
        <f>33082+37582</f>
        <v>70664</v>
      </c>
      <c r="R43" s="172">
        <v>48179</v>
      </c>
      <c r="S43" s="172">
        <v>34317</v>
      </c>
      <c r="T43" s="172">
        <v>44016</v>
      </c>
      <c r="U43" s="172">
        <v>109327</v>
      </c>
      <c r="V43" s="172"/>
      <c r="W43" s="172"/>
      <c r="X43" s="172"/>
      <c r="Y43" s="172"/>
      <c r="Z43" s="68"/>
      <c r="AA43" s="68"/>
    </row>
    <row r="44" spans="1:41" s="37" customFormat="1" ht="29.4" thickBot="1" x14ac:dyDescent="0.35">
      <c r="A44" s="98" t="s">
        <v>77</v>
      </c>
      <c r="B44" s="95" t="s">
        <v>197</v>
      </c>
      <c r="C44" s="94" t="s">
        <v>77</v>
      </c>
      <c r="D44" s="95" t="s">
        <v>123</v>
      </c>
      <c r="E44" s="169">
        <v>150000</v>
      </c>
      <c r="F44" s="169">
        <f t="shared" si="0"/>
        <v>109629.5</v>
      </c>
      <c r="G44" s="169">
        <f t="shared" si="1"/>
        <v>40370.5</v>
      </c>
      <c r="H44" s="172"/>
      <c r="I44" s="172"/>
      <c r="J44" s="172"/>
      <c r="K44" s="175"/>
      <c r="L44" s="172"/>
      <c r="M44" s="172"/>
      <c r="N44" s="172"/>
      <c r="O44" s="172">
        <f>8941+3667+8249+12511+7558+9012+9307</f>
        <v>59245</v>
      </c>
      <c r="P44" s="207">
        <v>14294</v>
      </c>
      <c r="Q44" s="172">
        <v>8870</v>
      </c>
      <c r="R44" s="172"/>
      <c r="S44" s="172">
        <v>23264</v>
      </c>
      <c r="T44" s="172"/>
      <c r="U44" s="172">
        <v>3956.5</v>
      </c>
      <c r="V44" s="172"/>
      <c r="W44" s="172"/>
      <c r="X44" s="172"/>
      <c r="Y44" s="172"/>
      <c r="Z44" s="68"/>
      <c r="AA44" s="68"/>
    </row>
    <row r="45" spans="1:41" s="37" customFormat="1" ht="29.4" thickBot="1" x14ac:dyDescent="0.35">
      <c r="A45" s="97" t="s">
        <v>104</v>
      </c>
      <c r="B45" s="95" t="s">
        <v>198</v>
      </c>
      <c r="C45" s="99" t="s">
        <v>104</v>
      </c>
      <c r="D45" s="95" t="s">
        <v>372</v>
      </c>
      <c r="E45" s="169">
        <v>115025</v>
      </c>
      <c r="F45" s="169">
        <f t="shared" si="0"/>
        <v>115025</v>
      </c>
      <c r="G45" s="169">
        <f t="shared" si="1"/>
        <v>0</v>
      </c>
      <c r="H45" s="172"/>
      <c r="I45" s="172">
        <v>5215</v>
      </c>
      <c r="J45" s="172"/>
      <c r="K45" s="175">
        <v>3770</v>
      </c>
      <c r="L45" s="172">
        <f>5610+10476</f>
        <v>16086</v>
      </c>
      <c r="M45" s="172"/>
      <c r="N45" s="172">
        <v>5239</v>
      </c>
      <c r="O45" s="172">
        <v>6394</v>
      </c>
      <c r="P45" s="207">
        <f>5787+6757</f>
        <v>12544</v>
      </c>
      <c r="Q45" s="172">
        <v>5006</v>
      </c>
      <c r="R45" s="172"/>
      <c r="S45" s="172">
        <f>14259+18372</f>
        <v>32631</v>
      </c>
      <c r="T45" s="172">
        <v>28140</v>
      </c>
      <c r="U45" s="172"/>
      <c r="V45" s="172"/>
      <c r="W45" s="172"/>
      <c r="X45" s="172"/>
      <c r="Y45" s="172"/>
      <c r="Z45" s="68"/>
      <c r="AA45" s="68"/>
    </row>
    <row r="46" spans="1:41" ht="29.4" thickBot="1" x14ac:dyDescent="0.35">
      <c r="A46" s="216" t="s">
        <v>14</v>
      </c>
      <c r="B46" s="217" t="s">
        <v>24</v>
      </c>
      <c r="C46" s="218" t="s">
        <v>301</v>
      </c>
      <c r="D46" s="217" t="s">
        <v>374</v>
      </c>
      <c r="E46" s="219">
        <v>300000</v>
      </c>
      <c r="F46" s="219">
        <f t="shared" si="0"/>
        <v>283945</v>
      </c>
      <c r="G46" s="219">
        <f t="shared" si="1"/>
        <v>16055</v>
      </c>
      <c r="H46" s="172"/>
      <c r="I46" s="172"/>
      <c r="J46" s="172"/>
      <c r="K46" s="175"/>
      <c r="L46" s="172">
        <f>14804+25400</f>
        <v>40204</v>
      </c>
      <c r="M46" s="172"/>
      <c r="N46" s="172">
        <v>17503</v>
      </c>
      <c r="O46" s="172"/>
      <c r="P46" s="207">
        <f>14203+15837+14022</f>
        <v>44062</v>
      </c>
      <c r="Q46" s="172"/>
      <c r="R46" s="172">
        <f>12575+16001</f>
        <v>28576</v>
      </c>
      <c r="S46" s="172">
        <v>22081</v>
      </c>
      <c r="T46" s="172"/>
      <c r="U46" s="172"/>
      <c r="V46" s="172">
        <f>40713+90806</f>
        <v>131519</v>
      </c>
      <c r="W46" s="172"/>
      <c r="X46" s="172"/>
      <c r="Y46" s="172"/>
      <c r="Z46" s="68"/>
      <c r="AA46" s="68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41" s="37" customFormat="1" ht="58.95" customHeight="1" thickBot="1" x14ac:dyDescent="0.35">
      <c r="A47" s="97" t="s">
        <v>14</v>
      </c>
      <c r="B47" s="95" t="s">
        <v>24</v>
      </c>
      <c r="C47" s="99" t="s">
        <v>338</v>
      </c>
      <c r="D47" s="95" t="s">
        <v>373</v>
      </c>
      <c r="E47" s="169">
        <v>150000</v>
      </c>
      <c r="F47" s="169">
        <f t="shared" si="0"/>
        <v>143710</v>
      </c>
      <c r="G47" s="169">
        <f t="shared" si="1"/>
        <v>6290</v>
      </c>
      <c r="H47" s="172"/>
      <c r="I47" s="172"/>
      <c r="J47" s="172"/>
      <c r="K47" s="175"/>
      <c r="L47" s="172">
        <f>10145+12178</f>
        <v>22323</v>
      </c>
      <c r="M47" s="172"/>
      <c r="N47" s="172">
        <v>12395</v>
      </c>
      <c r="O47" s="172"/>
      <c r="P47" s="207">
        <f>9197+10472+9864</f>
        <v>29533</v>
      </c>
      <c r="Q47" s="172"/>
      <c r="R47" s="172">
        <f>8190+9599</f>
        <v>17789</v>
      </c>
      <c r="S47" s="172">
        <v>11414</v>
      </c>
      <c r="T47" s="172"/>
      <c r="U47" s="172"/>
      <c r="V47" s="172">
        <f>35794+14462</f>
        <v>50256</v>
      </c>
      <c r="W47" s="172"/>
      <c r="X47" s="172"/>
      <c r="Y47" s="172"/>
      <c r="Z47" s="68"/>
      <c r="AA47" s="68"/>
    </row>
    <row r="48" spans="1:41" s="37" customFormat="1" ht="29.4" thickBot="1" x14ac:dyDescent="0.35">
      <c r="A48" s="97" t="s">
        <v>99</v>
      </c>
      <c r="B48" s="95" t="s">
        <v>101</v>
      </c>
      <c r="C48" s="99" t="s">
        <v>99</v>
      </c>
      <c r="D48" s="95" t="s">
        <v>375</v>
      </c>
      <c r="E48" s="169">
        <v>107804</v>
      </c>
      <c r="F48" s="169">
        <f t="shared" si="0"/>
        <v>48501.96</v>
      </c>
      <c r="G48" s="169">
        <f t="shared" si="1"/>
        <v>59302.04</v>
      </c>
      <c r="H48" s="172"/>
      <c r="I48" s="172"/>
      <c r="J48" s="172"/>
      <c r="K48" s="175">
        <v>0</v>
      </c>
      <c r="L48" s="172">
        <f>1613+687</f>
        <v>2300</v>
      </c>
      <c r="M48" s="172"/>
      <c r="N48" s="172">
        <f>3308+2204</f>
        <v>5512</v>
      </c>
      <c r="O48" s="172">
        <v>3051</v>
      </c>
      <c r="P48" s="207">
        <v>4430</v>
      </c>
      <c r="Q48" s="172">
        <v>3628</v>
      </c>
      <c r="R48" s="172">
        <v>4299</v>
      </c>
      <c r="S48" s="172">
        <v>1284</v>
      </c>
      <c r="T48" s="172"/>
      <c r="U48" s="172"/>
      <c r="V48" s="172">
        <v>23997.96</v>
      </c>
      <c r="W48" s="172"/>
      <c r="X48" s="172"/>
      <c r="Y48" s="172"/>
      <c r="Z48" s="68"/>
      <c r="AA48" s="68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27" ht="15" thickBot="1" x14ac:dyDescent="0.35">
      <c r="E49" s="46"/>
      <c r="F49" s="46"/>
      <c r="G49" s="46"/>
      <c r="Z49" s="30"/>
      <c r="AA49" s="30"/>
    </row>
    <row r="50" spans="1:27" s="37" customFormat="1" ht="15" thickBot="1" x14ac:dyDescent="0.35">
      <c r="A50" s="100" t="s">
        <v>48</v>
      </c>
      <c r="B50" s="43"/>
      <c r="C50" s="64"/>
      <c r="D50" s="43"/>
      <c r="E50" s="176">
        <f>SUM(E9:E48)</f>
        <v>9166541</v>
      </c>
      <c r="F50" s="176">
        <f>SUM(F9:F48)</f>
        <v>8162072.4500000002</v>
      </c>
      <c r="G50" s="176">
        <f>SUM(G9:G48)</f>
        <v>1004468.55</v>
      </c>
      <c r="H50" s="176">
        <f t="shared" ref="H50:Q50" si="2">SUM(H1:H32)</f>
        <v>0</v>
      </c>
      <c r="I50" s="176">
        <f t="shared" si="2"/>
        <v>38356</v>
      </c>
      <c r="J50" s="176">
        <f t="shared" si="2"/>
        <v>32704</v>
      </c>
      <c r="K50" s="176">
        <f t="shared" si="2"/>
        <v>176849</v>
      </c>
      <c r="L50" s="176">
        <f t="shared" si="2"/>
        <v>177490</v>
      </c>
      <c r="M50" s="176">
        <f t="shared" si="2"/>
        <v>432827</v>
      </c>
      <c r="N50" s="176">
        <f t="shared" si="2"/>
        <v>443538.1</v>
      </c>
      <c r="O50" s="176">
        <f t="shared" si="2"/>
        <v>310555</v>
      </c>
      <c r="P50" s="176">
        <f t="shared" si="2"/>
        <v>187932</v>
      </c>
      <c r="Q50" s="176">
        <f t="shared" si="2"/>
        <v>372368</v>
      </c>
      <c r="R50" s="176">
        <f>SUM(R9:R48)</f>
        <v>878694</v>
      </c>
      <c r="S50" s="176">
        <f>SUM(S9:S48)</f>
        <v>1160944.21</v>
      </c>
      <c r="T50" s="176">
        <f>SUM(T9:T48)</f>
        <v>862511.11</v>
      </c>
      <c r="U50" s="176">
        <f>SUM(U9:U48)</f>
        <v>369048.32999999996</v>
      </c>
      <c r="V50" s="176">
        <f t="shared" ref="V50:AA50" si="3">SUM(V9:V48)</f>
        <v>662765.89999999991</v>
      </c>
      <c r="W50" s="176">
        <f t="shared" si="3"/>
        <v>0</v>
      </c>
      <c r="X50" s="176">
        <f t="shared" si="3"/>
        <v>0</v>
      </c>
      <c r="Y50" s="176">
        <f t="shared" si="3"/>
        <v>0</v>
      </c>
      <c r="Z50" s="176">
        <f t="shared" si="3"/>
        <v>0</v>
      </c>
      <c r="AA50" s="176">
        <f t="shared" si="3"/>
        <v>0</v>
      </c>
    </row>
    <row r="51" spans="1:27" x14ac:dyDescent="0.3">
      <c r="C51" s="46"/>
      <c r="D51" s="46"/>
      <c r="E51" s="46"/>
      <c r="F51" s="68"/>
      <c r="G51" s="44"/>
      <c r="I51" s="68"/>
      <c r="J51" s="68"/>
      <c r="O51" s="68"/>
      <c r="P51" s="44" t="s">
        <v>33</v>
      </c>
      <c r="Q51" s="30"/>
      <c r="Z51" s="30"/>
      <c r="AA51" s="30"/>
    </row>
    <row r="52" spans="1:27" x14ac:dyDescent="0.3">
      <c r="C52" s="46"/>
      <c r="D52" s="46"/>
      <c r="E52" s="46"/>
      <c r="F52" s="44"/>
      <c r="G52" s="44"/>
      <c r="M52" s="68"/>
      <c r="N52" s="68"/>
      <c r="O52" s="68"/>
      <c r="Z52" s="30"/>
      <c r="AA52" s="30"/>
    </row>
    <row r="53" spans="1:27" x14ac:dyDescent="0.3">
      <c r="C53" s="46"/>
      <c r="D53" s="46"/>
      <c r="E53" s="46"/>
      <c r="F53" s="44"/>
      <c r="G53" s="68"/>
      <c r="J53" s="168"/>
      <c r="P53" s="68"/>
      <c r="Q53" s="68"/>
      <c r="Z53" s="30"/>
      <c r="AA53" s="30"/>
    </row>
    <row r="54" spans="1:27" x14ac:dyDescent="0.3">
      <c r="C54" s="46"/>
      <c r="D54" s="46"/>
      <c r="E54" s="46">
        <v>9316541</v>
      </c>
      <c r="F54" s="68"/>
      <c r="G54" s="44"/>
      <c r="P54" s="68"/>
      <c r="Z54" s="30"/>
      <c r="AA54" s="30"/>
    </row>
    <row r="55" spans="1:27" x14ac:dyDescent="0.3">
      <c r="C55" s="46"/>
      <c r="D55" s="46"/>
      <c r="E55" s="46">
        <f>E50-E54</f>
        <v>-150000</v>
      </c>
      <c r="F55" s="44"/>
      <c r="G55" s="44"/>
      <c r="O55" s="68"/>
      <c r="R55" s="68"/>
      <c r="Z55" s="30"/>
      <c r="AA55" s="30"/>
    </row>
    <row r="56" spans="1:27" x14ac:dyDescent="0.3">
      <c r="C56" s="46"/>
      <c r="D56" s="46"/>
      <c r="E56" s="46"/>
      <c r="F56" s="44"/>
      <c r="G56" s="44"/>
      <c r="I56" s="68"/>
      <c r="Z56" s="30"/>
      <c r="AA56" s="30"/>
    </row>
    <row r="57" spans="1:27" x14ac:dyDescent="0.3">
      <c r="C57" s="46"/>
      <c r="D57" s="46"/>
      <c r="E57" s="46"/>
      <c r="F57" s="44"/>
      <c r="G57" s="44"/>
      <c r="Z57" s="30"/>
      <c r="AA57" s="30"/>
    </row>
    <row r="58" spans="1:27" x14ac:dyDescent="0.3">
      <c r="C58" s="46"/>
      <c r="D58" s="46"/>
      <c r="E58" s="46"/>
      <c r="F58" s="44"/>
      <c r="G58" s="44"/>
      <c r="Z58" s="30"/>
      <c r="AA58" s="30"/>
    </row>
    <row r="59" spans="1:27" x14ac:dyDescent="0.3">
      <c r="C59" s="46"/>
      <c r="D59" s="46"/>
      <c r="E59" s="46"/>
      <c r="F59" s="44"/>
      <c r="G59" s="44"/>
      <c r="Z59" s="30"/>
      <c r="AA59" s="30"/>
    </row>
    <row r="60" spans="1:27" x14ac:dyDescent="0.3">
      <c r="C60" s="46"/>
      <c r="D60" s="46"/>
      <c r="E60" s="46"/>
      <c r="F60" s="44"/>
      <c r="G60" s="44"/>
      <c r="Z60" s="30"/>
      <c r="AA60" s="30"/>
    </row>
    <row r="61" spans="1:27" x14ac:dyDescent="0.3">
      <c r="C61" s="46"/>
      <c r="D61" s="46"/>
      <c r="E61" s="46"/>
      <c r="F61" s="44"/>
      <c r="G61" s="44"/>
      <c r="Z61" s="30"/>
      <c r="AA61" s="30"/>
    </row>
    <row r="62" spans="1:27" x14ac:dyDescent="0.3">
      <c r="C62" s="46"/>
      <c r="D62" s="46"/>
      <c r="E62" s="46"/>
      <c r="F62" s="44"/>
      <c r="G62" s="44"/>
    </row>
    <row r="63" spans="1:27" x14ac:dyDescent="0.3">
      <c r="C63" s="46"/>
      <c r="D63" s="46"/>
      <c r="E63" s="46"/>
      <c r="F63" s="44"/>
      <c r="G63" s="44"/>
    </row>
    <row r="64" spans="1:27" x14ac:dyDescent="0.3">
      <c r="C64" s="46"/>
      <c r="D64" s="46"/>
      <c r="E64" s="46"/>
      <c r="F64" s="44"/>
      <c r="G64" s="44"/>
    </row>
    <row r="65" spans="3:7" x14ac:dyDescent="0.3">
      <c r="C65" s="46"/>
      <c r="D65" s="46"/>
      <c r="E65" s="46"/>
      <c r="F65" s="44"/>
      <c r="G65" s="44"/>
    </row>
    <row r="66" spans="3:7" x14ac:dyDescent="0.3">
      <c r="E66" s="46"/>
      <c r="F66" s="46"/>
      <c r="G66" s="46"/>
    </row>
    <row r="67" spans="3:7" x14ac:dyDescent="0.3">
      <c r="E67" s="46"/>
      <c r="F67" s="46"/>
      <c r="G67" s="46"/>
    </row>
    <row r="68" spans="3:7" x14ac:dyDescent="0.3">
      <c r="E68" s="46"/>
      <c r="F68" s="46"/>
      <c r="G68" s="46"/>
    </row>
    <row r="69" spans="3:7" x14ac:dyDescent="0.3">
      <c r="E69" s="46"/>
      <c r="F69" s="46"/>
      <c r="G69" s="46"/>
    </row>
    <row r="70" spans="3:7" x14ac:dyDescent="0.3">
      <c r="E70" s="46"/>
      <c r="F70" s="46"/>
      <c r="G70" s="46"/>
    </row>
    <row r="71" spans="3:7" x14ac:dyDescent="0.3">
      <c r="F71" s="46"/>
      <c r="G71" s="46"/>
    </row>
    <row r="72" spans="3:7" x14ac:dyDescent="0.3">
      <c r="F72" s="46"/>
      <c r="G72" s="46"/>
    </row>
    <row r="73" spans="3:7" x14ac:dyDescent="0.3">
      <c r="F73" s="46"/>
      <c r="G73" s="46"/>
    </row>
  </sheetData>
  <sheetProtection password="E89A" sheet="1" objects="1" scenarios="1"/>
  <autoFilter ref="A8:AO8" xr:uid="{00000000-0009-0000-0000-000001000000}">
    <sortState xmlns:xlrd2="http://schemas.microsoft.com/office/spreadsheetml/2017/richdata2" ref="A9:AO48">
      <sortCondition ref="A8"/>
    </sortState>
  </autoFilter>
  <sortState xmlns:xlrd2="http://schemas.microsoft.com/office/spreadsheetml/2017/richdata2" ref="A9:AA50">
    <sortCondition ref="A9:A50"/>
    <sortCondition ref="C9:C50"/>
  </sortState>
  <mergeCells count="1">
    <mergeCell ref="A7:G7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9"/>
  <dimension ref="A1:U49"/>
  <sheetViews>
    <sheetView workbookViewId="0">
      <pane xSplit="7" ySplit="8" topLeftCell="I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Q10" sqref="Q10"/>
    </sheetView>
  </sheetViews>
  <sheetFormatPr defaultColWidth="9.109375" defaultRowHeight="14.4" x14ac:dyDescent="0.3"/>
  <cols>
    <col min="1" max="1" width="9.109375" style="45"/>
    <col min="2" max="2" width="40.109375" style="45" bestFit="1" customWidth="1"/>
    <col min="3" max="7" width="14.6640625" style="45" customWidth="1"/>
    <col min="8" max="19" width="12.6640625" style="45" customWidth="1"/>
    <col min="20" max="20" width="11.5546875" style="45" customWidth="1"/>
    <col min="21" max="16384" width="9.109375" style="45"/>
  </cols>
  <sheetData>
    <row r="1" spans="1:21" ht="21" x14ac:dyDescent="0.4">
      <c r="A1" s="47" t="s">
        <v>0</v>
      </c>
      <c r="B1" s="53"/>
      <c r="C1" s="48" t="s">
        <v>169</v>
      </c>
      <c r="D1" s="48"/>
      <c r="E1" s="48"/>
      <c r="F1" s="54"/>
      <c r="G1" s="53"/>
      <c r="H1" s="47" t="str">
        <f>$C$1</f>
        <v>Title V - Abstinence Education</v>
      </c>
      <c r="I1" s="53"/>
      <c r="J1" s="53"/>
      <c r="K1" s="53"/>
      <c r="L1" s="53"/>
      <c r="M1" s="53"/>
      <c r="N1" s="53"/>
      <c r="O1" s="47" t="str">
        <f>$C$1</f>
        <v>Title V - Abstinence Education</v>
      </c>
      <c r="P1" s="48"/>
      <c r="Q1" s="53"/>
      <c r="R1" s="53"/>
      <c r="S1" s="53"/>
      <c r="T1" s="53"/>
      <c r="U1" s="53"/>
    </row>
    <row r="2" spans="1:21" ht="21" x14ac:dyDescent="0.4">
      <c r="A2" s="47" t="s">
        <v>171</v>
      </c>
      <c r="B2" s="53"/>
      <c r="C2" s="48" t="s">
        <v>166</v>
      </c>
      <c r="D2" s="48"/>
      <c r="E2" s="48"/>
      <c r="F2" s="54"/>
      <c r="G2" s="53"/>
      <c r="H2" s="135" t="str">
        <f>"FY"&amp;$C$4</f>
        <v>FY2018-19</v>
      </c>
      <c r="I2" s="53"/>
      <c r="J2" s="53"/>
      <c r="K2" s="53"/>
      <c r="L2" s="53"/>
      <c r="M2" s="53"/>
      <c r="N2" s="53"/>
      <c r="O2" s="136" t="str">
        <f>"FY"&amp;$C$4</f>
        <v>FY2018-19</v>
      </c>
      <c r="P2" s="48"/>
      <c r="Q2" s="53"/>
      <c r="R2" s="53"/>
      <c r="S2" s="53"/>
      <c r="T2" s="53"/>
      <c r="U2" s="53"/>
    </row>
    <row r="3" spans="1:21" ht="15.6" x14ac:dyDescent="0.3">
      <c r="A3" s="50" t="s">
        <v>1</v>
      </c>
      <c r="B3" s="53"/>
      <c r="C3" s="51">
        <v>7235</v>
      </c>
      <c r="D3" s="51"/>
      <c r="E3" s="51"/>
      <c r="F3" s="54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5.6" x14ac:dyDescent="0.3">
      <c r="A4" s="50" t="s">
        <v>2</v>
      </c>
      <c r="B4" s="53"/>
      <c r="C4" s="51" t="s">
        <v>188</v>
      </c>
      <c r="D4" s="51"/>
      <c r="E4" s="51"/>
      <c r="F4" s="50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15.6" x14ac:dyDescent="0.3">
      <c r="A5" s="50" t="s">
        <v>18</v>
      </c>
      <c r="B5" s="53"/>
      <c r="C5" s="63" t="s">
        <v>508</v>
      </c>
      <c r="D5" s="50"/>
      <c r="E5" s="50"/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5.6" x14ac:dyDescent="0.3">
      <c r="A6" s="50" t="s">
        <v>19</v>
      </c>
      <c r="B6" s="53"/>
      <c r="C6" s="67" t="s">
        <v>509</v>
      </c>
      <c r="D6" s="50"/>
      <c r="E6" s="50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6.2" thickBot="1" x14ac:dyDescent="0.35">
      <c r="A7" s="50"/>
      <c r="B7" s="53"/>
      <c r="C7" s="50"/>
      <c r="D7" s="50"/>
      <c r="E7" s="50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29.4" thickBot="1" x14ac:dyDescent="0.35">
      <c r="A8" s="55" t="s">
        <v>161</v>
      </c>
      <c r="B8" s="57" t="s">
        <v>155</v>
      </c>
      <c r="C8" s="55" t="s">
        <v>15</v>
      </c>
      <c r="D8" s="55" t="s">
        <v>124</v>
      </c>
      <c r="E8" s="55" t="s">
        <v>163</v>
      </c>
      <c r="F8" s="55" t="s">
        <v>16</v>
      </c>
      <c r="G8" s="25" t="s">
        <v>17</v>
      </c>
      <c r="H8" s="27" t="s">
        <v>141</v>
      </c>
      <c r="I8" s="27" t="s">
        <v>142</v>
      </c>
      <c r="J8" s="27" t="s">
        <v>152</v>
      </c>
      <c r="K8" s="27" t="s">
        <v>143</v>
      </c>
      <c r="L8" s="27" t="s">
        <v>144</v>
      </c>
      <c r="M8" s="27" t="s">
        <v>145</v>
      </c>
      <c r="N8" s="27" t="s">
        <v>146</v>
      </c>
      <c r="O8" s="27" t="s">
        <v>147</v>
      </c>
      <c r="P8" s="27" t="s">
        <v>148</v>
      </c>
      <c r="Q8" s="27" t="s">
        <v>149</v>
      </c>
      <c r="R8" s="27" t="s">
        <v>150</v>
      </c>
      <c r="S8" s="27" t="s">
        <v>151</v>
      </c>
      <c r="T8" s="27" t="s">
        <v>483</v>
      </c>
      <c r="U8" s="27" t="s">
        <v>484</v>
      </c>
    </row>
    <row r="9" spans="1:21" ht="15" thickBot="1" x14ac:dyDescent="0.35">
      <c r="A9" s="105" t="s">
        <v>469</v>
      </c>
      <c r="B9" s="105" t="s">
        <v>470</v>
      </c>
      <c r="C9" s="156">
        <v>95300</v>
      </c>
      <c r="D9" s="156"/>
      <c r="E9" s="156">
        <f t="shared" ref="E9:E12" si="0">C9+D9</f>
        <v>95300</v>
      </c>
      <c r="F9" s="156">
        <f>SUM(H9:S9)</f>
        <v>70962</v>
      </c>
      <c r="G9" s="156">
        <f>(E9-F9)-T9-U9</f>
        <v>24338</v>
      </c>
      <c r="H9" s="175"/>
      <c r="I9" s="175"/>
      <c r="J9" s="175">
        <v>7631</v>
      </c>
      <c r="K9" s="172">
        <v>6715</v>
      </c>
      <c r="L9" s="172">
        <v>5989</v>
      </c>
      <c r="M9" s="172"/>
      <c r="N9" s="172">
        <v>18478</v>
      </c>
      <c r="O9" s="172">
        <v>6494</v>
      </c>
      <c r="P9" s="172">
        <v>6116</v>
      </c>
      <c r="Q9" s="172"/>
      <c r="R9" s="172">
        <v>19539</v>
      </c>
      <c r="S9" s="172"/>
      <c r="T9" s="209"/>
      <c r="U9" s="209"/>
    </row>
    <row r="10" spans="1:21" ht="15" thickBot="1" x14ac:dyDescent="0.35">
      <c r="A10" s="105" t="s">
        <v>115</v>
      </c>
      <c r="B10" s="105" t="s">
        <v>118</v>
      </c>
      <c r="C10" s="156">
        <v>95300</v>
      </c>
      <c r="D10" s="156"/>
      <c r="E10" s="156">
        <f t="shared" si="0"/>
        <v>95300</v>
      </c>
      <c r="F10" s="156">
        <f t="shared" ref="F10:F15" si="1">SUM(H10:S10)</f>
        <v>79420</v>
      </c>
      <c r="G10" s="156">
        <f t="shared" ref="G10:G15" si="2">(E10-F10)-T10-U10</f>
        <v>15880</v>
      </c>
      <c r="H10" s="175"/>
      <c r="I10" s="175">
        <f>7942+7942-7942</f>
        <v>7942</v>
      </c>
      <c r="J10" s="175">
        <v>7942</v>
      </c>
      <c r="K10" s="174">
        <v>7942</v>
      </c>
      <c r="L10" s="175">
        <v>7942</v>
      </c>
      <c r="M10" s="175">
        <v>7942</v>
      </c>
      <c r="N10" s="175">
        <v>7942</v>
      </c>
      <c r="O10" s="175">
        <v>7942</v>
      </c>
      <c r="P10" s="175">
        <v>7942</v>
      </c>
      <c r="Q10" s="175"/>
      <c r="R10" s="175">
        <v>7942</v>
      </c>
      <c r="S10" s="175">
        <v>7942</v>
      </c>
      <c r="T10" s="209"/>
      <c r="U10" s="209"/>
    </row>
    <row r="11" spans="1:21" ht="15" thickBot="1" x14ac:dyDescent="0.35">
      <c r="A11" s="105" t="s">
        <v>116</v>
      </c>
      <c r="B11" s="105" t="s">
        <v>481</v>
      </c>
      <c r="C11" s="156">
        <v>95300</v>
      </c>
      <c r="D11" s="156"/>
      <c r="E11" s="156">
        <f t="shared" si="0"/>
        <v>95300</v>
      </c>
      <c r="F11" s="156">
        <f t="shared" si="1"/>
        <v>75999</v>
      </c>
      <c r="G11" s="156">
        <f t="shared" si="2"/>
        <v>19301</v>
      </c>
      <c r="H11" s="175"/>
      <c r="I11" s="175">
        <v>10928</v>
      </c>
      <c r="J11" s="175">
        <v>6700</v>
      </c>
      <c r="K11" s="175">
        <v>6438</v>
      </c>
      <c r="L11" s="175">
        <v>7713</v>
      </c>
      <c r="M11" s="175">
        <v>7612</v>
      </c>
      <c r="N11" s="175">
        <v>7773</v>
      </c>
      <c r="O11" s="175">
        <v>8097</v>
      </c>
      <c r="P11" s="175">
        <v>6763</v>
      </c>
      <c r="Q11" s="175">
        <v>11346</v>
      </c>
      <c r="R11" s="175">
        <v>2629</v>
      </c>
      <c r="S11" s="175"/>
      <c r="T11" s="209"/>
      <c r="U11" s="209"/>
    </row>
    <row r="12" spans="1:21" ht="15" thickBot="1" x14ac:dyDescent="0.35">
      <c r="A12" s="105" t="s">
        <v>117</v>
      </c>
      <c r="B12" s="105" t="s">
        <v>482</v>
      </c>
      <c r="C12" s="156">
        <v>95300</v>
      </c>
      <c r="D12" s="156"/>
      <c r="E12" s="156">
        <f t="shared" si="0"/>
        <v>95300</v>
      </c>
      <c r="F12" s="156">
        <f t="shared" si="1"/>
        <v>65340.93</v>
      </c>
      <c r="G12" s="156">
        <f t="shared" si="2"/>
        <v>29959.07</v>
      </c>
      <c r="H12" s="175"/>
      <c r="I12" s="175">
        <v>2659</v>
      </c>
      <c r="J12" s="175">
        <v>3214</v>
      </c>
      <c r="K12" s="172">
        <v>2392</v>
      </c>
      <c r="L12" s="172">
        <v>14964</v>
      </c>
      <c r="M12" s="172">
        <v>3544</v>
      </c>
      <c r="N12" s="172">
        <v>3801</v>
      </c>
      <c r="O12" s="172">
        <v>4965</v>
      </c>
      <c r="P12" s="172">
        <v>15146</v>
      </c>
      <c r="Q12" s="172">
        <v>5742.47</v>
      </c>
      <c r="R12" s="172">
        <v>6470.51</v>
      </c>
      <c r="S12" s="172">
        <v>2442.9499999999998</v>
      </c>
      <c r="T12" s="209"/>
      <c r="U12" s="209"/>
    </row>
    <row r="13" spans="1:21" ht="15" thickBot="1" x14ac:dyDescent="0.35">
      <c r="A13" s="105" t="s">
        <v>114</v>
      </c>
      <c r="B13" s="105" t="s">
        <v>417</v>
      </c>
      <c r="C13" s="156">
        <v>16500</v>
      </c>
      <c r="D13" s="156"/>
      <c r="E13" s="156">
        <v>16500</v>
      </c>
      <c r="F13" s="156">
        <f t="shared" si="1"/>
        <v>15000</v>
      </c>
      <c r="G13" s="156">
        <f t="shared" si="2"/>
        <v>1500</v>
      </c>
      <c r="H13" s="175"/>
      <c r="I13" s="175"/>
      <c r="J13" s="175"/>
      <c r="K13" s="172"/>
      <c r="L13" s="172"/>
      <c r="M13" s="172"/>
      <c r="N13" s="172"/>
      <c r="O13" s="172"/>
      <c r="P13" s="172"/>
      <c r="Q13" s="172"/>
      <c r="R13" s="172">
        <v>15000</v>
      </c>
      <c r="S13" s="172"/>
      <c r="T13" s="209"/>
      <c r="U13" s="209"/>
    </row>
    <row r="14" spans="1:21" ht="15" thickBot="1" x14ac:dyDescent="0.35">
      <c r="A14" s="105" t="s">
        <v>418</v>
      </c>
      <c r="B14" s="105" t="s">
        <v>419</v>
      </c>
      <c r="C14" s="156">
        <v>65500</v>
      </c>
      <c r="D14" s="156"/>
      <c r="E14" s="156">
        <v>65500</v>
      </c>
      <c r="F14" s="156">
        <f t="shared" si="1"/>
        <v>51064.71</v>
      </c>
      <c r="G14" s="156">
        <f t="shared" si="2"/>
        <v>14435.29</v>
      </c>
      <c r="H14" s="175"/>
      <c r="I14" s="175"/>
      <c r="J14" s="175"/>
      <c r="K14" s="172">
        <v>6473</v>
      </c>
      <c r="L14" s="172">
        <v>3641</v>
      </c>
      <c r="M14" s="172">
        <v>14783</v>
      </c>
      <c r="N14" s="172">
        <v>4832</v>
      </c>
      <c r="O14" s="172">
        <v>7799</v>
      </c>
      <c r="P14" s="172">
        <v>3513</v>
      </c>
      <c r="Q14" s="172">
        <v>2674.79</v>
      </c>
      <c r="R14" s="172">
        <v>111.61</v>
      </c>
      <c r="S14" s="172">
        <v>7237.31</v>
      </c>
      <c r="T14" s="209"/>
      <c r="U14" s="209"/>
    </row>
    <row r="15" spans="1:21" ht="15" thickBot="1" x14ac:dyDescent="0.35">
      <c r="A15" s="105" t="s">
        <v>416</v>
      </c>
      <c r="B15" s="105" t="s">
        <v>420</v>
      </c>
      <c r="C15" s="156">
        <v>95300</v>
      </c>
      <c r="D15" s="156"/>
      <c r="E15" s="156">
        <v>95300</v>
      </c>
      <c r="F15" s="156">
        <f t="shared" si="1"/>
        <v>61009.74</v>
      </c>
      <c r="G15" s="156">
        <f t="shared" si="2"/>
        <v>34290.26</v>
      </c>
      <c r="H15" s="175"/>
      <c r="I15" s="175"/>
      <c r="J15" s="175">
        <v>2786</v>
      </c>
      <c r="K15" s="172">
        <v>8531</v>
      </c>
      <c r="L15" s="172">
        <v>8261</v>
      </c>
      <c r="M15" s="172">
        <v>7332</v>
      </c>
      <c r="N15" s="172">
        <v>13064</v>
      </c>
      <c r="O15" s="172">
        <v>6453</v>
      </c>
      <c r="P15" s="172">
        <v>5705</v>
      </c>
      <c r="Q15" s="172">
        <v>5899.36</v>
      </c>
      <c r="R15" s="172">
        <v>2978.38</v>
      </c>
      <c r="S15" s="172"/>
      <c r="T15" s="209"/>
      <c r="U15" s="209"/>
    </row>
    <row r="16" spans="1:21" ht="15" thickBot="1" x14ac:dyDescent="0.35">
      <c r="A16" s="105"/>
      <c r="B16" s="105"/>
      <c r="C16" s="156"/>
      <c r="D16" s="156"/>
      <c r="E16" s="156"/>
      <c r="F16" s="156"/>
      <c r="G16" s="156"/>
      <c r="H16" s="175"/>
      <c r="I16" s="175"/>
      <c r="J16" s="175"/>
      <c r="K16" s="172"/>
      <c r="L16" s="172"/>
      <c r="M16" s="172"/>
      <c r="N16" s="172"/>
      <c r="O16" s="172"/>
      <c r="P16" s="172"/>
      <c r="Q16" s="172"/>
      <c r="R16" s="172"/>
      <c r="S16" s="172"/>
      <c r="T16" s="209"/>
      <c r="U16" s="209"/>
    </row>
    <row r="17" spans="1:21" s="24" customFormat="1" ht="15" thickBot="1" x14ac:dyDescent="0.35">
      <c r="A17" s="41" t="s">
        <v>48</v>
      </c>
      <c r="B17" s="58"/>
      <c r="C17" s="208">
        <f>SUM(C9:C12)</f>
        <v>381200</v>
      </c>
      <c r="D17" s="208">
        <v>0</v>
      </c>
      <c r="E17" s="208">
        <f>SUM(E9:E16)</f>
        <v>558500</v>
      </c>
      <c r="F17" s="208">
        <f t="shared" ref="F17:G17" si="3">SUM(F9:F16)</f>
        <v>418796.38</v>
      </c>
      <c r="G17" s="208">
        <f t="shared" si="3"/>
        <v>139703.62000000002</v>
      </c>
      <c r="H17" s="208"/>
      <c r="I17" s="208">
        <f>SUM(I9:I16)</f>
        <v>21529</v>
      </c>
      <c r="J17" s="208">
        <f t="shared" ref="J17:S17" si="4">SUM(J9:J16)</f>
        <v>28273</v>
      </c>
      <c r="K17" s="208">
        <f t="shared" si="4"/>
        <v>38491</v>
      </c>
      <c r="L17" s="208">
        <f t="shared" si="4"/>
        <v>48510</v>
      </c>
      <c r="M17" s="208">
        <f t="shared" si="4"/>
        <v>41213</v>
      </c>
      <c r="N17" s="208">
        <f t="shared" si="4"/>
        <v>55890</v>
      </c>
      <c r="O17" s="208">
        <f t="shared" si="4"/>
        <v>41750</v>
      </c>
      <c r="P17" s="208">
        <f t="shared" si="4"/>
        <v>45185</v>
      </c>
      <c r="Q17" s="208">
        <f t="shared" si="4"/>
        <v>25662.620000000003</v>
      </c>
      <c r="R17" s="208">
        <f t="shared" si="4"/>
        <v>54670.5</v>
      </c>
      <c r="S17" s="208">
        <f t="shared" si="4"/>
        <v>17622.260000000002</v>
      </c>
      <c r="T17" s="208">
        <f t="shared" ref="T17:U17" si="5">SUM(T9:T12)</f>
        <v>0</v>
      </c>
      <c r="U17" s="208">
        <f t="shared" si="5"/>
        <v>0</v>
      </c>
    </row>
    <row r="18" spans="1:21" x14ac:dyDescent="0.3">
      <c r="C18" s="46"/>
      <c r="D18" s="46"/>
      <c r="E18" s="46"/>
      <c r="H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21" x14ac:dyDescent="0.3">
      <c r="C19" s="46"/>
      <c r="D19" s="46"/>
      <c r="E19" s="46"/>
      <c r="G19" s="198"/>
      <c r="H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21" x14ac:dyDescent="0.3">
      <c r="C20" s="46"/>
      <c r="D20" s="46"/>
      <c r="E20" s="46"/>
      <c r="H20" s="46"/>
      <c r="J20" s="174"/>
      <c r="K20" s="46"/>
      <c r="L20" s="46"/>
      <c r="M20" s="46"/>
      <c r="N20" s="46"/>
      <c r="O20" s="46"/>
      <c r="P20" s="46"/>
      <c r="Q20" s="46"/>
      <c r="R20" s="46"/>
      <c r="S20" s="46"/>
    </row>
    <row r="21" spans="1:21" x14ac:dyDescent="0.3">
      <c r="C21" s="46"/>
      <c r="D21" s="46"/>
      <c r="E21" s="46"/>
      <c r="H21" s="46"/>
      <c r="J21" s="174"/>
      <c r="K21" s="46"/>
      <c r="L21" s="46"/>
      <c r="M21" s="46"/>
      <c r="N21" s="46"/>
      <c r="O21" s="46"/>
      <c r="P21" s="46"/>
      <c r="Q21" s="46"/>
      <c r="R21" s="46"/>
      <c r="S21" s="46"/>
    </row>
    <row r="22" spans="1:21" x14ac:dyDescent="0.3">
      <c r="C22" s="46"/>
      <c r="D22" s="46"/>
      <c r="E22" s="46"/>
      <c r="H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21" x14ac:dyDescent="0.3">
      <c r="C23" s="46"/>
      <c r="D23" s="46"/>
      <c r="E23" s="46"/>
      <c r="H23" s="46"/>
      <c r="J23" s="174"/>
      <c r="K23" s="46"/>
      <c r="L23" s="46"/>
      <c r="M23" s="46"/>
      <c r="N23" s="46"/>
      <c r="O23" s="46"/>
      <c r="P23" s="46"/>
      <c r="Q23" s="46"/>
      <c r="R23" s="46"/>
      <c r="S23" s="46"/>
    </row>
    <row r="24" spans="1:21" x14ac:dyDescent="0.3">
      <c r="C24" s="46"/>
      <c r="D24" s="46"/>
      <c r="E24" s="46"/>
      <c r="H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21" x14ac:dyDescent="0.3">
      <c r="C25" s="46"/>
      <c r="D25" s="46"/>
      <c r="E25" s="46"/>
      <c r="H25" s="46"/>
      <c r="J25" s="174"/>
      <c r="K25" s="46"/>
      <c r="L25" s="46"/>
      <c r="M25" s="46"/>
      <c r="N25" s="46"/>
      <c r="O25" s="46"/>
      <c r="P25" s="46"/>
      <c r="Q25" s="46"/>
      <c r="R25" s="46"/>
      <c r="S25" s="46"/>
    </row>
    <row r="26" spans="1:21" x14ac:dyDescent="0.3">
      <c r="C26" s="46"/>
      <c r="D26" s="46"/>
      <c r="E26" s="46"/>
      <c r="H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21" x14ac:dyDescent="0.3">
      <c r="C27" s="46"/>
      <c r="D27" s="46"/>
      <c r="E27" s="46"/>
      <c r="H27" s="46"/>
      <c r="J27" s="174"/>
      <c r="K27" s="46"/>
      <c r="L27" s="46"/>
      <c r="M27" s="46"/>
      <c r="N27" s="46"/>
      <c r="O27" s="46"/>
      <c r="P27" s="46"/>
      <c r="Q27" s="46"/>
      <c r="R27" s="46"/>
      <c r="S27" s="46"/>
    </row>
    <row r="28" spans="1:21" x14ac:dyDescent="0.3">
      <c r="C28" s="46"/>
      <c r="D28" s="46"/>
      <c r="E28" s="46"/>
      <c r="H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21" x14ac:dyDescent="0.3">
      <c r="C29" s="46"/>
      <c r="D29" s="46"/>
      <c r="E29" s="46"/>
      <c r="H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21" x14ac:dyDescent="0.3">
      <c r="C30" s="46"/>
      <c r="D30" s="46"/>
      <c r="E30" s="46"/>
      <c r="H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21" x14ac:dyDescent="0.3">
      <c r="C31" s="46"/>
      <c r="D31" s="46"/>
      <c r="E31" s="46"/>
      <c r="H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21" x14ac:dyDescent="0.3">
      <c r="H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8:19" x14ac:dyDescent="0.3">
      <c r="H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8:19" x14ac:dyDescent="0.3">
      <c r="H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8:19" x14ac:dyDescent="0.3">
      <c r="H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8:19" x14ac:dyDescent="0.3">
      <c r="H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8:19" x14ac:dyDescent="0.3">
      <c r="H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8:19" x14ac:dyDescent="0.3">
      <c r="H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8:19" x14ac:dyDescent="0.3">
      <c r="H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8:19" x14ac:dyDescent="0.3">
      <c r="H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8:19" x14ac:dyDescent="0.3">
      <c r="H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8:19" x14ac:dyDescent="0.3">
      <c r="H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8:19" x14ac:dyDescent="0.3">
      <c r="H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8:19" x14ac:dyDescent="0.3">
      <c r="H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8:19" x14ac:dyDescent="0.3">
      <c r="H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8:19" x14ac:dyDescent="0.3">
      <c r="H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8:19" x14ac:dyDescent="0.3">
      <c r="H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8:19" x14ac:dyDescent="0.3">
      <c r="H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8:19" x14ac:dyDescent="0.3">
      <c r="H49" s="46"/>
      <c r="K49" s="46"/>
      <c r="L49" s="46"/>
      <c r="M49" s="46"/>
      <c r="N49" s="46"/>
      <c r="O49" s="46"/>
      <c r="P49" s="46"/>
      <c r="Q49" s="46"/>
      <c r="R49" s="46"/>
      <c r="S49" s="46"/>
    </row>
  </sheetData>
  <sheetProtection algorithmName="SHA-512" hashValue="x4a4xVZKske6fNBthHQDhsXpCC+Kp6EdEctAxuMMSnSX0687IYk0hnN26POcDUTzleVFvd94GRPrKxGBCzwXrA==" saltValue="5wiYfT7YGkDtj0OzaiatbA==" spinCount="100000" sheet="1" objects="1" scenarios="1"/>
  <sortState xmlns:xlrd2="http://schemas.microsoft.com/office/spreadsheetml/2017/richdata2" ref="A9:G14">
    <sortCondition ref="A9"/>
  </sortState>
  <dataValidations count="1">
    <dataValidation type="list" allowBlank="1" showInputMessage="1" showErrorMessage="1" sqref="A16" xr:uid="{00000000-0002-0000-0200-000000000000}">
      <formula1>INDIRECT($A16)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2"/>
  </sheetPr>
  <dimension ref="A1:AJ140"/>
  <sheetViews>
    <sheetView zoomScale="92" zoomScaleNormal="92" workbookViewId="0">
      <pane xSplit="7" ySplit="8" topLeftCell="Q11" activePane="bottomRight" state="frozen"/>
      <selection activeCell="A8" sqref="A8:XFD8"/>
      <selection pane="topRight" activeCell="A8" sqref="A8:XFD8"/>
      <selection pane="bottomLeft" activeCell="A8" sqref="A8:XFD8"/>
      <selection pane="bottomRight" activeCell="C5" sqref="C5:C6"/>
    </sheetView>
  </sheetViews>
  <sheetFormatPr defaultColWidth="9.109375" defaultRowHeight="14.4" x14ac:dyDescent="0.3"/>
  <cols>
    <col min="1" max="1" width="19.33203125" style="2" customWidth="1"/>
    <col min="2" max="2" width="43.44140625" style="186" customWidth="1"/>
    <col min="3" max="5" width="17.5546875" style="45" customWidth="1"/>
    <col min="6" max="6" width="16.88671875" style="45" customWidth="1"/>
    <col min="7" max="7" width="28.44140625" style="45" customWidth="1"/>
    <col min="8" max="34" width="15.6640625" style="4" customWidth="1"/>
    <col min="35" max="36" width="21.33203125" style="44" customWidth="1"/>
    <col min="37" max="16384" width="9.109375" style="45"/>
  </cols>
  <sheetData>
    <row r="1" spans="1:36" ht="21" x14ac:dyDescent="0.4">
      <c r="A1" s="47" t="s">
        <v>0</v>
      </c>
      <c r="B1" s="82"/>
      <c r="C1" s="48" t="s">
        <v>20</v>
      </c>
      <c r="D1" s="48"/>
      <c r="E1" s="48"/>
      <c r="F1" s="47"/>
      <c r="G1" s="49"/>
      <c r="H1" s="54"/>
      <c r="I1" s="54"/>
      <c r="J1" s="48"/>
      <c r="K1" s="48"/>
      <c r="L1" s="48"/>
      <c r="M1" s="47"/>
      <c r="N1" s="47" t="str">
        <f>$C$1</f>
        <v xml:space="preserve">Adult Education </v>
      </c>
      <c r="O1" s="49"/>
      <c r="P1" s="49"/>
      <c r="Q1" s="54"/>
      <c r="R1" s="54"/>
      <c r="S1" s="48"/>
      <c r="T1" s="47" t="str">
        <f>$C$1</f>
        <v xml:space="preserve">Adult Education </v>
      </c>
      <c r="U1" s="47"/>
      <c r="V1" s="47"/>
      <c r="W1" s="48"/>
      <c r="X1" s="48"/>
      <c r="Y1" s="47"/>
      <c r="Z1" s="47"/>
      <c r="AA1" s="47" t="str">
        <f>$C$1</f>
        <v xml:space="preserve">Adult Education </v>
      </c>
      <c r="AB1" s="49"/>
      <c r="AC1" s="54"/>
      <c r="AD1" s="54"/>
      <c r="AE1" s="48"/>
      <c r="AF1" s="48"/>
      <c r="AG1" s="47" t="str">
        <f>$C$1</f>
        <v xml:space="preserve">Adult Education </v>
      </c>
      <c r="AH1" s="47"/>
      <c r="AI1" s="47"/>
      <c r="AJ1" s="47"/>
    </row>
    <row r="2" spans="1:36" s="3" customFormat="1" ht="21" x14ac:dyDescent="0.4">
      <c r="A2" s="47" t="s">
        <v>171</v>
      </c>
      <c r="B2" s="184"/>
      <c r="C2" s="47" t="s">
        <v>174</v>
      </c>
      <c r="D2" s="47"/>
      <c r="E2" s="47"/>
      <c r="F2" s="47"/>
      <c r="G2" s="132"/>
      <c r="H2" s="132"/>
      <c r="I2" s="132"/>
      <c r="J2" s="132"/>
      <c r="K2" s="132"/>
      <c r="L2" s="132"/>
      <c r="M2" s="15"/>
      <c r="N2" s="134" t="str">
        <f>"FY"&amp;$C$4</f>
        <v>FY2018-19</v>
      </c>
      <c r="O2" s="15"/>
      <c r="P2" s="15"/>
      <c r="Q2" s="15"/>
      <c r="R2" s="15"/>
      <c r="S2" s="15"/>
      <c r="T2" s="134" t="str">
        <f>"FY"&amp;$C$4</f>
        <v>FY2018-19</v>
      </c>
      <c r="U2" s="15"/>
      <c r="V2" s="15"/>
      <c r="W2" s="132"/>
      <c r="X2" s="132"/>
      <c r="Y2" s="15"/>
      <c r="Z2" s="15"/>
      <c r="AA2" s="134" t="str">
        <f>"FY"&amp;$C$4</f>
        <v>FY2018-19</v>
      </c>
      <c r="AB2" s="15"/>
      <c r="AC2" s="15"/>
      <c r="AD2" s="15"/>
      <c r="AE2" s="15"/>
      <c r="AF2" s="15"/>
      <c r="AG2" s="134" t="str">
        <f>"FY"&amp;$C$4</f>
        <v>FY2018-19</v>
      </c>
      <c r="AH2" s="15"/>
      <c r="AI2" s="47"/>
      <c r="AJ2" s="47"/>
    </row>
    <row r="3" spans="1:36" ht="15.6" x14ac:dyDescent="0.3">
      <c r="A3" s="50" t="s">
        <v>1</v>
      </c>
      <c r="B3" s="82"/>
      <c r="C3" s="51">
        <v>5002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 ht="15.6" x14ac:dyDescent="0.3">
      <c r="A4" s="50" t="s">
        <v>2</v>
      </c>
      <c r="B4" s="82"/>
      <c r="C4" s="51" t="s">
        <v>188</v>
      </c>
      <c r="D4" s="51"/>
      <c r="E4" s="51"/>
      <c r="F4" s="50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ht="15.6" x14ac:dyDescent="0.3">
      <c r="A5" s="50" t="s">
        <v>18</v>
      </c>
      <c r="B5" s="82"/>
      <c r="C5" s="63" t="s">
        <v>508</v>
      </c>
      <c r="D5" s="50"/>
      <c r="E5" s="50"/>
      <c r="F5" s="50"/>
      <c r="G5" s="9"/>
      <c r="H5" s="9"/>
      <c r="I5" s="9"/>
      <c r="J5" s="9"/>
      <c r="K5" s="9"/>
      <c r="L5" s="9"/>
      <c r="M5" s="52"/>
      <c r="N5" s="52"/>
      <c r="O5" s="52"/>
      <c r="P5" s="52"/>
      <c r="Q5" s="52"/>
      <c r="R5" s="52"/>
      <c r="S5" s="52"/>
      <c r="T5" s="52"/>
      <c r="U5" s="52"/>
      <c r="V5" s="52"/>
      <c r="W5" s="9"/>
      <c r="X5" s="9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</row>
    <row r="6" spans="1:36" ht="15.6" x14ac:dyDescent="0.3">
      <c r="A6" s="50" t="s">
        <v>19</v>
      </c>
      <c r="B6" s="82"/>
      <c r="C6" s="67" t="s">
        <v>509</v>
      </c>
      <c r="D6" s="50"/>
      <c r="E6" s="50"/>
      <c r="F6" s="50"/>
      <c r="G6" s="9"/>
      <c r="H6" s="9"/>
      <c r="I6" s="9"/>
      <c r="J6" s="9"/>
      <c r="K6" s="9"/>
      <c r="L6" s="9"/>
      <c r="M6" s="52"/>
      <c r="N6" s="52"/>
      <c r="O6" s="52"/>
      <c r="P6" s="52"/>
      <c r="Q6" s="52"/>
      <c r="R6" s="52"/>
      <c r="S6" s="52"/>
      <c r="T6" s="52"/>
      <c r="U6" s="52"/>
      <c r="V6" s="52"/>
      <c r="W6" s="9"/>
      <c r="X6" s="9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21.6" thickBot="1" x14ac:dyDescent="0.45">
      <c r="A7" s="47"/>
      <c r="B7" s="82"/>
      <c r="C7" s="19"/>
      <c r="D7" s="19"/>
      <c r="E7" s="19"/>
      <c r="F7" s="19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s="5" customFormat="1" ht="29.4" thickBot="1" x14ac:dyDescent="0.35">
      <c r="A8" s="187" t="s">
        <v>161</v>
      </c>
      <c r="B8" s="40" t="s">
        <v>155</v>
      </c>
      <c r="C8" s="40" t="s">
        <v>15</v>
      </c>
      <c r="D8" s="188" t="s">
        <v>124</v>
      </c>
      <c r="E8" s="188" t="s">
        <v>163</v>
      </c>
      <c r="F8" s="189" t="s">
        <v>16</v>
      </c>
      <c r="G8" s="190" t="s">
        <v>17</v>
      </c>
      <c r="H8" s="26" t="s">
        <v>67</v>
      </c>
      <c r="I8" s="27" t="s">
        <v>68</v>
      </c>
      <c r="J8" s="26" t="s">
        <v>69</v>
      </c>
      <c r="K8" s="27" t="s">
        <v>141</v>
      </c>
      <c r="L8" s="26" t="s">
        <v>142</v>
      </c>
      <c r="M8" s="27" t="s">
        <v>152</v>
      </c>
      <c r="N8" s="27" t="s">
        <v>143</v>
      </c>
      <c r="O8" s="27" t="s">
        <v>144</v>
      </c>
      <c r="P8" s="27" t="s">
        <v>145</v>
      </c>
      <c r="Q8" s="27" t="s">
        <v>146</v>
      </c>
      <c r="R8" s="27" t="s">
        <v>147</v>
      </c>
      <c r="S8" s="27" t="s">
        <v>148</v>
      </c>
      <c r="T8" s="26" t="s">
        <v>149</v>
      </c>
      <c r="U8" s="27" t="s">
        <v>68</v>
      </c>
      <c r="V8" s="27" t="s">
        <v>69</v>
      </c>
      <c r="W8" s="27" t="s">
        <v>141</v>
      </c>
      <c r="X8" s="26" t="s">
        <v>142</v>
      </c>
      <c r="Y8" s="27" t="s">
        <v>152</v>
      </c>
      <c r="Z8" s="27" t="s">
        <v>143</v>
      </c>
      <c r="AA8" s="27" t="s">
        <v>144</v>
      </c>
      <c r="AB8" s="27" t="s">
        <v>145</v>
      </c>
      <c r="AC8" s="27" t="s">
        <v>146</v>
      </c>
      <c r="AD8" s="27" t="s">
        <v>147</v>
      </c>
      <c r="AE8" s="27" t="s">
        <v>148</v>
      </c>
      <c r="AF8" s="26" t="s">
        <v>149</v>
      </c>
      <c r="AG8" s="27" t="s">
        <v>150</v>
      </c>
      <c r="AH8" s="27" t="s">
        <v>151</v>
      </c>
      <c r="AI8" s="12" t="s">
        <v>183</v>
      </c>
      <c r="AJ8" s="12" t="s">
        <v>184</v>
      </c>
    </row>
    <row r="9" spans="1:36" s="23" customFormat="1" ht="15" thickTop="1" x14ac:dyDescent="0.3">
      <c r="A9" s="193" t="s">
        <v>3</v>
      </c>
      <c r="B9" s="194" t="s">
        <v>84</v>
      </c>
      <c r="C9" s="274">
        <v>624254</v>
      </c>
      <c r="D9" s="275">
        <v>20133</v>
      </c>
      <c r="E9" s="275">
        <f>C9+D9</f>
        <v>644387</v>
      </c>
      <c r="F9" s="276">
        <f>SUM(I9:AH9)</f>
        <v>644387</v>
      </c>
      <c r="G9" s="277">
        <f>E9-F9</f>
        <v>0</v>
      </c>
      <c r="H9" s="278"/>
      <c r="I9" s="278"/>
      <c r="J9" s="278"/>
      <c r="K9" s="278">
        <v>98938</v>
      </c>
      <c r="L9" s="278">
        <v>39030</v>
      </c>
      <c r="M9" s="278">
        <v>95392</v>
      </c>
      <c r="N9" s="278">
        <v>30141</v>
      </c>
      <c r="O9" s="278">
        <v>68439</v>
      </c>
      <c r="P9" s="278">
        <v>60374</v>
      </c>
      <c r="Q9" s="278">
        <v>55660</v>
      </c>
      <c r="R9" s="278">
        <v>47828</v>
      </c>
      <c r="S9" s="278">
        <v>52107</v>
      </c>
      <c r="T9" s="278">
        <v>55302</v>
      </c>
      <c r="U9" s="278">
        <v>30770</v>
      </c>
      <c r="V9" s="278">
        <v>10406</v>
      </c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44"/>
      <c r="AJ9" s="44"/>
    </row>
    <row r="10" spans="1:36" s="23" customFormat="1" x14ac:dyDescent="0.3">
      <c r="A10" s="195" t="s">
        <v>5</v>
      </c>
      <c r="B10" s="196" t="s">
        <v>472</v>
      </c>
      <c r="C10" s="279">
        <v>117278</v>
      </c>
      <c r="D10" s="280">
        <v>0</v>
      </c>
      <c r="E10" s="280">
        <f t="shared" ref="E10:E31" si="0">C10+D10</f>
        <v>117278</v>
      </c>
      <c r="F10" s="281">
        <f t="shared" ref="F10:F31" si="1">SUM(I10:AH10)</f>
        <v>117278</v>
      </c>
      <c r="G10" s="282">
        <f t="shared" ref="G10:G31" si="2">E10-F10</f>
        <v>0</v>
      </c>
      <c r="H10" s="278"/>
      <c r="I10" s="278">
        <v>1544</v>
      </c>
      <c r="J10" s="278"/>
      <c r="K10" s="278">
        <v>5700</v>
      </c>
      <c r="L10" s="278">
        <v>16455</v>
      </c>
      <c r="M10" s="278">
        <v>23699</v>
      </c>
      <c r="N10" s="278">
        <v>6576</v>
      </c>
      <c r="O10" s="278"/>
      <c r="P10" s="278">
        <v>16597</v>
      </c>
      <c r="Q10" s="278"/>
      <c r="R10" s="283">
        <v>25256</v>
      </c>
      <c r="S10" s="278">
        <v>7867</v>
      </c>
      <c r="T10" s="278">
        <v>12400</v>
      </c>
      <c r="U10" s="278"/>
      <c r="V10" s="278">
        <v>1184</v>
      </c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44"/>
      <c r="AJ10" s="44"/>
    </row>
    <row r="11" spans="1:36" s="23" customFormat="1" x14ac:dyDescent="0.3">
      <c r="A11" s="195" t="s">
        <v>78</v>
      </c>
      <c r="B11" s="196" t="s">
        <v>283</v>
      </c>
      <c r="C11" s="279">
        <v>354725</v>
      </c>
      <c r="D11" s="280">
        <v>11730</v>
      </c>
      <c r="E11" s="280">
        <f t="shared" si="0"/>
        <v>366455</v>
      </c>
      <c r="F11" s="281">
        <f t="shared" si="1"/>
        <v>366455</v>
      </c>
      <c r="G11" s="282">
        <f t="shared" si="2"/>
        <v>0</v>
      </c>
      <c r="H11" s="278"/>
      <c r="I11" s="278"/>
      <c r="J11" s="278"/>
      <c r="K11" s="278">
        <v>63781</v>
      </c>
      <c r="L11" s="278">
        <v>28680</v>
      </c>
      <c r="M11" s="278">
        <v>22913</v>
      </c>
      <c r="N11" s="278">
        <v>24170</v>
      </c>
      <c r="O11" s="278">
        <v>26212</v>
      </c>
      <c r="P11" s="278">
        <v>32878</v>
      </c>
      <c r="Q11" s="278">
        <v>35168</v>
      </c>
      <c r="R11" s="284">
        <v>43963</v>
      </c>
      <c r="S11" s="278">
        <v>29361</v>
      </c>
      <c r="T11" s="278"/>
      <c r="U11" s="278"/>
      <c r="V11" s="278">
        <v>59329</v>
      </c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44"/>
      <c r="AJ11" s="44"/>
    </row>
    <row r="12" spans="1:36" s="23" customFormat="1" x14ac:dyDescent="0.3">
      <c r="A12" s="195" t="s">
        <v>29</v>
      </c>
      <c r="B12" s="196" t="s">
        <v>89</v>
      </c>
      <c r="C12" s="279">
        <v>186755</v>
      </c>
      <c r="D12" s="280">
        <v>-8454</v>
      </c>
      <c r="E12" s="280">
        <f t="shared" si="0"/>
        <v>178301</v>
      </c>
      <c r="F12" s="281">
        <f t="shared" si="1"/>
        <v>178301</v>
      </c>
      <c r="G12" s="282">
        <f t="shared" si="2"/>
        <v>0</v>
      </c>
      <c r="H12" s="278"/>
      <c r="I12" s="278"/>
      <c r="J12" s="278"/>
      <c r="K12" s="278">
        <v>27090</v>
      </c>
      <c r="L12" s="278"/>
      <c r="M12" s="278">
        <v>56070</v>
      </c>
      <c r="N12" s="278"/>
      <c r="O12" s="278"/>
      <c r="P12" s="278">
        <v>45848</v>
      </c>
      <c r="Q12" s="278">
        <v>17004</v>
      </c>
      <c r="R12" s="283">
        <v>13980</v>
      </c>
      <c r="S12" s="278">
        <v>18309</v>
      </c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44"/>
      <c r="AJ12" s="44"/>
    </row>
    <row r="13" spans="1:36" s="23" customFormat="1" x14ac:dyDescent="0.3">
      <c r="A13" s="195" t="s">
        <v>79</v>
      </c>
      <c r="B13" s="196" t="s">
        <v>473</v>
      </c>
      <c r="C13" s="279">
        <v>165126</v>
      </c>
      <c r="D13" s="280">
        <v>0</v>
      </c>
      <c r="E13" s="280">
        <f t="shared" si="0"/>
        <v>165126</v>
      </c>
      <c r="F13" s="281">
        <f t="shared" si="1"/>
        <v>165126</v>
      </c>
      <c r="G13" s="282">
        <f t="shared" si="2"/>
        <v>0</v>
      </c>
      <c r="H13" s="278"/>
      <c r="I13" s="278"/>
      <c r="J13" s="278"/>
      <c r="K13" s="278">
        <v>12891</v>
      </c>
      <c r="L13" s="278"/>
      <c r="M13" s="278"/>
      <c r="N13" s="278">
        <v>37640</v>
      </c>
      <c r="O13" s="278"/>
      <c r="P13" s="278"/>
      <c r="Q13" s="278">
        <v>28956</v>
      </c>
      <c r="R13" s="278"/>
      <c r="S13" s="278"/>
      <c r="T13" s="278"/>
      <c r="U13" s="278"/>
      <c r="V13" s="278">
        <v>85639</v>
      </c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76"/>
      <c r="AJ13" s="76"/>
    </row>
    <row r="14" spans="1:36" s="23" customFormat="1" ht="28.8" x14ac:dyDescent="0.3">
      <c r="A14" s="195" t="s">
        <v>6</v>
      </c>
      <c r="B14" s="196" t="s">
        <v>474</v>
      </c>
      <c r="C14" s="279">
        <v>137931</v>
      </c>
      <c r="D14" s="280">
        <v>0</v>
      </c>
      <c r="E14" s="280">
        <f t="shared" si="0"/>
        <v>137931</v>
      </c>
      <c r="F14" s="281">
        <f t="shared" si="1"/>
        <v>137931</v>
      </c>
      <c r="G14" s="282">
        <f t="shared" si="2"/>
        <v>0</v>
      </c>
      <c r="H14" s="278"/>
      <c r="I14" s="278"/>
      <c r="J14" s="278"/>
      <c r="K14" s="278">
        <v>20711</v>
      </c>
      <c r="L14" s="278"/>
      <c r="M14" s="278">
        <v>22585</v>
      </c>
      <c r="N14" s="278"/>
      <c r="O14" s="278"/>
      <c r="P14" s="278">
        <v>76229</v>
      </c>
      <c r="Q14" s="278"/>
      <c r="R14" s="278"/>
      <c r="S14" s="278">
        <v>18406</v>
      </c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</row>
    <row r="15" spans="1:36" s="23" customFormat="1" x14ac:dyDescent="0.3">
      <c r="A15" s="195" t="s">
        <v>30</v>
      </c>
      <c r="B15" s="196" t="s">
        <v>475</v>
      </c>
      <c r="C15" s="279">
        <v>106974</v>
      </c>
      <c r="D15" s="280">
        <v>0</v>
      </c>
      <c r="E15" s="280">
        <f t="shared" si="0"/>
        <v>106974</v>
      </c>
      <c r="F15" s="281">
        <f t="shared" si="1"/>
        <v>106974</v>
      </c>
      <c r="G15" s="282">
        <f t="shared" si="2"/>
        <v>0</v>
      </c>
      <c r="H15" s="278"/>
      <c r="I15" s="278"/>
      <c r="J15" s="278"/>
      <c r="K15" s="278">
        <v>15286</v>
      </c>
      <c r="L15" s="278"/>
      <c r="M15" s="278"/>
      <c r="N15" s="278">
        <v>19998</v>
      </c>
      <c r="O15" s="278"/>
      <c r="P15" s="278"/>
      <c r="Q15" s="278">
        <v>15369</v>
      </c>
      <c r="R15" s="278"/>
      <c r="S15" s="278">
        <v>25996</v>
      </c>
      <c r="T15" s="278"/>
      <c r="U15" s="278"/>
      <c r="V15" s="278">
        <v>30325</v>
      </c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44"/>
      <c r="AJ15" s="44"/>
    </row>
    <row r="16" spans="1:36" s="23" customFormat="1" x14ac:dyDescent="0.3">
      <c r="A16" s="195" t="s">
        <v>31</v>
      </c>
      <c r="B16" s="196" t="s">
        <v>476</v>
      </c>
      <c r="C16" s="279">
        <v>361319</v>
      </c>
      <c r="D16" s="280">
        <v>0</v>
      </c>
      <c r="E16" s="280">
        <f t="shared" si="0"/>
        <v>361319</v>
      </c>
      <c r="F16" s="281">
        <f t="shared" si="1"/>
        <v>361319</v>
      </c>
      <c r="G16" s="282">
        <f t="shared" si="2"/>
        <v>0</v>
      </c>
      <c r="H16" s="278"/>
      <c r="I16" s="278"/>
      <c r="J16" s="278">
        <v>132605</v>
      </c>
      <c r="K16" s="278">
        <f>30792-132605+29733</f>
        <v>-72080</v>
      </c>
      <c r="L16" s="278">
        <v>32345</v>
      </c>
      <c r="M16" s="278">
        <v>33952</v>
      </c>
      <c r="N16" s="278">
        <v>28511</v>
      </c>
      <c r="O16" s="278">
        <v>22770</v>
      </c>
      <c r="P16" s="278">
        <v>28661</v>
      </c>
      <c r="Q16" s="278">
        <v>29743</v>
      </c>
      <c r="R16" s="278">
        <v>31695</v>
      </c>
      <c r="S16" s="278">
        <f>31189</f>
        <v>31189</v>
      </c>
      <c r="T16" s="278">
        <v>31005</v>
      </c>
      <c r="U16" s="278">
        <v>30923</v>
      </c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44"/>
      <c r="AJ16" s="44"/>
    </row>
    <row r="17" spans="1:36" s="23" customFormat="1" x14ac:dyDescent="0.3">
      <c r="A17" s="195" t="s">
        <v>72</v>
      </c>
      <c r="B17" s="196" t="s">
        <v>477</v>
      </c>
      <c r="C17" s="279">
        <v>106974</v>
      </c>
      <c r="D17" s="280">
        <v>0</v>
      </c>
      <c r="E17" s="280">
        <f t="shared" si="0"/>
        <v>106974</v>
      </c>
      <c r="F17" s="281">
        <f t="shared" si="1"/>
        <v>106972.87</v>
      </c>
      <c r="G17" s="282">
        <f t="shared" si="2"/>
        <v>1.1300000000046566</v>
      </c>
      <c r="H17" s="278"/>
      <c r="I17" s="278"/>
      <c r="J17" s="278"/>
      <c r="K17" s="278">
        <v>13441</v>
      </c>
      <c r="L17" s="278">
        <f>7697+13441</f>
        <v>21138</v>
      </c>
      <c r="M17" s="278"/>
      <c r="N17" s="278">
        <v>9084</v>
      </c>
      <c r="O17" s="278">
        <v>7782</v>
      </c>
      <c r="P17" s="278">
        <v>7911</v>
      </c>
      <c r="Q17" s="278">
        <v>8124</v>
      </c>
      <c r="R17" s="278">
        <v>8730</v>
      </c>
      <c r="S17" s="278">
        <v>8730</v>
      </c>
      <c r="T17" s="278">
        <v>22032.87</v>
      </c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44"/>
      <c r="AJ17" s="44"/>
    </row>
    <row r="18" spans="1:36" s="23" customFormat="1" x14ac:dyDescent="0.3">
      <c r="A18" s="195" t="s">
        <v>383</v>
      </c>
      <c r="B18" s="196" t="s">
        <v>384</v>
      </c>
      <c r="C18" s="279">
        <v>106974</v>
      </c>
      <c r="D18" s="280">
        <v>27739</v>
      </c>
      <c r="E18" s="280">
        <f t="shared" si="0"/>
        <v>134713</v>
      </c>
      <c r="F18" s="281">
        <f t="shared" si="1"/>
        <v>54638</v>
      </c>
      <c r="G18" s="282">
        <f t="shared" si="2"/>
        <v>80075</v>
      </c>
      <c r="H18" s="278"/>
      <c r="I18" s="278"/>
      <c r="J18" s="278"/>
      <c r="K18" s="278">
        <v>22984</v>
      </c>
      <c r="L18" s="278"/>
      <c r="M18" s="278"/>
      <c r="N18" s="278">
        <v>14725</v>
      </c>
      <c r="O18" s="278"/>
      <c r="P18" s="278"/>
      <c r="Q18" s="278"/>
      <c r="R18" s="278"/>
      <c r="S18" s="278">
        <v>16929</v>
      </c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76"/>
      <c r="AJ18" s="76"/>
    </row>
    <row r="19" spans="1:36" s="23" customFormat="1" ht="43.2" x14ac:dyDescent="0.3">
      <c r="A19" s="195" t="s">
        <v>156</v>
      </c>
      <c r="B19" s="196" t="s">
        <v>478</v>
      </c>
      <c r="C19" s="279">
        <v>338056</v>
      </c>
      <c r="D19" s="280">
        <v>0</v>
      </c>
      <c r="E19" s="280">
        <f t="shared" si="0"/>
        <v>338056</v>
      </c>
      <c r="F19" s="281">
        <f t="shared" si="1"/>
        <v>316983</v>
      </c>
      <c r="G19" s="282">
        <f t="shared" si="2"/>
        <v>21073</v>
      </c>
      <c r="H19" s="278"/>
      <c r="I19" s="278"/>
      <c r="J19" s="278"/>
      <c r="K19" s="278">
        <v>72524</v>
      </c>
      <c r="L19" s="278"/>
      <c r="M19" s="278"/>
      <c r="N19" s="278">
        <v>70279</v>
      </c>
      <c r="O19" s="278"/>
      <c r="P19" s="278"/>
      <c r="Q19" s="278">
        <v>81918</v>
      </c>
      <c r="R19" s="278"/>
      <c r="S19" s="278"/>
      <c r="T19" s="278"/>
      <c r="U19" s="278">
        <v>92262</v>
      </c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44"/>
      <c r="AJ19" s="44"/>
    </row>
    <row r="20" spans="1:36" s="23" customFormat="1" ht="43.2" x14ac:dyDescent="0.3">
      <c r="A20" s="195" t="s">
        <v>157</v>
      </c>
      <c r="B20" s="196" t="s">
        <v>281</v>
      </c>
      <c r="C20" s="279">
        <v>353188</v>
      </c>
      <c r="D20" s="280">
        <v>0</v>
      </c>
      <c r="E20" s="280">
        <f t="shared" si="0"/>
        <v>353188</v>
      </c>
      <c r="F20" s="281">
        <f t="shared" si="1"/>
        <v>353187.52</v>
      </c>
      <c r="G20" s="282">
        <f t="shared" si="2"/>
        <v>0.47999999998137355</v>
      </c>
      <c r="H20" s="278"/>
      <c r="I20" s="278"/>
      <c r="J20" s="278"/>
      <c r="K20" s="278">
        <v>93413</v>
      </c>
      <c r="L20" s="278"/>
      <c r="M20" s="278"/>
      <c r="N20" s="278">
        <v>101019</v>
      </c>
      <c r="O20" s="278"/>
      <c r="P20" s="278"/>
      <c r="Q20" s="278">
        <v>106680</v>
      </c>
      <c r="R20" s="278"/>
      <c r="S20" s="278"/>
      <c r="T20" s="278"/>
      <c r="U20" s="278"/>
      <c r="V20" s="278">
        <v>52075.519999999997</v>
      </c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44"/>
      <c r="AJ20" s="44"/>
    </row>
    <row r="21" spans="1:36" s="23" customFormat="1" x14ac:dyDescent="0.3">
      <c r="A21" s="195" t="s">
        <v>381</v>
      </c>
      <c r="B21" s="196" t="s">
        <v>382</v>
      </c>
      <c r="C21" s="279">
        <v>100000</v>
      </c>
      <c r="D21" s="280">
        <v>0</v>
      </c>
      <c r="E21" s="280">
        <f t="shared" si="0"/>
        <v>100000</v>
      </c>
      <c r="F21" s="281">
        <f t="shared" si="1"/>
        <v>62840.01</v>
      </c>
      <c r="G21" s="282">
        <f t="shared" si="2"/>
        <v>37159.99</v>
      </c>
      <c r="H21" s="278"/>
      <c r="I21" s="278"/>
      <c r="J21" s="278"/>
      <c r="K21" s="278">
        <v>4503</v>
      </c>
      <c r="L21" s="278">
        <v>5927</v>
      </c>
      <c r="M21" s="278">
        <v>5358</v>
      </c>
      <c r="N21" s="278"/>
      <c r="O21" s="278">
        <v>20841</v>
      </c>
      <c r="P21" s="278"/>
      <c r="Q21" s="278">
        <v>12587</v>
      </c>
      <c r="R21" s="278">
        <v>5331</v>
      </c>
      <c r="S21" s="278">
        <v>7938</v>
      </c>
      <c r="T21" s="278"/>
      <c r="U21" s="278"/>
      <c r="V21" s="278">
        <v>355.01</v>
      </c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44"/>
      <c r="AJ21" s="44"/>
    </row>
    <row r="22" spans="1:36" s="23" customFormat="1" x14ac:dyDescent="0.3">
      <c r="A22" s="195" t="s">
        <v>7</v>
      </c>
      <c r="B22" s="196" t="s">
        <v>8</v>
      </c>
      <c r="C22" s="279">
        <v>150191</v>
      </c>
      <c r="D22" s="280">
        <v>0</v>
      </c>
      <c r="E22" s="280">
        <f t="shared" si="0"/>
        <v>150191</v>
      </c>
      <c r="F22" s="281">
        <f t="shared" si="1"/>
        <v>148529.08000000002</v>
      </c>
      <c r="G22" s="282">
        <f t="shared" si="2"/>
        <v>1661.9199999999837</v>
      </c>
      <c r="H22" s="278"/>
      <c r="I22" s="278"/>
      <c r="J22" s="278"/>
      <c r="K22" s="278">
        <v>13991</v>
      </c>
      <c r="L22" s="278"/>
      <c r="M22" s="278"/>
      <c r="N22" s="278"/>
      <c r="O22" s="278">
        <v>35897</v>
      </c>
      <c r="P22" s="278"/>
      <c r="Q22" s="278">
        <v>32275</v>
      </c>
      <c r="R22" s="278"/>
      <c r="S22" s="278"/>
      <c r="T22" s="278"/>
      <c r="U22" s="278"/>
      <c r="V22" s="278">
        <v>66366.080000000002</v>
      </c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44"/>
      <c r="AJ22" s="44"/>
    </row>
    <row r="23" spans="1:36" s="23" customFormat="1" x14ac:dyDescent="0.3">
      <c r="A23" s="195" t="s">
        <v>73</v>
      </c>
      <c r="B23" s="196" t="s">
        <v>80</v>
      </c>
      <c r="C23" s="279">
        <v>236480</v>
      </c>
      <c r="D23" s="280">
        <v>0</v>
      </c>
      <c r="E23" s="280">
        <f t="shared" si="0"/>
        <v>236480</v>
      </c>
      <c r="F23" s="281">
        <f t="shared" si="1"/>
        <v>236480</v>
      </c>
      <c r="G23" s="282">
        <f t="shared" si="2"/>
        <v>0</v>
      </c>
      <c r="H23" s="278"/>
      <c r="I23" s="278"/>
      <c r="J23" s="278"/>
      <c r="K23" s="278">
        <v>26147</v>
      </c>
      <c r="L23" s="278">
        <v>47514</v>
      </c>
      <c r="M23" s="278">
        <v>41883</v>
      </c>
      <c r="N23" s="278">
        <v>25024</v>
      </c>
      <c r="O23" s="278">
        <v>2431</v>
      </c>
      <c r="P23" s="278">
        <v>22156</v>
      </c>
      <c r="Q23" s="278">
        <v>16928</v>
      </c>
      <c r="R23" s="278">
        <v>13564</v>
      </c>
      <c r="S23" s="278">
        <v>12587</v>
      </c>
      <c r="T23" s="278">
        <v>10565</v>
      </c>
      <c r="U23" s="278"/>
      <c r="V23" s="278">
        <v>17681</v>
      </c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76"/>
      <c r="AJ23" s="76"/>
    </row>
    <row r="24" spans="1:36" s="23" customFormat="1" x14ac:dyDescent="0.3">
      <c r="A24" s="195" t="s">
        <v>9</v>
      </c>
      <c r="B24" s="196" t="s">
        <v>81</v>
      </c>
      <c r="C24" s="279">
        <v>287370</v>
      </c>
      <c r="D24" s="280">
        <v>0</v>
      </c>
      <c r="E24" s="280">
        <f t="shared" si="0"/>
        <v>287370</v>
      </c>
      <c r="F24" s="281">
        <f t="shared" si="1"/>
        <v>219106</v>
      </c>
      <c r="G24" s="282">
        <f t="shared" si="2"/>
        <v>68264</v>
      </c>
      <c r="H24" s="278"/>
      <c r="I24" s="278">
        <v>7188</v>
      </c>
      <c r="J24" s="278">
        <v>1970</v>
      </c>
      <c r="K24" s="278">
        <v>15049</v>
      </c>
      <c r="L24" s="278">
        <f>22141+16685</f>
        <v>38826</v>
      </c>
      <c r="M24" s="278"/>
      <c r="N24" s="278">
        <f>21499+17554</f>
        <v>39053</v>
      </c>
      <c r="O24" s="278"/>
      <c r="P24" s="278">
        <f>23434+21812</f>
        <v>45246</v>
      </c>
      <c r="Q24" s="278"/>
      <c r="R24" s="278">
        <v>21821</v>
      </c>
      <c r="S24" s="278">
        <f>26360+23593</f>
        <v>49953</v>
      </c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76"/>
      <c r="AJ24" s="76"/>
    </row>
    <row r="25" spans="1:36" s="23" customFormat="1" x14ac:dyDescent="0.3">
      <c r="A25" s="195" t="s">
        <v>10</v>
      </c>
      <c r="B25" s="196" t="s">
        <v>479</v>
      </c>
      <c r="C25" s="279">
        <v>614420</v>
      </c>
      <c r="D25" s="280">
        <v>0</v>
      </c>
      <c r="E25" s="280">
        <f t="shared" si="0"/>
        <v>614420</v>
      </c>
      <c r="F25" s="281">
        <f t="shared" si="1"/>
        <v>614420</v>
      </c>
      <c r="G25" s="282">
        <f t="shared" si="2"/>
        <v>0</v>
      </c>
      <c r="H25" s="278"/>
      <c r="I25" s="278">
        <v>60000</v>
      </c>
      <c r="J25" s="278">
        <v>65000</v>
      </c>
      <c r="K25" s="278">
        <f>60000</f>
        <v>60000</v>
      </c>
      <c r="L25" s="278">
        <v>50000</v>
      </c>
      <c r="M25" s="278">
        <v>40000</v>
      </c>
      <c r="N25" s="278">
        <v>44000</v>
      </c>
      <c r="O25" s="278">
        <v>50000</v>
      </c>
      <c r="P25" s="278">
        <v>50000</v>
      </c>
      <c r="Q25" s="278">
        <f>49000</f>
        <v>49000</v>
      </c>
      <c r="R25" s="278">
        <v>48806</v>
      </c>
      <c r="S25" s="278">
        <f>48806+48808</f>
        <v>97614</v>
      </c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44"/>
      <c r="AJ25" s="44"/>
    </row>
    <row r="26" spans="1:36" s="23" customFormat="1" x14ac:dyDescent="0.3">
      <c r="A26" s="195" t="s">
        <v>11</v>
      </c>
      <c r="B26" s="196" t="s">
        <v>12</v>
      </c>
      <c r="C26" s="279">
        <v>135175</v>
      </c>
      <c r="D26" s="280">
        <v>33581</v>
      </c>
      <c r="E26" s="280">
        <f t="shared" si="0"/>
        <v>168756</v>
      </c>
      <c r="F26" s="281">
        <f t="shared" si="1"/>
        <v>74797</v>
      </c>
      <c r="G26" s="282">
        <f t="shared" si="2"/>
        <v>93959</v>
      </c>
      <c r="H26" s="278"/>
      <c r="I26" s="278"/>
      <c r="J26" s="278"/>
      <c r="K26" s="278"/>
      <c r="L26" s="278"/>
      <c r="M26" s="6">
        <f>7531+17662</f>
        <v>25193</v>
      </c>
      <c r="N26" s="278">
        <v>11179</v>
      </c>
      <c r="O26" s="278"/>
      <c r="P26" s="278"/>
      <c r="Q26" s="278">
        <f>15689+8062</f>
        <v>23751</v>
      </c>
      <c r="R26" s="278"/>
      <c r="S26" s="278">
        <v>14674</v>
      </c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44"/>
      <c r="AJ26" s="44"/>
    </row>
    <row r="27" spans="1:36" s="23" customFormat="1" x14ac:dyDescent="0.3">
      <c r="A27" s="195" t="s">
        <v>74</v>
      </c>
      <c r="B27" s="196" t="s">
        <v>480</v>
      </c>
      <c r="C27" s="279">
        <v>106974</v>
      </c>
      <c r="D27" s="280">
        <v>0</v>
      </c>
      <c r="E27" s="280">
        <f t="shared" si="0"/>
        <v>106974</v>
      </c>
      <c r="F27" s="281">
        <f t="shared" si="1"/>
        <v>106974</v>
      </c>
      <c r="G27" s="282">
        <f t="shared" si="2"/>
        <v>0</v>
      </c>
      <c r="H27" s="278"/>
      <c r="I27" s="278"/>
      <c r="J27" s="278"/>
      <c r="K27" s="278">
        <v>15754</v>
      </c>
      <c r="L27" s="278">
        <f>12890</f>
        <v>12890</v>
      </c>
      <c r="M27" s="278"/>
      <c r="N27" s="278">
        <v>8814</v>
      </c>
      <c r="O27" s="278">
        <v>13840</v>
      </c>
      <c r="P27" s="278">
        <f>9350</f>
        <v>9350</v>
      </c>
      <c r="Q27" s="278">
        <f>8618</f>
        <v>8618</v>
      </c>
      <c r="R27" s="278">
        <v>6900</v>
      </c>
      <c r="S27" s="278">
        <f>12641+11905</f>
        <v>24546</v>
      </c>
      <c r="T27" s="278"/>
      <c r="U27" s="278">
        <v>6262</v>
      </c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44"/>
      <c r="AJ27" s="44"/>
    </row>
    <row r="28" spans="1:36" s="23" customFormat="1" x14ac:dyDescent="0.3">
      <c r="A28" s="195" t="s">
        <v>75</v>
      </c>
      <c r="B28" s="196" t="s">
        <v>280</v>
      </c>
      <c r="C28" s="279">
        <v>106974</v>
      </c>
      <c r="D28" s="280">
        <v>0</v>
      </c>
      <c r="E28" s="280">
        <f t="shared" si="0"/>
        <v>106974</v>
      </c>
      <c r="F28" s="281">
        <f>SUM(I28:AH28)</f>
        <v>106974</v>
      </c>
      <c r="G28" s="282">
        <f t="shared" si="2"/>
        <v>0</v>
      </c>
      <c r="H28" s="278"/>
      <c r="I28" s="278">
        <v>8219</v>
      </c>
      <c r="J28" s="278">
        <v>607</v>
      </c>
      <c r="K28" s="278">
        <f>7715+9468</f>
        <v>17183</v>
      </c>
      <c r="L28" s="278">
        <v>11330</v>
      </c>
      <c r="M28" s="278">
        <v>9432</v>
      </c>
      <c r="N28" s="278">
        <v>9514</v>
      </c>
      <c r="O28" s="278">
        <v>8885</v>
      </c>
      <c r="P28" s="278"/>
      <c r="Q28" s="278">
        <v>17904</v>
      </c>
      <c r="R28" s="278"/>
      <c r="S28" s="278">
        <v>15955</v>
      </c>
      <c r="T28" s="278">
        <v>5359</v>
      </c>
      <c r="U28" s="278">
        <v>2586</v>
      </c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44"/>
      <c r="AJ28" s="44"/>
    </row>
    <row r="29" spans="1:36" s="23" customFormat="1" x14ac:dyDescent="0.3">
      <c r="A29" s="195" t="s">
        <v>76</v>
      </c>
      <c r="B29" s="196" t="s">
        <v>82</v>
      </c>
      <c r="C29" s="279">
        <v>258620</v>
      </c>
      <c r="D29" s="280">
        <v>0</v>
      </c>
      <c r="E29" s="280">
        <f t="shared" si="0"/>
        <v>258620</v>
      </c>
      <c r="F29" s="281">
        <f t="shared" si="1"/>
        <v>258620</v>
      </c>
      <c r="G29" s="282">
        <f t="shared" si="2"/>
        <v>0</v>
      </c>
      <c r="H29" s="278"/>
      <c r="I29" s="6"/>
      <c r="J29" s="278"/>
      <c r="K29" s="278">
        <v>67191</v>
      </c>
      <c r="L29" s="278"/>
      <c r="M29" s="278"/>
      <c r="N29" s="278"/>
      <c r="O29" s="278">
        <v>71401</v>
      </c>
      <c r="P29" s="278"/>
      <c r="Q29" s="278"/>
      <c r="R29" s="278">
        <v>64159</v>
      </c>
      <c r="S29" s="278">
        <v>55869</v>
      </c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44"/>
      <c r="AJ29" s="44"/>
    </row>
    <row r="30" spans="1:36" s="23" customFormat="1" x14ac:dyDescent="0.3">
      <c r="A30" s="195" t="s">
        <v>13</v>
      </c>
      <c r="B30" s="196" t="s">
        <v>282</v>
      </c>
      <c r="C30" s="279">
        <v>248183</v>
      </c>
      <c r="D30" s="280">
        <v>0</v>
      </c>
      <c r="E30" s="280">
        <f t="shared" si="0"/>
        <v>248183</v>
      </c>
      <c r="F30" s="281">
        <f t="shared" si="1"/>
        <v>237496</v>
      </c>
      <c r="G30" s="282">
        <f t="shared" si="2"/>
        <v>10687</v>
      </c>
      <c r="H30" s="278"/>
      <c r="I30" s="278">
        <v>37353</v>
      </c>
      <c r="J30" s="278">
        <v>22890</v>
      </c>
      <c r="K30" s="278"/>
      <c r="L30" s="278">
        <f>20682+13481</f>
        <v>34163</v>
      </c>
      <c r="M30" s="278">
        <v>13783</v>
      </c>
      <c r="N30" s="278">
        <v>20419</v>
      </c>
      <c r="O30" s="278">
        <v>14947</v>
      </c>
      <c r="P30" s="278"/>
      <c r="Q30" s="278">
        <f>16419+4784</f>
        <v>21203</v>
      </c>
      <c r="R30" s="278">
        <v>19791</v>
      </c>
      <c r="S30" s="278">
        <v>25432</v>
      </c>
      <c r="T30" s="278">
        <v>27515</v>
      </c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76"/>
      <c r="AJ30" s="76"/>
    </row>
    <row r="31" spans="1:36" s="23" customFormat="1" x14ac:dyDescent="0.3">
      <c r="A31" s="195" t="s">
        <v>77</v>
      </c>
      <c r="B31" s="196" t="s">
        <v>197</v>
      </c>
      <c r="C31" s="279">
        <v>200412</v>
      </c>
      <c r="D31" s="280">
        <v>0</v>
      </c>
      <c r="E31" s="280">
        <f t="shared" si="0"/>
        <v>200412</v>
      </c>
      <c r="F31" s="281">
        <f t="shared" si="1"/>
        <v>200378.25999999998</v>
      </c>
      <c r="G31" s="282">
        <f t="shared" si="2"/>
        <v>33.740000000019791</v>
      </c>
      <c r="H31" s="278"/>
      <c r="I31" s="278"/>
      <c r="J31" s="278"/>
      <c r="K31" s="278">
        <v>34465</v>
      </c>
      <c r="L31" s="278"/>
      <c r="M31" s="278"/>
      <c r="N31" s="278">
        <v>37794</v>
      </c>
      <c r="O31" s="278"/>
      <c r="P31" s="278"/>
      <c r="Q31" s="278">
        <v>40853</v>
      </c>
      <c r="R31" s="278"/>
      <c r="S31" s="278"/>
      <c r="T31" s="278"/>
      <c r="U31" s="278">
        <v>68469.23</v>
      </c>
      <c r="V31" s="278">
        <v>18797.03</v>
      </c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44"/>
      <c r="AJ31" s="44"/>
    </row>
    <row r="32" spans="1:36" s="167" customFormat="1" ht="15" thickBot="1" x14ac:dyDescent="0.35">
      <c r="A32" s="191"/>
      <c r="B32" s="192"/>
      <c r="C32" s="285"/>
      <c r="D32" s="285"/>
      <c r="E32" s="285"/>
      <c r="F32" s="285"/>
      <c r="G32" s="285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</row>
    <row r="33" spans="1:36" s="24" customFormat="1" ht="15" thickBot="1" x14ac:dyDescent="0.35">
      <c r="A33" s="72" t="s">
        <v>48</v>
      </c>
      <c r="B33" s="185"/>
      <c r="C33" s="287">
        <f>SUM(C9:C31)</f>
        <v>5404353</v>
      </c>
      <c r="D33" s="287">
        <v>0</v>
      </c>
      <c r="E33" s="287">
        <f>SUM(E9:E31)</f>
        <v>5489082</v>
      </c>
      <c r="F33" s="287">
        <f>SUM(F9:F31)</f>
        <v>5176166.74</v>
      </c>
      <c r="G33" s="287">
        <f t="shared" ref="G33:AJ33" si="3">SUM(G9:G31)</f>
        <v>312915.26</v>
      </c>
      <c r="H33" s="287">
        <f t="shared" si="3"/>
        <v>0</v>
      </c>
      <c r="I33" s="287">
        <f t="shared" si="3"/>
        <v>114304</v>
      </c>
      <c r="J33" s="287">
        <f t="shared" si="3"/>
        <v>223072</v>
      </c>
      <c r="K33" s="287">
        <f t="shared" si="3"/>
        <v>628962</v>
      </c>
      <c r="L33" s="287">
        <f t="shared" si="3"/>
        <v>338298</v>
      </c>
      <c r="M33" s="287">
        <f t="shared" si="3"/>
        <v>390260</v>
      </c>
      <c r="N33" s="287">
        <f t="shared" si="3"/>
        <v>537940</v>
      </c>
      <c r="O33" s="287">
        <f>SUM(O9:O30)</f>
        <v>343445</v>
      </c>
      <c r="P33" s="287">
        <f t="shared" si="3"/>
        <v>395250</v>
      </c>
      <c r="Q33" s="287">
        <f>SUM(Q9:Q31)</f>
        <v>601741</v>
      </c>
      <c r="R33" s="287">
        <f t="shared" si="3"/>
        <v>351824</v>
      </c>
      <c r="S33" s="287">
        <f t="shared" si="3"/>
        <v>513462</v>
      </c>
      <c r="T33" s="287">
        <f t="shared" si="3"/>
        <v>164178.87</v>
      </c>
      <c r="U33" s="287">
        <f t="shared" si="3"/>
        <v>231272.22999999998</v>
      </c>
      <c r="V33" s="287">
        <f t="shared" si="3"/>
        <v>342157.64</v>
      </c>
      <c r="W33" s="287">
        <f t="shared" si="3"/>
        <v>0</v>
      </c>
      <c r="X33" s="287">
        <f t="shared" si="3"/>
        <v>0</v>
      </c>
      <c r="Y33" s="287">
        <f t="shared" si="3"/>
        <v>0</v>
      </c>
      <c r="Z33" s="287">
        <f t="shared" si="3"/>
        <v>0</v>
      </c>
      <c r="AA33" s="287">
        <f t="shared" si="3"/>
        <v>0</v>
      </c>
      <c r="AB33" s="287">
        <f t="shared" si="3"/>
        <v>0</v>
      </c>
      <c r="AC33" s="287">
        <f t="shared" si="3"/>
        <v>0</v>
      </c>
      <c r="AD33" s="287">
        <f t="shared" si="3"/>
        <v>0</v>
      </c>
      <c r="AE33" s="287">
        <f t="shared" si="3"/>
        <v>0</v>
      </c>
      <c r="AF33" s="287">
        <f t="shared" si="3"/>
        <v>0</v>
      </c>
      <c r="AG33" s="287">
        <f t="shared" si="3"/>
        <v>0</v>
      </c>
      <c r="AH33" s="287">
        <f t="shared" si="3"/>
        <v>0</v>
      </c>
      <c r="AI33" s="73">
        <f t="shared" si="3"/>
        <v>0</v>
      </c>
      <c r="AJ33" s="73">
        <f t="shared" si="3"/>
        <v>0</v>
      </c>
    </row>
    <row r="34" spans="1:36" x14ac:dyDescent="0.3">
      <c r="C34" s="288"/>
      <c r="D34" s="288"/>
      <c r="E34" s="288"/>
      <c r="F34" s="6"/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30"/>
      <c r="AJ34" s="30"/>
    </row>
    <row r="35" spans="1:36" x14ac:dyDescent="0.3">
      <c r="C35" s="288"/>
      <c r="D35" s="288"/>
      <c r="E35" s="288"/>
      <c r="F35" s="6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30"/>
      <c r="AJ35" s="30"/>
    </row>
    <row r="36" spans="1:36" x14ac:dyDescent="0.3">
      <c r="C36" s="288"/>
      <c r="D36" s="288"/>
      <c r="E36" s="288"/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30"/>
      <c r="AJ36" s="30"/>
    </row>
    <row r="37" spans="1:36" x14ac:dyDescent="0.3">
      <c r="C37" s="288"/>
      <c r="D37" s="288"/>
      <c r="E37" s="288"/>
      <c r="F37" s="6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30"/>
      <c r="AJ37" s="30"/>
    </row>
    <row r="38" spans="1:36" x14ac:dyDescent="0.3">
      <c r="C38" s="288"/>
      <c r="D38" s="288"/>
      <c r="E38" s="288"/>
      <c r="F38" s="6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30"/>
      <c r="AJ38" s="30"/>
    </row>
    <row r="39" spans="1:36" x14ac:dyDescent="0.3">
      <c r="C39" s="6"/>
      <c r="D39" s="6"/>
      <c r="E39" s="6"/>
      <c r="F39" s="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30"/>
      <c r="AJ39" s="30"/>
    </row>
    <row r="40" spans="1:36" x14ac:dyDescent="0.3">
      <c r="C40" s="6"/>
      <c r="D40" s="6"/>
      <c r="E40" s="6"/>
      <c r="F40" s="6"/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30"/>
      <c r="AJ40" s="30"/>
    </row>
    <row r="41" spans="1:36" x14ac:dyDescent="0.3">
      <c r="C41" s="6"/>
      <c r="D41" s="6"/>
      <c r="E41" s="6"/>
      <c r="F41" s="6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30"/>
      <c r="AJ41" s="30"/>
    </row>
    <row r="42" spans="1:36" x14ac:dyDescent="0.3">
      <c r="C42" s="6"/>
      <c r="D42" s="6"/>
      <c r="E42" s="6"/>
      <c r="F42" s="6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30"/>
      <c r="AJ42" s="30"/>
    </row>
    <row r="43" spans="1:36" x14ac:dyDescent="0.3">
      <c r="C43" s="6"/>
      <c r="D43" s="6"/>
      <c r="E43" s="6"/>
      <c r="F43" s="6"/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30"/>
      <c r="AJ43" s="30"/>
    </row>
    <row r="44" spans="1:36" x14ac:dyDescent="0.3">
      <c r="C44" s="6"/>
      <c r="D44" s="6"/>
      <c r="E44" s="6"/>
      <c r="F44" s="6"/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30"/>
      <c r="AJ44" s="30"/>
    </row>
    <row r="45" spans="1:36" x14ac:dyDescent="0.3">
      <c r="C45" s="6"/>
      <c r="D45" s="6"/>
      <c r="E45" s="6"/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30"/>
      <c r="AJ45" s="30"/>
    </row>
    <row r="46" spans="1:36" x14ac:dyDescent="0.3">
      <c r="C46" s="6"/>
      <c r="D46" s="6"/>
      <c r="E46" s="6"/>
      <c r="F46" s="6"/>
      <c r="G46" s="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30"/>
      <c r="AJ46" s="30"/>
    </row>
    <row r="47" spans="1:36" x14ac:dyDescent="0.3">
      <c r="C47" s="6"/>
      <c r="D47" s="6"/>
      <c r="E47" s="6"/>
      <c r="F47" s="6"/>
      <c r="G47" s="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6" x14ac:dyDescent="0.3">
      <c r="C48" s="6"/>
      <c r="D48" s="6"/>
      <c r="E48" s="6"/>
      <c r="F48" s="6"/>
      <c r="G48" s="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3:34" x14ac:dyDescent="0.3">
      <c r="C49" s="6"/>
      <c r="D49" s="6"/>
      <c r="E49" s="6"/>
      <c r="F49" s="6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3:34" x14ac:dyDescent="0.3">
      <c r="C50" s="6"/>
      <c r="D50" s="6"/>
      <c r="E50" s="6"/>
      <c r="F50" s="6"/>
      <c r="G50" s="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3:34" x14ac:dyDescent="0.3">
      <c r="C51" s="6"/>
      <c r="D51" s="6"/>
      <c r="E51" s="6"/>
      <c r="F51" s="6"/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3:34" x14ac:dyDescent="0.3">
      <c r="C52" s="6"/>
      <c r="D52" s="6"/>
      <c r="E52" s="6"/>
      <c r="F52" s="6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3:34" x14ac:dyDescent="0.3">
      <c r="C53" s="6"/>
      <c r="D53" s="6"/>
      <c r="E53" s="6"/>
      <c r="F53" s="6"/>
      <c r="G53" s="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3:34" x14ac:dyDescent="0.3">
      <c r="C54" s="6"/>
      <c r="D54" s="6"/>
      <c r="E54" s="6"/>
      <c r="F54" s="6"/>
      <c r="G54" s="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3:34" x14ac:dyDescent="0.3">
      <c r="C55" s="6"/>
      <c r="D55" s="6"/>
      <c r="E55" s="6"/>
      <c r="F55" s="6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3:34" x14ac:dyDescent="0.3">
      <c r="F56" s="6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3:34" x14ac:dyDescent="0.3">
      <c r="F57" s="6"/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3:34" x14ac:dyDescent="0.3">
      <c r="F58" s="6"/>
      <c r="G58" s="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3:34" x14ac:dyDescent="0.3">
      <c r="F59" s="6"/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3:34" x14ac:dyDescent="0.3"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3:34" x14ac:dyDescent="0.3">
      <c r="F61" s="6"/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3:34" x14ac:dyDescent="0.3">
      <c r="F62" s="6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3:34" x14ac:dyDescent="0.3">
      <c r="F63" s="6"/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3:34" x14ac:dyDescent="0.3">
      <c r="F64" s="6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6:34" x14ac:dyDescent="0.3">
      <c r="F65" s="6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6:34" x14ac:dyDescent="0.3">
      <c r="F66" s="6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6:34" x14ac:dyDescent="0.3">
      <c r="F67" s="6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6:34" x14ac:dyDescent="0.3">
      <c r="F68" s="6"/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6:34" x14ac:dyDescent="0.3"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6:34" x14ac:dyDescent="0.3">
      <c r="F70" s="6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6:34" x14ac:dyDescent="0.3">
      <c r="F71" s="6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6:34" x14ac:dyDescent="0.3">
      <c r="F72" s="6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6:34" x14ac:dyDescent="0.3">
      <c r="F73" s="6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6:34" x14ac:dyDescent="0.3">
      <c r="F74" s="6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6:34" x14ac:dyDescent="0.3">
      <c r="F75" s="6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6:34" x14ac:dyDescent="0.3">
      <c r="F76" s="6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6:34" x14ac:dyDescent="0.3">
      <c r="F77" s="6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6:34" x14ac:dyDescent="0.3">
      <c r="F78" s="6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6:34" x14ac:dyDescent="0.3">
      <c r="F79" s="6"/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6:34" x14ac:dyDescent="0.3">
      <c r="F80" s="6"/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6:34" x14ac:dyDescent="0.3">
      <c r="F81" s="6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6:34" x14ac:dyDescent="0.3">
      <c r="F82" s="6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6:34" x14ac:dyDescent="0.3">
      <c r="F83" s="6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6:34" x14ac:dyDescent="0.3">
      <c r="F84" s="6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6:34" x14ac:dyDescent="0.3">
      <c r="F85" s="6"/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6:34" x14ac:dyDescent="0.3">
      <c r="F86" s="6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6:34" x14ac:dyDescent="0.3">
      <c r="F87" s="6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6:34" x14ac:dyDescent="0.3">
      <c r="F88" s="6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6:34" x14ac:dyDescent="0.3">
      <c r="F89" s="6"/>
      <c r="G89" s="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6:34" x14ac:dyDescent="0.3">
      <c r="F90" s="6"/>
      <c r="G90" s="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6:34" x14ac:dyDescent="0.3">
      <c r="F91" s="6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6:34" x14ac:dyDescent="0.3">
      <c r="F92" s="6"/>
      <c r="G92" s="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6:34" x14ac:dyDescent="0.3">
      <c r="F93" s="6"/>
      <c r="G93" s="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6:34" x14ac:dyDescent="0.3"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6:34" x14ac:dyDescent="0.3"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6:34" x14ac:dyDescent="0.3">
      <c r="F96" s="6"/>
      <c r="G96" s="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6:34" x14ac:dyDescent="0.3">
      <c r="F97" s="6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6:34" x14ac:dyDescent="0.3">
      <c r="F98" s="6"/>
      <c r="G98" s="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6:34" x14ac:dyDescent="0.3">
      <c r="F99" s="6"/>
      <c r="G99" s="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6:34" x14ac:dyDescent="0.3">
      <c r="F100" s="6"/>
      <c r="G100" s="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6:34" x14ac:dyDescent="0.3">
      <c r="F101" s="6"/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6:34" x14ac:dyDescent="0.3">
      <c r="F102" s="6"/>
      <c r="G102" s="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6:34" x14ac:dyDescent="0.3">
      <c r="F103" s="6"/>
      <c r="G103" s="6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6:34" x14ac:dyDescent="0.3">
      <c r="F104" s="6"/>
      <c r="G104" s="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6:34" x14ac:dyDescent="0.3">
      <c r="F105" s="6"/>
      <c r="G105" s="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6:34" x14ac:dyDescent="0.3">
      <c r="F106" s="6"/>
      <c r="G106" s="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6:34" x14ac:dyDescent="0.3">
      <c r="F107" s="6"/>
      <c r="G107" s="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6:34" x14ac:dyDescent="0.3">
      <c r="F108" s="6"/>
      <c r="G108" s="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6:34" x14ac:dyDescent="0.3">
      <c r="F109" s="6"/>
      <c r="G109" s="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6:34" x14ac:dyDescent="0.3">
      <c r="F110" s="6"/>
      <c r="G110" s="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6:34" x14ac:dyDescent="0.3"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6:34" x14ac:dyDescent="0.3">
      <c r="F112" s="6"/>
      <c r="G112" s="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6:34" x14ac:dyDescent="0.3">
      <c r="F113" s="6"/>
      <c r="G113" s="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6:34" x14ac:dyDescent="0.3">
      <c r="F114" s="6"/>
      <c r="G114" s="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6:34" x14ac:dyDescent="0.3">
      <c r="F115" s="6"/>
      <c r="G115" s="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6:34" x14ac:dyDescent="0.3">
      <c r="F116" s="6"/>
      <c r="G116" s="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6:34" x14ac:dyDescent="0.3">
      <c r="F117" s="6"/>
      <c r="G117" s="6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6:34" x14ac:dyDescent="0.3">
      <c r="F118" s="6"/>
      <c r="G118" s="6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6:34" x14ac:dyDescent="0.3">
      <c r="F119" s="6"/>
      <c r="G119" s="6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6:34" x14ac:dyDescent="0.3">
      <c r="F120" s="6"/>
      <c r="G120" s="6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6:34" x14ac:dyDescent="0.3">
      <c r="F121" s="6"/>
      <c r="G121" s="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6:34" x14ac:dyDescent="0.3">
      <c r="F122" s="6"/>
      <c r="G122" s="6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6:34" x14ac:dyDescent="0.3">
      <c r="F123" s="6"/>
      <c r="G123" s="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6:34" x14ac:dyDescent="0.3">
      <c r="F124" s="6"/>
      <c r="G124" s="6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6:34" x14ac:dyDescent="0.3">
      <c r="F125" s="6"/>
      <c r="G125" s="6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6:34" x14ac:dyDescent="0.3">
      <c r="F126" s="6"/>
      <c r="G126" s="6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6:34" x14ac:dyDescent="0.3">
      <c r="F127" s="6"/>
      <c r="G127" s="6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6:34" x14ac:dyDescent="0.3">
      <c r="F128" s="6"/>
      <c r="G128" s="6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6:34" x14ac:dyDescent="0.3">
      <c r="F129" s="6"/>
      <c r="G129" s="6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6:34" x14ac:dyDescent="0.3">
      <c r="F130" s="6"/>
      <c r="G130" s="6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6:34" x14ac:dyDescent="0.3">
      <c r="F131" s="6"/>
      <c r="G131" s="6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6:34" x14ac:dyDescent="0.3">
      <c r="F132" s="6"/>
      <c r="G132" s="6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6:34" x14ac:dyDescent="0.3">
      <c r="F133" s="6"/>
      <c r="G133" s="6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6:34" x14ac:dyDescent="0.3">
      <c r="F134" s="6"/>
      <c r="G134" s="6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6:34" x14ac:dyDescent="0.3">
      <c r="F135" s="6"/>
      <c r="G135" s="6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6:34" x14ac:dyDescent="0.3">
      <c r="F136" s="6"/>
      <c r="G136" s="6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6:34" x14ac:dyDescent="0.3">
      <c r="F137" s="6"/>
      <c r="G137" s="6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6:34" x14ac:dyDescent="0.3">
      <c r="F138" s="6"/>
      <c r="G138" s="6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6:34" x14ac:dyDescent="0.3">
      <c r="F139" s="6"/>
      <c r="G139" s="6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6:34" x14ac:dyDescent="0.3">
      <c r="F140" s="6"/>
      <c r="G140" s="6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</sheetData>
  <sheetProtection password="E89A" sheet="1" objects="1" scenarios="1"/>
  <pageMargins left="0.1" right="0.1" top="0.1" bottom="0.1" header="0.3" footer="0.3"/>
  <pageSetup scale="8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0">
    <tabColor theme="2"/>
  </sheetPr>
  <dimension ref="A1:AG45"/>
  <sheetViews>
    <sheetView zoomScaleNormal="100" workbookViewId="0">
      <pane xSplit="7" ySplit="8" topLeftCell="P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C5" sqref="C5:C6"/>
    </sheetView>
  </sheetViews>
  <sheetFormatPr defaultColWidth="9.109375" defaultRowHeight="14.4" x14ac:dyDescent="0.3"/>
  <cols>
    <col min="1" max="1" width="9.109375" style="45"/>
    <col min="2" max="2" width="34.5546875" style="45" customWidth="1"/>
    <col min="3" max="7" width="14.6640625" style="45" customWidth="1"/>
    <col min="8" max="31" width="12.6640625" style="45" customWidth="1"/>
    <col min="32" max="33" width="21.33203125" style="44" customWidth="1"/>
    <col min="34" max="16384" width="9.109375" style="45"/>
  </cols>
  <sheetData>
    <row r="1" spans="1:33" ht="21" x14ac:dyDescent="0.4">
      <c r="A1" s="47" t="s">
        <v>0</v>
      </c>
      <c r="B1" s="53"/>
      <c r="C1" s="48" t="s">
        <v>46</v>
      </c>
      <c r="D1" s="48"/>
      <c r="E1" s="48"/>
      <c r="F1" s="54"/>
      <c r="G1" s="53"/>
      <c r="H1" s="53"/>
      <c r="I1" s="53"/>
      <c r="J1" s="48"/>
      <c r="K1" s="53"/>
      <c r="L1" s="53"/>
      <c r="M1" s="53"/>
      <c r="N1" s="48" t="str">
        <f>$C$1</f>
        <v>Project AWARE</v>
      </c>
      <c r="O1" s="53"/>
      <c r="P1" s="53"/>
      <c r="Q1" s="48"/>
      <c r="R1" s="53"/>
      <c r="S1" s="53"/>
      <c r="T1" s="48" t="str">
        <f>$C$1</f>
        <v>Project AWARE</v>
      </c>
      <c r="U1" s="53"/>
      <c r="V1" s="53"/>
      <c r="W1" s="53"/>
      <c r="X1" s="53"/>
      <c r="Y1" s="53"/>
      <c r="Z1" s="53"/>
      <c r="AA1" s="48" t="str">
        <f>$C$1</f>
        <v>Project AWARE</v>
      </c>
      <c r="AB1" s="53"/>
      <c r="AC1" s="53"/>
      <c r="AD1" s="53"/>
      <c r="AE1" s="53"/>
      <c r="AF1" s="47"/>
      <c r="AG1" s="47"/>
    </row>
    <row r="2" spans="1:33" ht="21" x14ac:dyDescent="0.4">
      <c r="A2" s="47" t="s">
        <v>171</v>
      </c>
      <c r="B2" s="53"/>
      <c r="C2" s="48" t="s">
        <v>175</v>
      </c>
      <c r="D2" s="48"/>
      <c r="E2" s="48"/>
      <c r="F2" s="54"/>
      <c r="G2" s="53"/>
      <c r="H2" s="53"/>
      <c r="I2" s="53"/>
      <c r="J2" s="56"/>
      <c r="K2" s="53"/>
      <c r="L2" s="53"/>
      <c r="M2" s="53"/>
      <c r="N2" s="50" t="str">
        <f>"FY"&amp;$C$4</f>
        <v>FY2018-19</v>
      </c>
      <c r="O2" s="19"/>
      <c r="P2" s="19"/>
      <c r="Q2" s="50"/>
      <c r="R2" s="19"/>
      <c r="S2" s="19"/>
      <c r="T2" s="50" t="str">
        <f>"FY"&amp;$C$4</f>
        <v>FY2018-19</v>
      </c>
      <c r="U2" s="19"/>
      <c r="V2" s="19"/>
      <c r="W2" s="19"/>
      <c r="X2" s="19"/>
      <c r="Y2" s="19"/>
      <c r="Z2" s="19"/>
      <c r="AA2" s="50" t="str">
        <f>"FY"&amp;$C$4</f>
        <v>FY2018-19</v>
      </c>
      <c r="AB2" s="53"/>
      <c r="AC2" s="53"/>
      <c r="AD2" s="53"/>
      <c r="AE2" s="53"/>
      <c r="AF2" s="47"/>
      <c r="AG2" s="47"/>
    </row>
    <row r="3" spans="1:33" ht="15.6" x14ac:dyDescent="0.3">
      <c r="A3" s="50" t="s">
        <v>1</v>
      </c>
      <c r="B3" s="53"/>
      <c r="C3" s="51">
        <v>7243</v>
      </c>
      <c r="D3" s="51"/>
      <c r="E3" s="51"/>
      <c r="F3" s="54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4"/>
    </row>
    <row r="4" spans="1:33" ht="15.6" x14ac:dyDescent="0.3">
      <c r="A4" s="50" t="s">
        <v>2</v>
      </c>
      <c r="B4" s="53"/>
      <c r="C4" s="51" t="s">
        <v>188</v>
      </c>
      <c r="D4" s="51"/>
      <c r="E4" s="51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4"/>
      <c r="AG4" s="54"/>
    </row>
    <row r="5" spans="1:33" ht="15.6" x14ac:dyDescent="0.3">
      <c r="A5" s="50" t="s">
        <v>18</v>
      </c>
      <c r="B5" s="53"/>
      <c r="C5" s="63" t="s">
        <v>508</v>
      </c>
      <c r="D5" s="50"/>
      <c r="E5" s="50"/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2"/>
      <c r="AG5" s="52"/>
    </row>
    <row r="6" spans="1:33" ht="15.6" x14ac:dyDescent="0.3">
      <c r="A6" s="50" t="s">
        <v>19</v>
      </c>
      <c r="B6" s="53"/>
      <c r="C6" s="67" t="s">
        <v>509</v>
      </c>
      <c r="D6" s="50"/>
      <c r="E6" s="50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2"/>
      <c r="AG6" s="52"/>
    </row>
    <row r="7" spans="1:33" ht="15" thickBot="1" x14ac:dyDescent="0.3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2"/>
      <c r="AG7" s="52"/>
    </row>
    <row r="8" spans="1:33" ht="29.4" thickBot="1" x14ac:dyDescent="0.35">
      <c r="A8" s="57" t="s">
        <v>161</v>
      </c>
      <c r="B8" s="57" t="s">
        <v>155</v>
      </c>
      <c r="C8" s="55" t="s">
        <v>15</v>
      </c>
      <c r="D8" s="55" t="s">
        <v>124</v>
      </c>
      <c r="E8" s="55" t="s">
        <v>163</v>
      </c>
      <c r="F8" s="55" t="s">
        <v>16</v>
      </c>
      <c r="G8" s="25" t="s">
        <v>17</v>
      </c>
      <c r="H8" s="26" t="s">
        <v>141</v>
      </c>
      <c r="I8" s="26" t="s">
        <v>142</v>
      </c>
      <c r="J8" s="27" t="s">
        <v>152</v>
      </c>
      <c r="K8" s="26" t="s">
        <v>143</v>
      </c>
      <c r="L8" s="27" t="s">
        <v>144</v>
      </c>
      <c r="M8" s="26" t="s">
        <v>145</v>
      </c>
      <c r="N8" s="27" t="s">
        <v>146</v>
      </c>
      <c r="O8" s="26" t="s">
        <v>147</v>
      </c>
      <c r="P8" s="27" t="s">
        <v>148</v>
      </c>
      <c r="Q8" s="26" t="s">
        <v>149</v>
      </c>
      <c r="R8" s="27" t="s">
        <v>150</v>
      </c>
      <c r="S8" s="26" t="s">
        <v>151</v>
      </c>
      <c r="T8" s="27" t="s">
        <v>189</v>
      </c>
      <c r="U8" s="27" t="s">
        <v>190</v>
      </c>
      <c r="V8" s="27" t="s">
        <v>153</v>
      </c>
      <c r="W8" s="27" t="s">
        <v>270</v>
      </c>
      <c r="X8" s="27" t="s">
        <v>271</v>
      </c>
      <c r="Y8" s="27" t="s">
        <v>272</v>
      </c>
      <c r="Z8" s="27" t="s">
        <v>273</v>
      </c>
      <c r="AA8" s="27" t="s">
        <v>274</v>
      </c>
      <c r="AB8" s="27" t="s">
        <v>275</v>
      </c>
      <c r="AC8" s="27" t="s">
        <v>276</v>
      </c>
      <c r="AD8" s="27" t="s">
        <v>277</v>
      </c>
      <c r="AE8" s="27" t="s">
        <v>278</v>
      </c>
      <c r="AF8" s="12" t="s">
        <v>183</v>
      </c>
      <c r="AG8" s="12" t="s">
        <v>184</v>
      </c>
    </row>
    <row r="9" spans="1:33" ht="15" thickBot="1" x14ac:dyDescent="0.35">
      <c r="A9" s="31" t="s">
        <v>4</v>
      </c>
      <c r="B9" s="31" t="s">
        <v>100</v>
      </c>
      <c r="C9" s="289">
        <v>484961</v>
      </c>
      <c r="D9" s="289">
        <v>0</v>
      </c>
      <c r="E9" s="289">
        <f>C9+D9</f>
        <v>484961</v>
      </c>
      <c r="F9" s="289">
        <f>SUM(H9:AY9)</f>
        <v>365245.20999999996</v>
      </c>
      <c r="G9" s="289">
        <f>C9-F9</f>
        <v>119715.79000000004</v>
      </c>
      <c r="H9" s="248"/>
      <c r="I9" s="248"/>
      <c r="J9" s="248"/>
      <c r="K9" s="248"/>
      <c r="L9" s="248"/>
      <c r="M9" s="248"/>
      <c r="N9" s="248"/>
      <c r="O9" s="248"/>
      <c r="P9" s="248">
        <v>165691</v>
      </c>
      <c r="Q9" s="248"/>
      <c r="R9" s="248">
        <v>199554.21</v>
      </c>
      <c r="S9" s="248"/>
      <c r="T9" s="248"/>
      <c r="U9" s="248"/>
      <c r="V9" s="248"/>
      <c r="W9" s="248"/>
      <c r="X9" s="248"/>
      <c r="Y9" s="248"/>
      <c r="Z9" s="75"/>
      <c r="AA9" s="75"/>
      <c r="AB9" s="75"/>
      <c r="AC9" s="75"/>
      <c r="AD9" s="75"/>
      <c r="AE9" s="75"/>
    </row>
    <row r="10" spans="1:33" ht="15" thickBot="1" x14ac:dyDescent="0.35">
      <c r="A10" s="31" t="s">
        <v>87</v>
      </c>
      <c r="B10" s="31" t="s">
        <v>88</v>
      </c>
      <c r="C10" s="289">
        <v>375000</v>
      </c>
      <c r="D10" s="289">
        <v>0</v>
      </c>
      <c r="E10" s="289">
        <f t="shared" ref="E10" si="0">C10+D10</f>
        <v>375000</v>
      </c>
      <c r="F10" s="289">
        <f>SUM(H10:AY10)</f>
        <v>333001</v>
      </c>
      <c r="G10" s="289">
        <f>C10-F10</f>
        <v>41999</v>
      </c>
      <c r="H10" s="248"/>
      <c r="I10" s="248">
        <v>17536</v>
      </c>
      <c r="J10" s="248">
        <v>28437</v>
      </c>
      <c r="K10" s="248"/>
      <c r="L10" s="248">
        <v>39237</v>
      </c>
      <c r="M10" s="248"/>
      <c r="N10" s="248">
        <v>126953</v>
      </c>
      <c r="O10" s="248"/>
      <c r="P10" s="248"/>
      <c r="Q10" s="248">
        <v>120838</v>
      </c>
      <c r="R10" s="248"/>
      <c r="S10" s="248"/>
      <c r="T10" s="248"/>
      <c r="U10" s="248"/>
      <c r="V10" s="248"/>
      <c r="W10" s="248"/>
      <c r="X10" s="248"/>
      <c r="Y10" s="248"/>
      <c r="Z10" s="75"/>
      <c r="AA10" s="75"/>
      <c r="AB10" s="75"/>
      <c r="AC10" s="75"/>
      <c r="AD10" s="75"/>
      <c r="AE10" s="75"/>
    </row>
    <row r="11" spans="1:33" ht="15" thickBot="1" x14ac:dyDescent="0.35">
      <c r="A11" s="31" t="s">
        <v>41</v>
      </c>
      <c r="B11" s="31" t="s">
        <v>90</v>
      </c>
      <c r="C11" s="289">
        <v>375000</v>
      </c>
      <c r="D11" s="289">
        <v>0</v>
      </c>
      <c r="E11" s="289">
        <v>413702</v>
      </c>
      <c r="F11" s="289">
        <f>SUM(H11:AY11)</f>
        <v>267371.94</v>
      </c>
      <c r="G11" s="289">
        <f>C11-F11</f>
        <v>107628.06</v>
      </c>
      <c r="H11" s="248"/>
      <c r="I11" s="248"/>
      <c r="J11" s="248">
        <v>41015</v>
      </c>
      <c r="K11" s="248">
        <v>30714</v>
      </c>
      <c r="L11" s="248">
        <v>27231</v>
      </c>
      <c r="M11" s="248">
        <v>32497</v>
      </c>
      <c r="N11" s="248">
        <v>27359</v>
      </c>
      <c r="O11" s="248">
        <v>42660</v>
      </c>
      <c r="P11" s="248"/>
      <c r="Q11" s="248">
        <v>37060.239999999998</v>
      </c>
      <c r="R11" s="248">
        <v>28835.7</v>
      </c>
      <c r="S11" s="248"/>
      <c r="T11" s="248"/>
      <c r="U11" s="248"/>
      <c r="V11" s="248"/>
      <c r="W11" s="248"/>
      <c r="X11" s="248"/>
      <c r="Y11" s="248"/>
      <c r="Z11" s="75"/>
      <c r="AA11" s="75"/>
      <c r="AB11" s="75"/>
      <c r="AC11" s="75"/>
      <c r="AD11" s="75"/>
      <c r="AE11" s="75"/>
    </row>
    <row r="12" spans="1:33" s="17" customFormat="1" ht="15" thickBot="1" x14ac:dyDescent="0.35">
      <c r="A12" s="182"/>
      <c r="B12" s="182"/>
      <c r="C12" s="295"/>
      <c r="D12" s="295"/>
      <c r="E12" s="295"/>
      <c r="F12" s="295"/>
      <c r="G12" s="295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78"/>
      <c r="AA12" s="78"/>
      <c r="AB12" s="78"/>
      <c r="AC12" s="78"/>
      <c r="AD12" s="78"/>
      <c r="AE12" s="78"/>
      <c r="AF12" s="78"/>
      <c r="AG12" s="78"/>
    </row>
    <row r="13" spans="1:33" ht="15" thickBot="1" x14ac:dyDescent="0.35">
      <c r="A13" s="42" t="s">
        <v>48</v>
      </c>
      <c r="B13" s="42"/>
      <c r="C13" s="296">
        <f>SUM(C9:C12)</f>
        <v>1234961</v>
      </c>
      <c r="D13" s="296">
        <v>0</v>
      </c>
      <c r="E13" s="296">
        <f>SUM(E9:E11)</f>
        <v>1273663</v>
      </c>
      <c r="F13" s="296">
        <f>SUM(F9:F11)</f>
        <v>965618.14999999991</v>
      </c>
      <c r="G13" s="296">
        <f>SUM(G9:G12)</f>
        <v>269342.85000000003</v>
      </c>
      <c r="H13" s="296">
        <f t="shared" ref="H13:AG13" si="1">SUM(H9:H12)</f>
        <v>0</v>
      </c>
      <c r="I13" s="296">
        <f t="shared" si="1"/>
        <v>17536</v>
      </c>
      <c r="J13" s="296">
        <f t="shared" si="1"/>
        <v>69452</v>
      </c>
      <c r="K13" s="296">
        <f t="shared" si="1"/>
        <v>30714</v>
      </c>
      <c r="L13" s="296">
        <f t="shared" si="1"/>
        <v>66468</v>
      </c>
      <c r="M13" s="296">
        <f t="shared" si="1"/>
        <v>32497</v>
      </c>
      <c r="N13" s="296">
        <f t="shared" si="1"/>
        <v>154312</v>
      </c>
      <c r="O13" s="296">
        <f t="shared" si="1"/>
        <v>42660</v>
      </c>
      <c r="P13" s="296">
        <f t="shared" si="1"/>
        <v>165691</v>
      </c>
      <c r="Q13" s="296">
        <f t="shared" si="1"/>
        <v>157898.23999999999</v>
      </c>
      <c r="R13" s="296">
        <f t="shared" si="1"/>
        <v>228389.91</v>
      </c>
      <c r="S13" s="296">
        <f t="shared" si="1"/>
        <v>0</v>
      </c>
      <c r="T13" s="296">
        <f t="shared" si="1"/>
        <v>0</v>
      </c>
      <c r="U13" s="296">
        <f t="shared" si="1"/>
        <v>0</v>
      </c>
      <c r="V13" s="296">
        <f t="shared" si="1"/>
        <v>0</v>
      </c>
      <c r="W13" s="296">
        <f t="shared" si="1"/>
        <v>0</v>
      </c>
      <c r="X13" s="296">
        <f t="shared" si="1"/>
        <v>0</v>
      </c>
      <c r="Y13" s="296">
        <f t="shared" si="1"/>
        <v>0</v>
      </c>
      <c r="Z13" s="121">
        <f t="shared" si="1"/>
        <v>0</v>
      </c>
      <c r="AA13" s="121">
        <f t="shared" si="1"/>
        <v>0</v>
      </c>
      <c r="AB13" s="121">
        <f t="shared" si="1"/>
        <v>0</v>
      </c>
      <c r="AC13" s="121">
        <f t="shared" si="1"/>
        <v>0</v>
      </c>
      <c r="AD13" s="121">
        <f t="shared" si="1"/>
        <v>0</v>
      </c>
      <c r="AE13" s="121">
        <f t="shared" si="1"/>
        <v>0</v>
      </c>
      <c r="AF13" s="121">
        <f t="shared" si="1"/>
        <v>0</v>
      </c>
      <c r="AG13" s="121">
        <f t="shared" si="1"/>
        <v>0</v>
      </c>
    </row>
    <row r="14" spans="1:33" x14ac:dyDescent="0.3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46"/>
      <c r="AA14" s="46"/>
      <c r="AB14" s="46"/>
      <c r="AC14" s="46"/>
      <c r="AD14" s="46"/>
      <c r="AE14" s="46"/>
    </row>
    <row r="15" spans="1:33" x14ac:dyDescent="0.3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46"/>
      <c r="AA15" s="46"/>
      <c r="AB15" s="46"/>
      <c r="AC15" s="46"/>
      <c r="AD15" s="46"/>
      <c r="AE15" s="46"/>
    </row>
    <row r="16" spans="1:33" x14ac:dyDescent="0.3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46"/>
      <c r="AA16" s="46"/>
      <c r="AB16" s="46"/>
      <c r="AC16" s="46"/>
      <c r="AD16" s="46"/>
      <c r="AE16" s="46"/>
    </row>
    <row r="17" spans="3:33" x14ac:dyDescent="0.3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46"/>
      <c r="AA17" s="46"/>
      <c r="AB17" s="46"/>
      <c r="AC17" s="46"/>
      <c r="AD17" s="46"/>
      <c r="AE17" s="46"/>
      <c r="AF17" s="76"/>
      <c r="AG17" s="76"/>
    </row>
    <row r="18" spans="3:33" x14ac:dyDescent="0.3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46"/>
      <c r="AA18" s="46"/>
      <c r="AB18" s="46"/>
      <c r="AC18" s="46"/>
      <c r="AD18" s="46"/>
      <c r="AE18" s="46"/>
    </row>
    <row r="19" spans="3:33" x14ac:dyDescent="0.3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46"/>
      <c r="AA19" s="46"/>
      <c r="AB19" s="46"/>
      <c r="AC19" s="46"/>
      <c r="AD19" s="46"/>
      <c r="AE19" s="46"/>
    </row>
    <row r="20" spans="3:33" x14ac:dyDescent="0.3"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3:33" x14ac:dyDescent="0.3"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76"/>
      <c r="AG21" s="76"/>
    </row>
    <row r="22" spans="3:33" x14ac:dyDescent="0.3"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76"/>
      <c r="AG22" s="76"/>
    </row>
    <row r="23" spans="3:33" x14ac:dyDescent="0.3"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3:33" x14ac:dyDescent="0.3"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3:33" x14ac:dyDescent="0.3"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3:33" x14ac:dyDescent="0.3"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3:33" x14ac:dyDescent="0.3"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3:33" x14ac:dyDescent="0.3"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76"/>
      <c r="AG28" s="76"/>
    </row>
    <row r="29" spans="3:33" x14ac:dyDescent="0.3"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3:33" x14ac:dyDescent="0.3"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3:33" x14ac:dyDescent="0.3">
      <c r="AF31" s="45"/>
      <c r="AG31" s="45"/>
    </row>
    <row r="32" spans="3:33" x14ac:dyDescent="0.3">
      <c r="AF32" s="30"/>
      <c r="AG32" s="30"/>
    </row>
    <row r="33" spans="32:33" x14ac:dyDescent="0.3">
      <c r="AF33" s="30"/>
      <c r="AG33" s="30"/>
    </row>
    <row r="34" spans="32:33" x14ac:dyDescent="0.3">
      <c r="AF34" s="30"/>
      <c r="AG34" s="30"/>
    </row>
    <row r="35" spans="32:33" x14ac:dyDescent="0.3">
      <c r="AF35" s="30"/>
      <c r="AG35" s="30"/>
    </row>
    <row r="36" spans="32:33" x14ac:dyDescent="0.3">
      <c r="AF36" s="30"/>
      <c r="AG36" s="30"/>
    </row>
    <row r="37" spans="32:33" x14ac:dyDescent="0.3">
      <c r="AF37" s="30"/>
      <c r="AG37" s="30"/>
    </row>
    <row r="38" spans="32:33" x14ac:dyDescent="0.3">
      <c r="AF38" s="30"/>
      <c r="AG38" s="30"/>
    </row>
    <row r="39" spans="32:33" x14ac:dyDescent="0.3">
      <c r="AF39" s="30"/>
      <c r="AG39" s="30"/>
    </row>
    <row r="40" spans="32:33" x14ac:dyDescent="0.3">
      <c r="AF40" s="30"/>
      <c r="AG40" s="30"/>
    </row>
    <row r="41" spans="32:33" x14ac:dyDescent="0.3">
      <c r="AF41" s="30"/>
      <c r="AG41" s="30"/>
    </row>
    <row r="42" spans="32:33" x14ac:dyDescent="0.3">
      <c r="AF42" s="30"/>
      <c r="AG42" s="30"/>
    </row>
    <row r="43" spans="32:33" x14ac:dyDescent="0.3">
      <c r="AF43" s="30"/>
      <c r="AG43" s="30"/>
    </row>
    <row r="44" spans="32:33" x14ac:dyDescent="0.3">
      <c r="AF44" s="30"/>
      <c r="AG44" s="30"/>
    </row>
    <row r="45" spans="32:33" x14ac:dyDescent="0.3">
      <c r="AF45" s="30"/>
      <c r="AG45" s="30"/>
    </row>
  </sheetData>
  <sheetProtection password="E89A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6">
    <tabColor theme="2"/>
  </sheetPr>
  <dimension ref="A1:AB43"/>
  <sheetViews>
    <sheetView workbookViewId="0">
      <pane xSplit="7" ySplit="8" topLeftCell="V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C5" sqref="C5:C6"/>
    </sheetView>
  </sheetViews>
  <sheetFormatPr defaultColWidth="8.88671875" defaultRowHeight="14.4" x14ac:dyDescent="0.3"/>
  <cols>
    <col min="1" max="1" width="8.88671875" style="65"/>
    <col min="2" max="2" width="31.5546875" style="44" customWidth="1"/>
    <col min="3" max="3" width="11.109375" style="65" customWidth="1"/>
    <col min="4" max="4" width="30.5546875" style="44" customWidth="1"/>
    <col min="5" max="7" width="14.6640625" style="45" customWidth="1"/>
    <col min="8" max="26" width="15.6640625" style="44" customWidth="1"/>
    <col min="27" max="28" width="21.33203125" style="44" customWidth="1"/>
    <col min="29" max="16384" width="8.88671875" style="44"/>
  </cols>
  <sheetData>
    <row r="1" spans="1:28" s="45" customFormat="1" ht="21" x14ac:dyDescent="0.4">
      <c r="A1" s="62" t="s">
        <v>0</v>
      </c>
      <c r="B1" s="53"/>
      <c r="C1" s="66" t="s">
        <v>232</v>
      </c>
      <c r="D1" s="50"/>
      <c r="E1" s="50"/>
      <c r="F1" s="50"/>
      <c r="G1" s="54"/>
      <c r="H1" s="53"/>
      <c r="I1" s="48"/>
      <c r="J1" s="66" t="str">
        <f>$C$1</f>
        <v>BEST Instruction</v>
      </c>
      <c r="K1" s="53"/>
      <c r="L1" s="53"/>
      <c r="M1" s="48"/>
      <c r="N1" s="53"/>
      <c r="O1" s="53"/>
      <c r="P1" s="66" t="str">
        <f>$C$1</f>
        <v>BEST Instruction</v>
      </c>
      <c r="Q1" s="48"/>
      <c r="R1" s="48"/>
      <c r="S1" s="53"/>
      <c r="T1" s="48"/>
      <c r="U1" s="53"/>
      <c r="V1" s="53"/>
      <c r="W1" s="66" t="str">
        <f>$C$1</f>
        <v>BEST Instruction</v>
      </c>
      <c r="X1" s="53"/>
      <c r="Y1" s="48"/>
      <c r="Z1" s="53"/>
      <c r="AA1" s="47"/>
      <c r="AB1" s="47"/>
    </row>
    <row r="2" spans="1:28" s="3" customFormat="1" ht="21" x14ac:dyDescent="0.4">
      <c r="A2" s="47" t="s">
        <v>171</v>
      </c>
      <c r="B2" s="49"/>
      <c r="C2" s="62" t="s">
        <v>233</v>
      </c>
      <c r="D2" s="48"/>
      <c r="E2" s="48"/>
      <c r="F2" s="48"/>
      <c r="G2" s="15"/>
      <c r="H2" s="49"/>
      <c r="I2" s="49"/>
      <c r="J2" s="50" t="str">
        <f>"FY"&amp;$C$4</f>
        <v>FY2018-19</v>
      </c>
      <c r="K2" s="49"/>
      <c r="L2" s="49"/>
      <c r="M2" s="49"/>
      <c r="N2" s="49"/>
      <c r="O2" s="49"/>
      <c r="P2" s="50" t="str">
        <f>"FY"&amp;$C$4</f>
        <v>FY2018-19</v>
      </c>
      <c r="Q2" s="49"/>
      <c r="R2" s="49"/>
      <c r="S2" s="49"/>
      <c r="T2" s="49"/>
      <c r="U2" s="49"/>
      <c r="V2" s="49"/>
      <c r="W2" s="50" t="str">
        <f>"FY"&amp;$C$4</f>
        <v>FY2018-19</v>
      </c>
      <c r="X2" s="49"/>
      <c r="Y2" s="49"/>
      <c r="Z2" s="49"/>
      <c r="AA2" s="47"/>
      <c r="AB2" s="47"/>
    </row>
    <row r="3" spans="1:28" s="45" customFormat="1" ht="15.6" x14ac:dyDescent="0.3">
      <c r="A3" s="63" t="s">
        <v>1</v>
      </c>
      <c r="B3" s="53"/>
      <c r="C3" s="67" t="s">
        <v>234</v>
      </c>
      <c r="D3" s="50"/>
      <c r="E3" s="50"/>
      <c r="F3" s="50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4"/>
    </row>
    <row r="4" spans="1:28" s="45" customFormat="1" ht="15.6" x14ac:dyDescent="0.3">
      <c r="A4" s="63" t="s">
        <v>2</v>
      </c>
      <c r="B4" s="53"/>
      <c r="C4" s="67" t="s">
        <v>188</v>
      </c>
      <c r="D4" s="50"/>
      <c r="E4" s="50"/>
      <c r="F4" s="50"/>
      <c r="G4" s="5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</row>
    <row r="5" spans="1:28" s="45" customFormat="1" ht="15.6" x14ac:dyDescent="0.3">
      <c r="A5" s="63" t="s">
        <v>18</v>
      </c>
      <c r="B5" s="53"/>
      <c r="C5" s="63" t="s">
        <v>508</v>
      </c>
      <c r="D5" s="50"/>
      <c r="E5" s="50"/>
      <c r="F5" s="50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2"/>
      <c r="AB5" s="52"/>
    </row>
    <row r="6" spans="1:28" s="45" customFormat="1" ht="15.6" x14ac:dyDescent="0.3">
      <c r="A6" s="63" t="s">
        <v>19</v>
      </c>
      <c r="B6" s="53"/>
      <c r="C6" s="67" t="s">
        <v>509</v>
      </c>
      <c r="D6" s="50"/>
      <c r="E6" s="50"/>
      <c r="F6" s="50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2"/>
      <c r="AB6" s="52"/>
    </row>
    <row r="7" spans="1:28" s="45" customFormat="1" ht="24" thickBot="1" x14ac:dyDescent="0.5">
      <c r="A7" s="315"/>
      <c r="B7" s="316"/>
      <c r="C7" s="316"/>
      <c r="D7" s="316"/>
      <c r="E7" s="316"/>
      <c r="F7" s="317"/>
      <c r="G7" s="317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2"/>
      <c r="AB7" s="52"/>
    </row>
    <row r="8" spans="1:28" ht="29.4" thickBot="1" x14ac:dyDescent="0.35">
      <c r="A8" s="11" t="s">
        <v>161</v>
      </c>
      <c r="B8" s="12" t="s">
        <v>155</v>
      </c>
      <c r="C8" s="11" t="s">
        <v>168</v>
      </c>
      <c r="D8" s="12" t="s">
        <v>44</v>
      </c>
      <c r="E8" s="13" t="s">
        <v>15</v>
      </c>
      <c r="F8" s="12" t="s">
        <v>16</v>
      </c>
      <c r="G8" s="29" t="s">
        <v>17</v>
      </c>
      <c r="H8" s="26" t="s">
        <v>67</v>
      </c>
      <c r="I8" s="27" t="s">
        <v>68</v>
      </c>
      <c r="J8" s="26" t="s">
        <v>69</v>
      </c>
      <c r="K8" s="27" t="s">
        <v>141</v>
      </c>
      <c r="L8" s="26" t="s">
        <v>142</v>
      </c>
      <c r="M8" s="27" t="s">
        <v>152</v>
      </c>
      <c r="N8" s="27" t="s">
        <v>143</v>
      </c>
      <c r="O8" s="27" t="s">
        <v>144</v>
      </c>
      <c r="P8" s="27" t="s">
        <v>145</v>
      </c>
      <c r="Q8" s="27" t="s">
        <v>146</v>
      </c>
      <c r="R8" s="27" t="s">
        <v>147</v>
      </c>
      <c r="S8" s="27" t="s">
        <v>148</v>
      </c>
      <c r="T8" s="26" t="s">
        <v>149</v>
      </c>
      <c r="U8" s="27" t="s">
        <v>150</v>
      </c>
      <c r="V8" s="27" t="s">
        <v>151</v>
      </c>
      <c r="W8" s="27" t="s">
        <v>189</v>
      </c>
      <c r="X8" s="26" t="s">
        <v>190</v>
      </c>
      <c r="Y8" s="27" t="s">
        <v>153</v>
      </c>
      <c r="Z8" s="27" t="s">
        <v>151</v>
      </c>
      <c r="AA8" s="12" t="s">
        <v>183</v>
      </c>
      <c r="AB8" s="12" t="s">
        <v>184</v>
      </c>
    </row>
    <row r="9" spans="1:28" s="37" customFormat="1" ht="15" thickBot="1" x14ac:dyDescent="0.35">
      <c r="A9" s="98" t="s">
        <v>4</v>
      </c>
      <c r="B9" s="95" t="s">
        <v>100</v>
      </c>
      <c r="C9" s="94"/>
      <c r="D9" s="95" t="s">
        <v>244</v>
      </c>
      <c r="E9" s="96">
        <v>9640</v>
      </c>
      <c r="F9" s="96">
        <f>SUM(H9:AB9)</f>
        <v>9086</v>
      </c>
      <c r="G9" s="96">
        <f>E9-F9</f>
        <v>554</v>
      </c>
      <c r="H9" s="131"/>
      <c r="I9" s="120"/>
      <c r="J9" s="120"/>
      <c r="K9" s="120">
        <v>2283</v>
      </c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>
        <v>6803</v>
      </c>
      <c r="W9" s="120"/>
      <c r="X9" s="120"/>
      <c r="Y9" s="120"/>
      <c r="Z9" s="120"/>
      <c r="AA9" s="44"/>
      <c r="AB9" s="44"/>
    </row>
    <row r="10" spans="1:28" s="37" customFormat="1" ht="15" thickBot="1" x14ac:dyDescent="0.35">
      <c r="A10" s="98" t="s">
        <v>51</v>
      </c>
      <c r="B10" s="95" t="s">
        <v>238</v>
      </c>
      <c r="C10" s="99"/>
      <c r="D10" s="95" t="s">
        <v>245</v>
      </c>
      <c r="E10" s="96">
        <v>6506</v>
      </c>
      <c r="F10" s="96">
        <f t="shared" ref="F10:F16" si="0">SUM(H10:AB10)</f>
        <v>0</v>
      </c>
      <c r="G10" s="96">
        <f t="shared" ref="G10:G16" si="1">E10-F10</f>
        <v>6506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44"/>
      <c r="AB10" s="44"/>
    </row>
    <row r="11" spans="1:28" s="37" customFormat="1" ht="15" thickBot="1" x14ac:dyDescent="0.35">
      <c r="A11" s="98" t="s">
        <v>52</v>
      </c>
      <c r="B11" s="95" t="s">
        <v>239</v>
      </c>
      <c r="C11" s="99"/>
      <c r="D11" s="95" t="s">
        <v>246</v>
      </c>
      <c r="E11" s="96">
        <v>7518</v>
      </c>
      <c r="F11" s="96">
        <f t="shared" si="0"/>
        <v>0</v>
      </c>
      <c r="G11" s="96">
        <f t="shared" si="1"/>
        <v>7518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44"/>
      <c r="AB11" s="44"/>
    </row>
    <row r="12" spans="1:28" s="37" customFormat="1" ht="15" thickBot="1" x14ac:dyDescent="0.35">
      <c r="A12" s="98" t="s">
        <v>235</v>
      </c>
      <c r="B12" s="95" t="s">
        <v>240</v>
      </c>
      <c r="C12" s="99"/>
      <c r="D12" s="95" t="s">
        <v>247</v>
      </c>
      <c r="E12" s="96">
        <v>9275</v>
      </c>
      <c r="F12" s="96">
        <f t="shared" si="0"/>
        <v>0</v>
      </c>
      <c r="G12" s="96">
        <f t="shared" si="1"/>
        <v>9275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44"/>
      <c r="AB12" s="44"/>
    </row>
    <row r="13" spans="1:28" s="37" customFormat="1" ht="15" thickBot="1" x14ac:dyDescent="0.35">
      <c r="A13" s="98" t="s">
        <v>236</v>
      </c>
      <c r="B13" s="95" t="s">
        <v>241</v>
      </c>
      <c r="C13" s="99"/>
      <c r="D13" s="95" t="s">
        <v>248</v>
      </c>
      <c r="E13" s="96">
        <v>8392</v>
      </c>
      <c r="F13" s="96">
        <f t="shared" si="0"/>
        <v>8392</v>
      </c>
      <c r="G13" s="96">
        <f t="shared" si="1"/>
        <v>0</v>
      </c>
      <c r="H13" s="75"/>
      <c r="I13" s="75">
        <v>8392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44"/>
      <c r="AB13" s="44"/>
    </row>
    <row r="14" spans="1:28" s="37" customFormat="1" ht="15" thickBot="1" x14ac:dyDescent="0.35">
      <c r="A14" s="98" t="s">
        <v>40</v>
      </c>
      <c r="B14" s="95" t="s">
        <v>242</v>
      </c>
      <c r="C14" s="99"/>
      <c r="D14" s="95" t="s">
        <v>249</v>
      </c>
      <c r="E14" s="96">
        <v>9200</v>
      </c>
      <c r="F14" s="96">
        <f t="shared" si="0"/>
        <v>0</v>
      </c>
      <c r="G14" s="96">
        <f t="shared" si="1"/>
        <v>9200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44"/>
      <c r="AB14" s="44"/>
    </row>
    <row r="15" spans="1:28" s="37" customFormat="1" ht="15" thickBot="1" x14ac:dyDescent="0.35">
      <c r="A15" s="98" t="s">
        <v>237</v>
      </c>
      <c r="B15" s="95" t="s">
        <v>243</v>
      </c>
      <c r="C15" s="99"/>
      <c r="D15" s="95" t="s">
        <v>250</v>
      </c>
      <c r="E15" s="96">
        <v>9450</v>
      </c>
      <c r="F15" s="96">
        <f t="shared" si="0"/>
        <v>3987</v>
      </c>
      <c r="G15" s="96">
        <f t="shared" si="1"/>
        <v>5463</v>
      </c>
      <c r="H15" s="75"/>
      <c r="I15" s="75">
        <v>3987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44"/>
      <c r="AB15" s="44"/>
    </row>
    <row r="16" spans="1:28" s="37" customFormat="1" ht="15" thickBot="1" x14ac:dyDescent="0.35">
      <c r="A16" s="98" t="s">
        <v>56</v>
      </c>
      <c r="B16" s="95" t="s">
        <v>230</v>
      </c>
      <c r="C16" s="99"/>
      <c r="D16" s="95" t="s">
        <v>251</v>
      </c>
      <c r="E16" s="96">
        <v>2860</v>
      </c>
      <c r="F16" s="96">
        <f t="shared" si="0"/>
        <v>0</v>
      </c>
      <c r="G16" s="96">
        <f t="shared" si="1"/>
        <v>2860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44"/>
      <c r="AB16" s="44"/>
    </row>
    <row r="17" spans="1:28" ht="15" thickBot="1" x14ac:dyDescent="0.35">
      <c r="A17" s="161"/>
      <c r="B17" s="162"/>
      <c r="C17" s="163"/>
      <c r="D17" s="162"/>
      <c r="E17" s="164"/>
      <c r="F17" s="164"/>
      <c r="G17" s="164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45"/>
      <c r="AB17" s="45"/>
    </row>
    <row r="18" spans="1:28" s="14" customFormat="1" ht="15" thickBot="1" x14ac:dyDescent="0.35">
      <c r="A18" s="100" t="s">
        <v>48</v>
      </c>
      <c r="B18" s="43"/>
      <c r="C18" s="64"/>
      <c r="D18" s="43"/>
      <c r="E18" s="89">
        <f>SUM(E9:E17)</f>
        <v>62841</v>
      </c>
      <c r="F18" s="89">
        <f>SUM(F9:F17)</f>
        <v>21465</v>
      </c>
      <c r="G18" s="89">
        <f>SUM(G9:G17)</f>
        <v>41376</v>
      </c>
      <c r="H18" s="89">
        <f>SUM(H9:H16)</f>
        <v>0</v>
      </c>
      <c r="I18" s="89">
        <f>SUM(I9:I16)</f>
        <v>12379</v>
      </c>
      <c r="J18" s="89">
        <f>SUM(J9:J16)</f>
        <v>0</v>
      </c>
      <c r="K18" s="89">
        <f t="shared" ref="K18:AB18" si="2">SUM(K9:K17)</f>
        <v>2283</v>
      </c>
      <c r="L18" s="89">
        <f t="shared" si="2"/>
        <v>0</v>
      </c>
      <c r="M18" s="89">
        <f t="shared" si="2"/>
        <v>0</v>
      </c>
      <c r="N18" s="89">
        <f t="shared" si="2"/>
        <v>0</v>
      </c>
      <c r="O18" s="89">
        <f t="shared" si="2"/>
        <v>0</v>
      </c>
      <c r="P18" s="89">
        <f t="shared" si="2"/>
        <v>0</v>
      </c>
      <c r="Q18" s="89">
        <f t="shared" si="2"/>
        <v>0</v>
      </c>
      <c r="R18" s="89">
        <f t="shared" si="2"/>
        <v>0</v>
      </c>
      <c r="S18" s="89">
        <f t="shared" si="2"/>
        <v>0</v>
      </c>
      <c r="T18" s="89">
        <f t="shared" si="2"/>
        <v>0</v>
      </c>
      <c r="U18" s="89">
        <f t="shared" si="2"/>
        <v>0</v>
      </c>
      <c r="V18" s="89">
        <f t="shared" si="2"/>
        <v>6803</v>
      </c>
      <c r="W18" s="89">
        <f t="shared" si="2"/>
        <v>0</v>
      </c>
      <c r="X18" s="89">
        <f t="shared" si="2"/>
        <v>0</v>
      </c>
      <c r="Y18" s="89">
        <f t="shared" si="2"/>
        <v>0</v>
      </c>
      <c r="Z18" s="89">
        <f t="shared" si="2"/>
        <v>0</v>
      </c>
      <c r="AA18" s="89">
        <f t="shared" si="2"/>
        <v>0</v>
      </c>
      <c r="AB18" s="89">
        <f t="shared" si="2"/>
        <v>0</v>
      </c>
    </row>
    <row r="19" spans="1:28" x14ac:dyDescent="0.3">
      <c r="E19" s="46"/>
      <c r="F19" s="46"/>
      <c r="G19" s="46"/>
      <c r="AA19" s="30"/>
      <c r="AB19" s="30"/>
    </row>
    <row r="20" spans="1:28" x14ac:dyDescent="0.3">
      <c r="C20" s="46"/>
      <c r="D20" s="46"/>
      <c r="E20" s="46"/>
      <c r="F20" s="44"/>
      <c r="G20" s="44"/>
      <c r="L20" s="30"/>
      <c r="Q20" s="30"/>
      <c r="R20" s="30"/>
      <c r="X20" s="30"/>
      <c r="AA20" s="30"/>
      <c r="AB20" s="30"/>
    </row>
    <row r="21" spans="1:28" x14ac:dyDescent="0.3">
      <c r="C21" s="46"/>
      <c r="D21" s="46"/>
      <c r="E21" s="46"/>
      <c r="F21" s="44"/>
      <c r="G21" s="44"/>
      <c r="Q21" s="30"/>
      <c r="AA21" s="30"/>
      <c r="AB21" s="30"/>
    </row>
    <row r="22" spans="1:28" x14ac:dyDescent="0.3">
      <c r="C22" s="46"/>
      <c r="D22" s="46"/>
      <c r="E22" s="46"/>
      <c r="F22" s="44"/>
      <c r="G22" s="44"/>
      <c r="AA22" s="30"/>
      <c r="AB22" s="30"/>
    </row>
    <row r="23" spans="1:28" x14ac:dyDescent="0.3">
      <c r="C23" s="46"/>
      <c r="D23" s="46"/>
      <c r="E23" s="46"/>
      <c r="F23" s="44"/>
      <c r="G23" s="44"/>
      <c r="AA23" s="30"/>
      <c r="AB23" s="30"/>
    </row>
    <row r="24" spans="1:28" x14ac:dyDescent="0.3">
      <c r="C24" s="46"/>
      <c r="D24" s="46"/>
      <c r="E24" s="46"/>
      <c r="F24" s="44"/>
      <c r="G24" s="44"/>
      <c r="AA24" s="30"/>
      <c r="AB24" s="30"/>
    </row>
    <row r="25" spans="1:28" x14ac:dyDescent="0.3">
      <c r="C25" s="46"/>
      <c r="D25" s="46"/>
      <c r="E25" s="46"/>
      <c r="F25" s="44"/>
      <c r="G25" s="44"/>
      <c r="AA25" s="30"/>
      <c r="AB25" s="30"/>
    </row>
    <row r="26" spans="1:28" x14ac:dyDescent="0.3">
      <c r="C26" s="46"/>
      <c r="D26" s="46"/>
      <c r="E26" s="46"/>
      <c r="F26" s="44"/>
      <c r="G26" s="44"/>
      <c r="AA26" s="30"/>
      <c r="AB26" s="30"/>
    </row>
    <row r="27" spans="1:28" x14ac:dyDescent="0.3">
      <c r="C27" s="46"/>
      <c r="D27" s="46"/>
      <c r="E27" s="46"/>
      <c r="F27" s="44"/>
      <c r="G27" s="44"/>
      <c r="AA27" s="30"/>
      <c r="AB27" s="30"/>
    </row>
    <row r="28" spans="1:28" x14ac:dyDescent="0.3">
      <c r="C28" s="46"/>
      <c r="D28" s="46"/>
      <c r="E28" s="46"/>
      <c r="F28" s="44"/>
      <c r="G28" s="44"/>
      <c r="AA28" s="30"/>
      <c r="AB28" s="30"/>
    </row>
    <row r="29" spans="1:28" x14ac:dyDescent="0.3">
      <c r="C29" s="46"/>
      <c r="D29" s="46"/>
      <c r="E29" s="46"/>
      <c r="F29" s="44"/>
      <c r="G29" s="44"/>
      <c r="AA29" s="30"/>
      <c r="AB29" s="30"/>
    </row>
    <row r="30" spans="1:28" x14ac:dyDescent="0.3">
      <c r="C30" s="46"/>
      <c r="D30" s="46"/>
      <c r="E30" s="46"/>
      <c r="F30" s="44"/>
      <c r="G30" s="44"/>
      <c r="AA30" s="30"/>
      <c r="AB30" s="30"/>
    </row>
    <row r="31" spans="1:28" x14ac:dyDescent="0.3">
      <c r="C31" s="46"/>
      <c r="D31" s="46"/>
      <c r="E31" s="46"/>
      <c r="F31" s="44"/>
      <c r="G31" s="44"/>
      <c r="AA31" s="30"/>
      <c r="AB31" s="30"/>
    </row>
    <row r="32" spans="1:28" x14ac:dyDescent="0.3">
      <c r="C32" s="46"/>
      <c r="D32" s="46"/>
      <c r="E32" s="46"/>
      <c r="F32" s="44"/>
      <c r="G32" s="44"/>
    </row>
    <row r="33" spans="3:7" x14ac:dyDescent="0.3">
      <c r="C33" s="46"/>
      <c r="D33" s="46"/>
      <c r="E33" s="46"/>
      <c r="F33" s="44"/>
      <c r="G33" s="44"/>
    </row>
    <row r="34" spans="3:7" x14ac:dyDescent="0.3">
      <c r="C34" s="46"/>
      <c r="D34" s="46"/>
      <c r="E34" s="46"/>
      <c r="F34" s="44"/>
      <c r="G34" s="44"/>
    </row>
    <row r="35" spans="3:7" x14ac:dyDescent="0.3">
      <c r="C35" s="46"/>
      <c r="D35" s="46"/>
      <c r="E35" s="46"/>
      <c r="F35" s="44"/>
      <c r="G35" s="44"/>
    </row>
    <row r="36" spans="3:7" x14ac:dyDescent="0.3">
      <c r="E36" s="46"/>
      <c r="F36" s="46"/>
      <c r="G36" s="46"/>
    </row>
    <row r="37" spans="3:7" x14ac:dyDescent="0.3">
      <c r="E37" s="46"/>
      <c r="F37" s="46"/>
      <c r="G37" s="46"/>
    </row>
    <row r="38" spans="3:7" x14ac:dyDescent="0.3">
      <c r="E38" s="46"/>
      <c r="F38" s="46"/>
      <c r="G38" s="46"/>
    </row>
    <row r="39" spans="3:7" x14ac:dyDescent="0.3">
      <c r="E39" s="46"/>
      <c r="F39" s="46"/>
      <c r="G39" s="46"/>
    </row>
    <row r="40" spans="3:7" x14ac:dyDescent="0.3">
      <c r="E40" s="46"/>
      <c r="F40" s="46"/>
      <c r="G40" s="46"/>
    </row>
    <row r="41" spans="3:7" x14ac:dyDescent="0.3">
      <c r="F41" s="46"/>
      <c r="G41" s="46"/>
    </row>
    <row r="42" spans="3:7" x14ac:dyDescent="0.3">
      <c r="F42" s="46"/>
      <c r="G42" s="46"/>
    </row>
    <row r="43" spans="3:7" x14ac:dyDescent="0.3">
      <c r="F43" s="46"/>
      <c r="G43" s="46"/>
    </row>
  </sheetData>
  <sheetProtection password="E89A" sheet="1" objects="1" scenarios="1"/>
  <mergeCells count="1">
    <mergeCell ref="A7:G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2"/>
  </sheetPr>
  <dimension ref="A1:AB41"/>
  <sheetViews>
    <sheetView workbookViewId="0">
      <pane xSplit="7" ySplit="8" topLeftCell="H18" activePane="bottomRight" state="frozen"/>
      <selection activeCell="A8" sqref="A8:XFD8"/>
      <selection pane="topRight" activeCell="A8" sqref="A8:XFD8"/>
      <selection pane="bottomLeft" activeCell="A8" sqref="A8:XFD8"/>
      <selection pane="bottomRight" activeCell="A8" sqref="A8:XFD8"/>
    </sheetView>
  </sheetViews>
  <sheetFormatPr defaultColWidth="8.88671875" defaultRowHeight="14.4" x14ac:dyDescent="0.3"/>
  <cols>
    <col min="1" max="1" width="8.88671875" style="65"/>
    <col min="2" max="2" width="31.5546875" style="44" customWidth="1"/>
    <col min="3" max="3" width="16.109375" style="65" customWidth="1"/>
    <col min="4" max="4" width="21.33203125" style="44" customWidth="1"/>
    <col min="5" max="5" width="19.33203125" style="45" customWidth="1"/>
    <col min="6" max="7" width="14.6640625" style="45" customWidth="1"/>
    <col min="8" max="26" width="15.6640625" style="44" customWidth="1"/>
    <col min="27" max="28" width="21.33203125" style="44" customWidth="1"/>
    <col min="29" max="16384" width="8.88671875" style="44"/>
  </cols>
  <sheetData>
    <row r="1" spans="1:28" s="45" customFormat="1" ht="21" x14ac:dyDescent="0.4">
      <c r="A1" s="62" t="s">
        <v>0</v>
      </c>
      <c r="B1" s="53"/>
      <c r="C1" s="66" t="s">
        <v>407</v>
      </c>
      <c r="D1" s="50"/>
      <c r="E1" s="50"/>
      <c r="F1" s="50"/>
      <c r="G1" s="54"/>
      <c r="H1" s="53"/>
      <c r="I1" s="48"/>
      <c r="J1" s="66" t="str">
        <f>$C$1</f>
        <v>CDC Improving Student Health</v>
      </c>
      <c r="K1" s="53"/>
      <c r="L1" s="53"/>
      <c r="M1" s="48"/>
      <c r="N1" s="53"/>
      <c r="O1" s="53"/>
      <c r="P1" s="66" t="str">
        <f>$C$1</f>
        <v>CDC Improving Student Health</v>
      </c>
      <c r="Q1" s="48"/>
      <c r="R1" s="48"/>
      <c r="S1" s="53"/>
      <c r="T1" s="48"/>
      <c r="U1" s="53"/>
      <c r="V1" s="53"/>
      <c r="W1" s="66" t="str">
        <f>$C$1</f>
        <v>CDC Improving Student Health</v>
      </c>
      <c r="X1" s="53"/>
      <c r="Y1" s="48"/>
      <c r="Z1" s="53"/>
      <c r="AA1" s="47"/>
      <c r="AB1" s="47"/>
    </row>
    <row r="2" spans="1:28" s="3" customFormat="1" ht="21" x14ac:dyDescent="0.4">
      <c r="A2" s="47" t="s">
        <v>171</v>
      </c>
      <c r="B2" s="49"/>
      <c r="C2" s="62" t="s">
        <v>408</v>
      </c>
      <c r="D2" s="48"/>
      <c r="E2" s="48"/>
      <c r="F2" s="48"/>
      <c r="G2" s="15"/>
      <c r="H2" s="49"/>
      <c r="I2" s="49"/>
      <c r="J2" s="50" t="str">
        <f>"FY"&amp;$C$4</f>
        <v>FY2018-19</v>
      </c>
      <c r="K2" s="49"/>
      <c r="L2" s="49"/>
      <c r="M2" s="49"/>
      <c r="N2" s="49"/>
      <c r="O2" s="49"/>
      <c r="P2" s="50" t="str">
        <f>"FY"&amp;$C$4</f>
        <v>FY2018-19</v>
      </c>
      <c r="Q2" s="49"/>
      <c r="R2" s="49"/>
      <c r="S2" s="49"/>
      <c r="T2" s="49"/>
      <c r="U2" s="49"/>
      <c r="V2" s="49"/>
      <c r="W2" s="50" t="str">
        <f>"FY"&amp;$C$4</f>
        <v>FY2018-19</v>
      </c>
      <c r="X2" s="49"/>
      <c r="Y2" s="49"/>
      <c r="Z2" s="49"/>
      <c r="AA2" s="47"/>
      <c r="AB2" s="47"/>
    </row>
    <row r="3" spans="1:28" s="45" customFormat="1" ht="15.6" x14ac:dyDescent="0.3">
      <c r="A3" s="63" t="s">
        <v>1</v>
      </c>
      <c r="B3" s="53"/>
      <c r="C3" s="67" t="s">
        <v>409</v>
      </c>
      <c r="D3" s="50"/>
      <c r="E3" s="50"/>
      <c r="F3" s="50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4"/>
    </row>
    <row r="4" spans="1:28" s="45" customFormat="1" ht="15.6" x14ac:dyDescent="0.3">
      <c r="A4" s="63" t="s">
        <v>2</v>
      </c>
      <c r="B4" s="53"/>
      <c r="C4" s="67" t="s">
        <v>188</v>
      </c>
      <c r="D4" s="50"/>
      <c r="E4" s="50"/>
      <c r="F4" s="50"/>
      <c r="G4" s="5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</row>
    <row r="5" spans="1:28" s="45" customFormat="1" ht="15.6" x14ac:dyDescent="0.3">
      <c r="A5" s="63" t="s">
        <v>18</v>
      </c>
      <c r="B5" s="53"/>
      <c r="C5" s="63" t="s">
        <v>279</v>
      </c>
      <c r="D5" s="50"/>
      <c r="E5" s="50"/>
      <c r="F5" s="50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2"/>
      <c r="AB5" s="52"/>
    </row>
    <row r="6" spans="1:28" s="45" customFormat="1" ht="15.6" x14ac:dyDescent="0.3">
      <c r="A6" s="63" t="s">
        <v>19</v>
      </c>
      <c r="B6" s="53"/>
      <c r="C6" s="67" t="s">
        <v>32</v>
      </c>
      <c r="D6" s="50"/>
      <c r="E6" s="50"/>
      <c r="F6" s="50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2"/>
      <c r="AB6" s="52"/>
    </row>
    <row r="7" spans="1:28" s="45" customFormat="1" ht="24" thickBot="1" x14ac:dyDescent="0.5">
      <c r="A7" s="315"/>
      <c r="B7" s="316"/>
      <c r="C7" s="316"/>
      <c r="D7" s="316"/>
      <c r="E7" s="316"/>
      <c r="F7" s="317"/>
      <c r="G7" s="317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2"/>
      <c r="AB7" s="52"/>
    </row>
    <row r="8" spans="1:28" ht="29.4" thickBot="1" x14ac:dyDescent="0.35">
      <c r="A8" s="11" t="s">
        <v>161</v>
      </c>
      <c r="B8" s="12" t="s">
        <v>155</v>
      </c>
      <c r="C8" s="13" t="s">
        <v>15</v>
      </c>
      <c r="D8" s="12" t="s">
        <v>16</v>
      </c>
      <c r="E8" s="29" t="s">
        <v>17</v>
      </c>
      <c r="F8" s="26" t="s">
        <v>67</v>
      </c>
      <c r="G8" s="27" t="s">
        <v>68</v>
      </c>
      <c r="H8" s="26" t="s">
        <v>69</v>
      </c>
      <c r="I8" s="27" t="s">
        <v>141</v>
      </c>
      <c r="J8" s="26" t="s">
        <v>142</v>
      </c>
      <c r="K8" s="27" t="s">
        <v>152</v>
      </c>
      <c r="L8" s="27" t="s">
        <v>143</v>
      </c>
      <c r="M8" s="27" t="s">
        <v>144</v>
      </c>
      <c r="N8" s="27" t="s">
        <v>145</v>
      </c>
      <c r="O8" s="27" t="s">
        <v>146</v>
      </c>
      <c r="P8" s="27" t="s">
        <v>147</v>
      </c>
      <c r="Q8" s="27" t="s">
        <v>148</v>
      </c>
      <c r="R8" s="26" t="s">
        <v>149</v>
      </c>
      <c r="S8" s="27" t="s">
        <v>150</v>
      </c>
      <c r="T8" s="27" t="s">
        <v>151</v>
      </c>
      <c r="U8" s="27" t="s">
        <v>189</v>
      </c>
      <c r="V8" s="26" t="s">
        <v>190</v>
      </c>
      <c r="W8" s="27" t="s">
        <v>153</v>
      </c>
      <c r="X8" s="27" t="s">
        <v>151</v>
      </c>
      <c r="Y8" s="12" t="s">
        <v>183</v>
      </c>
      <c r="Z8" s="12" t="s">
        <v>184</v>
      </c>
    </row>
    <row r="9" spans="1:28" s="37" customFormat="1" ht="15" thickBot="1" x14ac:dyDescent="0.35">
      <c r="A9" s="98" t="s">
        <v>23</v>
      </c>
      <c r="B9" s="95" t="s">
        <v>410</v>
      </c>
      <c r="C9" s="96">
        <v>17000</v>
      </c>
      <c r="D9" s="96">
        <f>SUM(F9:Z9)</f>
        <v>17000</v>
      </c>
      <c r="E9" s="96">
        <f>C9-D9</f>
        <v>0</v>
      </c>
      <c r="F9" s="131"/>
      <c r="G9" s="120"/>
      <c r="H9" s="120"/>
      <c r="I9" s="120"/>
      <c r="J9" s="120"/>
      <c r="K9" s="120">
        <v>17000</v>
      </c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44"/>
      <c r="Z9" s="44"/>
    </row>
    <row r="10" spans="1:28" s="37" customFormat="1" ht="15" thickBot="1" x14ac:dyDescent="0.35">
      <c r="A10" s="98" t="s">
        <v>50</v>
      </c>
      <c r="B10" s="95" t="s">
        <v>119</v>
      </c>
      <c r="C10" s="96">
        <v>17000</v>
      </c>
      <c r="D10" s="96">
        <f t="shared" ref="D10:D14" si="0">SUM(F10:Z10)</f>
        <v>17000</v>
      </c>
      <c r="E10" s="96">
        <f t="shared" ref="E10:E14" si="1">C10-D10</f>
        <v>0</v>
      </c>
      <c r="F10" s="75"/>
      <c r="G10" s="75"/>
      <c r="H10" s="75"/>
      <c r="I10" s="75"/>
      <c r="J10" s="75"/>
      <c r="K10" s="75">
        <v>17000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44"/>
      <c r="Z10" s="44"/>
    </row>
    <row r="11" spans="1:28" s="37" customFormat="1" ht="15" thickBot="1" x14ac:dyDescent="0.35">
      <c r="A11" s="98" t="s">
        <v>34</v>
      </c>
      <c r="B11" s="95" t="s">
        <v>411</v>
      </c>
      <c r="C11" s="96">
        <v>17000</v>
      </c>
      <c r="D11" s="96">
        <f t="shared" si="0"/>
        <v>17000</v>
      </c>
      <c r="E11" s="96">
        <f t="shared" si="1"/>
        <v>0</v>
      </c>
      <c r="F11" s="75"/>
      <c r="G11" s="75"/>
      <c r="H11" s="75"/>
      <c r="I11" s="75"/>
      <c r="J11" s="75"/>
      <c r="K11" s="75">
        <v>17000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44"/>
      <c r="Z11" s="44"/>
    </row>
    <row r="12" spans="1:28" s="37" customFormat="1" ht="15" thickBot="1" x14ac:dyDescent="0.35">
      <c r="A12" s="98" t="s">
        <v>43</v>
      </c>
      <c r="B12" s="95" t="s">
        <v>412</v>
      </c>
      <c r="C12" s="96">
        <v>17000</v>
      </c>
      <c r="D12" s="96">
        <f t="shared" si="0"/>
        <v>17000</v>
      </c>
      <c r="E12" s="96">
        <f t="shared" si="1"/>
        <v>0</v>
      </c>
      <c r="F12" s="75"/>
      <c r="G12" s="75"/>
      <c r="H12" s="75"/>
      <c r="I12" s="75"/>
      <c r="J12" s="75"/>
      <c r="K12" s="75">
        <v>17000</v>
      </c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44"/>
      <c r="Z12" s="44"/>
    </row>
    <row r="13" spans="1:28" s="37" customFormat="1" ht="15" thickBot="1" x14ac:dyDescent="0.35">
      <c r="A13" s="98" t="s">
        <v>38</v>
      </c>
      <c r="B13" s="95" t="s">
        <v>413</v>
      </c>
      <c r="C13" s="96">
        <v>17000</v>
      </c>
      <c r="D13" s="96">
        <f t="shared" si="0"/>
        <v>17000</v>
      </c>
      <c r="E13" s="96">
        <f t="shared" si="1"/>
        <v>0</v>
      </c>
      <c r="F13" s="75"/>
      <c r="G13" s="75"/>
      <c r="H13" s="75"/>
      <c r="I13" s="75"/>
      <c r="J13" s="75"/>
      <c r="K13" s="75">
        <v>17000</v>
      </c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44"/>
      <c r="Z13" s="44"/>
    </row>
    <row r="14" spans="1:28" s="37" customFormat="1" ht="15" thickBot="1" x14ac:dyDescent="0.35">
      <c r="A14" s="98" t="s">
        <v>42</v>
      </c>
      <c r="B14" s="95" t="s">
        <v>414</v>
      </c>
      <c r="C14" s="96">
        <v>17000</v>
      </c>
      <c r="D14" s="96">
        <f t="shared" si="0"/>
        <v>17000</v>
      </c>
      <c r="E14" s="96">
        <f t="shared" si="1"/>
        <v>0</v>
      </c>
      <c r="F14" s="75"/>
      <c r="G14" s="75"/>
      <c r="H14" s="75"/>
      <c r="I14" s="75"/>
      <c r="J14" s="75"/>
      <c r="K14" s="75">
        <v>17000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44"/>
      <c r="Z14" s="44"/>
    </row>
    <row r="15" spans="1:28" ht="15" thickBot="1" x14ac:dyDescent="0.35">
      <c r="A15" s="161"/>
      <c r="B15" s="162"/>
      <c r="C15" s="164"/>
      <c r="D15" s="164"/>
      <c r="E15" s="164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45"/>
      <c r="Z15" s="45"/>
    </row>
    <row r="16" spans="1:28" s="14" customFormat="1" ht="15" thickBot="1" x14ac:dyDescent="0.35">
      <c r="A16" s="100" t="s">
        <v>48</v>
      </c>
      <c r="B16" s="43"/>
      <c r="C16" s="89">
        <f>SUM(C9:C15)</f>
        <v>102000</v>
      </c>
      <c r="D16" s="89">
        <f>SUM(D9:D15)</f>
        <v>102000</v>
      </c>
      <c r="E16" s="89">
        <f>SUM(E9:E15)</f>
        <v>0</v>
      </c>
      <c r="F16" s="89">
        <f>SUM(F9:F14)</f>
        <v>0</v>
      </c>
      <c r="G16" s="89">
        <f>SUM(G9:G14)</f>
        <v>0</v>
      </c>
      <c r="H16" s="89">
        <f>SUM(H9:H14)</f>
        <v>0</v>
      </c>
      <c r="I16" s="89">
        <f t="shared" ref="I16:Z16" si="2">SUM(I9:I15)</f>
        <v>0</v>
      </c>
      <c r="J16" s="89">
        <f t="shared" si="2"/>
        <v>0</v>
      </c>
      <c r="K16" s="89">
        <f t="shared" si="2"/>
        <v>102000</v>
      </c>
      <c r="L16" s="89">
        <f t="shared" si="2"/>
        <v>0</v>
      </c>
      <c r="M16" s="89">
        <f t="shared" si="2"/>
        <v>0</v>
      </c>
      <c r="N16" s="89">
        <f t="shared" si="2"/>
        <v>0</v>
      </c>
      <c r="O16" s="89">
        <f t="shared" si="2"/>
        <v>0</v>
      </c>
      <c r="P16" s="89">
        <f t="shared" si="2"/>
        <v>0</v>
      </c>
      <c r="Q16" s="89">
        <f t="shared" si="2"/>
        <v>0</v>
      </c>
      <c r="R16" s="89">
        <f t="shared" si="2"/>
        <v>0</v>
      </c>
      <c r="S16" s="89">
        <f t="shared" si="2"/>
        <v>0</v>
      </c>
      <c r="T16" s="89">
        <f t="shared" si="2"/>
        <v>0</v>
      </c>
      <c r="U16" s="89">
        <f t="shared" si="2"/>
        <v>0</v>
      </c>
      <c r="V16" s="89">
        <f t="shared" si="2"/>
        <v>0</v>
      </c>
      <c r="W16" s="89">
        <f t="shared" si="2"/>
        <v>0</v>
      </c>
      <c r="X16" s="89">
        <f t="shared" si="2"/>
        <v>0</v>
      </c>
      <c r="Y16" s="89">
        <f t="shared" si="2"/>
        <v>0</v>
      </c>
      <c r="Z16" s="89">
        <f t="shared" si="2"/>
        <v>0</v>
      </c>
    </row>
    <row r="17" spans="3:28" x14ac:dyDescent="0.3">
      <c r="E17" s="46"/>
      <c r="F17" s="46"/>
      <c r="G17" s="46"/>
      <c r="AA17" s="30"/>
      <c r="AB17" s="30"/>
    </row>
    <row r="18" spans="3:28" x14ac:dyDescent="0.3">
      <c r="C18" s="46"/>
      <c r="D18" s="46"/>
      <c r="E18" s="46"/>
      <c r="F18" s="44"/>
      <c r="G18" s="44"/>
      <c r="L18" s="30"/>
      <c r="Q18" s="30"/>
      <c r="R18" s="30"/>
      <c r="X18" s="30"/>
      <c r="AA18" s="30"/>
      <c r="AB18" s="30"/>
    </row>
    <row r="19" spans="3:28" x14ac:dyDescent="0.3">
      <c r="C19" s="46"/>
      <c r="D19" s="46"/>
      <c r="E19" s="46"/>
      <c r="F19" s="44"/>
      <c r="G19" s="44"/>
      <c r="Q19" s="30"/>
      <c r="AA19" s="30"/>
      <c r="AB19" s="30"/>
    </row>
    <row r="20" spans="3:28" x14ac:dyDescent="0.3">
      <c r="C20" s="46"/>
      <c r="D20" s="46"/>
      <c r="E20" s="46"/>
      <c r="F20" s="44"/>
      <c r="G20" s="44"/>
      <c r="AA20" s="30"/>
      <c r="AB20" s="30"/>
    </row>
    <row r="21" spans="3:28" x14ac:dyDescent="0.3">
      <c r="C21" s="46"/>
      <c r="D21" s="46"/>
      <c r="E21" s="46"/>
      <c r="F21" s="44"/>
      <c r="G21" s="44"/>
      <c r="AA21" s="30"/>
      <c r="AB21" s="30"/>
    </row>
    <row r="22" spans="3:28" x14ac:dyDescent="0.3">
      <c r="C22" s="46"/>
      <c r="D22" s="46"/>
      <c r="E22" s="46"/>
      <c r="F22" s="44"/>
      <c r="G22" s="44"/>
      <c r="AA22" s="30"/>
      <c r="AB22" s="30"/>
    </row>
    <row r="23" spans="3:28" x14ac:dyDescent="0.3">
      <c r="C23" s="46"/>
      <c r="D23" s="46"/>
      <c r="E23" s="46"/>
      <c r="F23" s="44"/>
      <c r="G23" s="44"/>
      <c r="AA23" s="30"/>
      <c r="AB23" s="30"/>
    </row>
    <row r="24" spans="3:28" x14ac:dyDescent="0.3">
      <c r="C24" s="46"/>
      <c r="D24" s="46"/>
      <c r="E24" s="46"/>
      <c r="F24" s="44"/>
      <c r="G24" s="44"/>
      <c r="AA24" s="30"/>
      <c r="AB24" s="30"/>
    </row>
    <row r="25" spans="3:28" x14ac:dyDescent="0.3">
      <c r="C25" s="46"/>
      <c r="D25" s="46"/>
      <c r="E25" s="46"/>
      <c r="F25" s="44"/>
      <c r="G25" s="44"/>
      <c r="AA25" s="30"/>
      <c r="AB25" s="30"/>
    </row>
    <row r="26" spans="3:28" x14ac:dyDescent="0.3">
      <c r="C26" s="46"/>
      <c r="D26" s="46"/>
      <c r="E26" s="46"/>
      <c r="F26" s="44"/>
      <c r="G26" s="44"/>
      <c r="AA26" s="30"/>
      <c r="AB26" s="30"/>
    </row>
    <row r="27" spans="3:28" x14ac:dyDescent="0.3">
      <c r="C27" s="46"/>
      <c r="D27" s="46"/>
      <c r="E27" s="46"/>
      <c r="F27" s="44"/>
      <c r="G27" s="44"/>
      <c r="AA27" s="30"/>
      <c r="AB27" s="30"/>
    </row>
    <row r="28" spans="3:28" x14ac:dyDescent="0.3">
      <c r="C28" s="46"/>
      <c r="D28" s="46"/>
      <c r="E28" s="46"/>
      <c r="F28" s="44"/>
      <c r="G28" s="44"/>
      <c r="AA28" s="30"/>
      <c r="AB28" s="30"/>
    </row>
    <row r="29" spans="3:28" x14ac:dyDescent="0.3">
      <c r="C29" s="46"/>
      <c r="D29" s="46"/>
      <c r="E29" s="46"/>
      <c r="F29" s="44"/>
      <c r="G29" s="44"/>
      <c r="AA29" s="30"/>
      <c r="AB29" s="30"/>
    </row>
    <row r="30" spans="3:28" x14ac:dyDescent="0.3">
      <c r="C30" s="46"/>
      <c r="D30" s="46"/>
      <c r="E30" s="46"/>
      <c r="F30" s="44"/>
      <c r="G30" s="44"/>
    </row>
    <row r="31" spans="3:28" x14ac:dyDescent="0.3">
      <c r="C31" s="46"/>
      <c r="D31" s="46"/>
      <c r="E31" s="46"/>
      <c r="F31" s="44"/>
      <c r="G31" s="44"/>
    </row>
    <row r="32" spans="3:28" x14ac:dyDescent="0.3">
      <c r="C32" s="46"/>
      <c r="D32" s="46"/>
      <c r="E32" s="46"/>
      <c r="F32" s="44"/>
      <c r="G32" s="44"/>
    </row>
    <row r="33" spans="3:7" x14ac:dyDescent="0.3">
      <c r="C33" s="46"/>
      <c r="D33" s="46"/>
      <c r="E33" s="46"/>
      <c r="F33" s="44"/>
      <c r="G33" s="44"/>
    </row>
    <row r="34" spans="3:7" x14ac:dyDescent="0.3">
      <c r="E34" s="46"/>
      <c r="F34" s="46"/>
      <c r="G34" s="46"/>
    </row>
    <row r="35" spans="3:7" x14ac:dyDescent="0.3">
      <c r="E35" s="46"/>
      <c r="F35" s="46"/>
      <c r="G35" s="46"/>
    </row>
    <row r="36" spans="3:7" x14ac:dyDescent="0.3">
      <c r="E36" s="46"/>
      <c r="F36" s="46"/>
      <c r="G36" s="46"/>
    </row>
    <row r="37" spans="3:7" x14ac:dyDescent="0.3">
      <c r="E37" s="46"/>
      <c r="F37" s="46"/>
      <c r="G37" s="46"/>
    </row>
    <row r="38" spans="3:7" x14ac:dyDescent="0.3">
      <c r="E38" s="46"/>
      <c r="F38" s="46"/>
      <c r="G38" s="46"/>
    </row>
    <row r="39" spans="3:7" x14ac:dyDescent="0.3">
      <c r="F39" s="46"/>
      <c r="G39" s="46"/>
    </row>
    <row r="40" spans="3:7" x14ac:dyDescent="0.3">
      <c r="F40" s="46"/>
      <c r="G40" s="46"/>
    </row>
    <row r="41" spans="3:7" x14ac:dyDescent="0.3">
      <c r="F41" s="46"/>
      <c r="G41" s="46"/>
    </row>
  </sheetData>
  <sheetProtection algorithmName="SHA-512" hashValue="J9WhaPuXMRhsSeOOkhVq3boFxceCddoGwa5W0mJBhNxqGXn5nTmOdAB04ZkWyfmcXr6bHfIdLk3f8NCyeguNJg==" saltValue="lW9Unce1MmIV9o4nFtPM7Q==" spinCount="100000" sheet="1" objects="1" scenarios="1"/>
  <mergeCells count="1">
    <mergeCell ref="A7:G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7">
    <tabColor theme="2"/>
  </sheetPr>
  <dimension ref="A1:AB46"/>
  <sheetViews>
    <sheetView workbookViewId="0">
      <pane xSplit="5" ySplit="8" topLeftCell="F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E24" sqref="E24"/>
    </sheetView>
  </sheetViews>
  <sheetFormatPr defaultColWidth="8.88671875" defaultRowHeight="14.4" x14ac:dyDescent="0.3"/>
  <cols>
    <col min="1" max="1" width="9.5546875" style="44" customWidth="1"/>
    <col min="2" max="2" width="30.109375" style="44" customWidth="1"/>
    <col min="3" max="5" width="14.6640625" style="44" customWidth="1"/>
    <col min="6" max="26" width="12.6640625" style="44" customWidth="1"/>
    <col min="27" max="28" width="21.33203125" style="44" customWidth="1"/>
    <col min="29" max="16384" width="8.88671875" style="44"/>
  </cols>
  <sheetData>
    <row r="1" spans="1:28" ht="21" x14ac:dyDescent="0.4">
      <c r="A1" s="47" t="s">
        <v>0</v>
      </c>
      <c r="B1" s="53"/>
      <c r="C1" s="48" t="s">
        <v>186</v>
      </c>
      <c r="D1" s="47"/>
      <c r="E1" s="49"/>
      <c r="F1" s="48"/>
      <c r="G1" s="48"/>
      <c r="H1" s="48"/>
      <c r="I1" s="47"/>
      <c r="J1" s="47"/>
      <c r="K1" s="49"/>
      <c r="L1" s="47" t="str">
        <f>$C$1</f>
        <v>Deaf and Blind Centers</v>
      </c>
      <c r="M1" s="54"/>
      <c r="N1" s="54"/>
      <c r="O1" s="48"/>
      <c r="P1" s="48"/>
      <c r="Q1" s="47"/>
      <c r="R1" s="47" t="str">
        <f>$C$1</f>
        <v>Deaf and Blind Centers</v>
      </c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21" x14ac:dyDescent="0.4">
      <c r="A2" s="47" t="s">
        <v>171</v>
      </c>
      <c r="B2" s="49"/>
      <c r="C2" s="47" t="s">
        <v>187</v>
      </c>
      <c r="D2" s="50"/>
      <c r="E2" s="9"/>
      <c r="F2" s="9"/>
      <c r="G2" s="9"/>
      <c r="H2" s="9"/>
      <c r="I2" s="52"/>
      <c r="J2" s="52"/>
      <c r="K2" s="52"/>
      <c r="L2" s="137" t="str">
        <f>"FY"&amp;$C$4</f>
        <v>FY2018-19</v>
      </c>
      <c r="M2" s="52"/>
      <c r="N2" s="52"/>
      <c r="O2" s="52"/>
      <c r="P2" s="52"/>
      <c r="Q2" s="52"/>
      <c r="R2" s="137" t="str">
        <f>"FY"&amp;$C$4</f>
        <v>FY2018-19</v>
      </c>
      <c r="S2" s="52"/>
      <c r="T2" s="52"/>
      <c r="U2" s="52"/>
      <c r="V2" s="52"/>
      <c r="W2" s="52"/>
      <c r="X2" s="52"/>
      <c r="Y2" s="52"/>
      <c r="Z2" s="52"/>
      <c r="AA2" s="47"/>
      <c r="AB2" s="47"/>
    </row>
    <row r="3" spans="1:28" ht="15.6" x14ac:dyDescent="0.3">
      <c r="A3" s="50" t="s">
        <v>1</v>
      </c>
      <c r="B3" s="53"/>
      <c r="C3" s="51">
        <v>5326</v>
      </c>
      <c r="D3" s="50"/>
      <c r="E3" s="19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15.6" x14ac:dyDescent="0.3">
      <c r="A4" s="50" t="s">
        <v>2</v>
      </c>
      <c r="B4" s="53"/>
      <c r="C4" s="51" t="s">
        <v>188</v>
      </c>
      <c r="D4" s="50"/>
      <c r="E4" s="19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ht="15.6" x14ac:dyDescent="0.3">
      <c r="A5" s="50" t="s">
        <v>18</v>
      </c>
      <c r="B5" s="53"/>
      <c r="C5" s="50" t="s">
        <v>269</v>
      </c>
      <c r="D5" s="50"/>
      <c r="E5" s="9"/>
      <c r="F5" s="9"/>
      <c r="G5" s="9"/>
      <c r="H5" s="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5.6" x14ac:dyDescent="0.3">
      <c r="A6" s="50" t="s">
        <v>19</v>
      </c>
      <c r="B6" s="53"/>
      <c r="C6" s="50" t="s">
        <v>47</v>
      </c>
      <c r="D6" s="50"/>
      <c r="E6" s="9"/>
      <c r="F6" s="9"/>
      <c r="G6" s="9"/>
      <c r="H6" s="9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16.2" thickBot="1" x14ac:dyDescent="0.35">
      <c r="A7" s="50"/>
      <c r="B7" s="53"/>
      <c r="C7" s="50"/>
      <c r="D7" s="50"/>
      <c r="E7" s="9"/>
      <c r="F7" s="9"/>
      <c r="G7" s="9"/>
      <c r="H7" s="9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29.4" thickBot="1" x14ac:dyDescent="0.35">
      <c r="A8" s="133" t="s">
        <v>161</v>
      </c>
      <c r="B8" s="12" t="s">
        <v>155</v>
      </c>
      <c r="C8" s="12" t="s">
        <v>15</v>
      </c>
      <c r="D8" s="13" t="s">
        <v>16</v>
      </c>
      <c r="E8" s="29" t="s">
        <v>17</v>
      </c>
      <c r="F8" s="26" t="s">
        <v>61</v>
      </c>
      <c r="G8" s="27" t="s">
        <v>62</v>
      </c>
      <c r="H8" s="26" t="s">
        <v>63</v>
      </c>
      <c r="I8" s="27" t="s">
        <v>64</v>
      </c>
      <c r="J8" s="26" t="s">
        <v>65</v>
      </c>
      <c r="K8" s="27" t="s">
        <v>66</v>
      </c>
      <c r="L8" s="27" t="s">
        <v>67</v>
      </c>
      <c r="M8" s="27" t="s">
        <v>68</v>
      </c>
      <c r="N8" s="27" t="s">
        <v>69</v>
      </c>
      <c r="O8" s="27" t="s">
        <v>141</v>
      </c>
      <c r="P8" s="27" t="s">
        <v>142</v>
      </c>
      <c r="Q8" s="27" t="s">
        <v>152</v>
      </c>
      <c r="R8" s="27" t="s">
        <v>143</v>
      </c>
      <c r="S8" s="27" t="s">
        <v>144</v>
      </c>
      <c r="T8" s="27" t="s">
        <v>145</v>
      </c>
      <c r="U8" s="27" t="s">
        <v>146</v>
      </c>
      <c r="V8" s="27" t="s">
        <v>147</v>
      </c>
      <c r="W8" s="27" t="s">
        <v>148</v>
      </c>
      <c r="X8" s="27" t="s">
        <v>149</v>
      </c>
      <c r="Y8" s="27" t="s">
        <v>150</v>
      </c>
      <c r="Z8" s="27" t="s">
        <v>151</v>
      </c>
      <c r="AA8" s="12" t="s">
        <v>183</v>
      </c>
      <c r="AB8" s="12" t="s">
        <v>184</v>
      </c>
    </row>
    <row r="9" spans="1:28" ht="15" thickBot="1" x14ac:dyDescent="0.35">
      <c r="A9" s="107"/>
      <c r="B9" s="108"/>
      <c r="C9" s="109"/>
      <c r="D9" s="109">
        <f>SUM(F9:AA9)</f>
        <v>0</v>
      </c>
      <c r="E9" s="109">
        <f>C9-D9</f>
        <v>0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28" ht="15" thickBot="1" x14ac:dyDescent="0.35">
      <c r="A10" s="70"/>
      <c r="B10" s="129"/>
      <c r="C10" s="109"/>
      <c r="D10" s="109">
        <f>SUM(F10:AA10)</f>
        <v>0</v>
      </c>
      <c r="E10" s="109">
        <f>C10-D10</f>
        <v>0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8" ht="15" thickBot="1" x14ac:dyDescent="0.35">
      <c r="A11" s="130"/>
      <c r="B11" s="129"/>
      <c r="C11" s="109"/>
      <c r="D11" s="109">
        <f>SUM(F11:AA11)</f>
        <v>0</v>
      </c>
      <c r="E11" s="109">
        <f>C11-D11</f>
        <v>0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28" ht="15" thickBot="1" x14ac:dyDescent="0.35">
      <c r="A12" s="70"/>
      <c r="B12" s="129"/>
      <c r="C12" s="111"/>
      <c r="D12" s="109"/>
      <c r="E12" s="109"/>
      <c r="F12" s="110"/>
      <c r="G12" s="110"/>
      <c r="H12" s="110"/>
      <c r="I12" s="110"/>
      <c r="J12" s="110"/>
      <c r="K12" s="110"/>
      <c r="L12" s="110"/>
      <c r="M12" s="110"/>
      <c r="N12" s="110"/>
      <c r="O12" s="110" t="s">
        <v>33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76"/>
      <c r="AB12" s="76"/>
    </row>
    <row r="13" spans="1:28" s="14" customFormat="1" ht="15" thickBot="1" x14ac:dyDescent="0.35">
      <c r="A13" s="72" t="s">
        <v>48</v>
      </c>
      <c r="B13" s="42"/>
      <c r="C13" s="73">
        <f t="shared" ref="C13:AB13" si="0">SUM(C9:C11)</f>
        <v>0</v>
      </c>
      <c r="D13" s="73">
        <f t="shared" si="0"/>
        <v>0</v>
      </c>
      <c r="E13" s="73">
        <f t="shared" si="0"/>
        <v>0</v>
      </c>
      <c r="F13" s="73">
        <f t="shared" si="0"/>
        <v>0</v>
      </c>
      <c r="G13" s="73">
        <f t="shared" si="0"/>
        <v>0</v>
      </c>
      <c r="H13" s="73">
        <f t="shared" si="0"/>
        <v>0</v>
      </c>
      <c r="I13" s="73">
        <f t="shared" si="0"/>
        <v>0</v>
      </c>
      <c r="J13" s="73">
        <f t="shared" si="0"/>
        <v>0</v>
      </c>
      <c r="K13" s="73">
        <f t="shared" si="0"/>
        <v>0</v>
      </c>
      <c r="L13" s="73">
        <f t="shared" si="0"/>
        <v>0</v>
      </c>
      <c r="M13" s="73">
        <f t="shared" si="0"/>
        <v>0</v>
      </c>
      <c r="N13" s="73">
        <f t="shared" si="0"/>
        <v>0</v>
      </c>
      <c r="O13" s="73">
        <f t="shared" si="0"/>
        <v>0</v>
      </c>
      <c r="P13" s="73">
        <f t="shared" si="0"/>
        <v>0</v>
      </c>
      <c r="Q13" s="73">
        <f t="shared" si="0"/>
        <v>0</v>
      </c>
      <c r="R13" s="73">
        <f t="shared" si="0"/>
        <v>0</v>
      </c>
      <c r="S13" s="73">
        <f t="shared" si="0"/>
        <v>0</v>
      </c>
      <c r="T13" s="73">
        <f t="shared" si="0"/>
        <v>0</v>
      </c>
      <c r="U13" s="73">
        <f t="shared" si="0"/>
        <v>0</v>
      </c>
      <c r="V13" s="73">
        <f t="shared" si="0"/>
        <v>0</v>
      </c>
      <c r="W13" s="73">
        <f t="shared" si="0"/>
        <v>0</v>
      </c>
      <c r="X13" s="73">
        <f t="shared" si="0"/>
        <v>0</v>
      </c>
      <c r="Y13" s="73">
        <f t="shared" si="0"/>
        <v>0</v>
      </c>
      <c r="Z13" s="73">
        <f t="shared" si="0"/>
        <v>0</v>
      </c>
      <c r="AA13" s="73">
        <f t="shared" si="0"/>
        <v>0</v>
      </c>
      <c r="AB13" s="73">
        <f t="shared" si="0"/>
        <v>0</v>
      </c>
    </row>
    <row r="16" spans="1:28" x14ac:dyDescent="0.3">
      <c r="AA16" s="76"/>
      <c r="AB16" s="76"/>
    </row>
    <row r="18" spans="27:28" x14ac:dyDescent="0.3">
      <c r="AA18" s="76"/>
      <c r="AB18" s="76"/>
    </row>
    <row r="22" spans="27:28" x14ac:dyDescent="0.3">
      <c r="AA22" s="76"/>
      <c r="AB22" s="76"/>
    </row>
    <row r="23" spans="27:28" x14ac:dyDescent="0.3">
      <c r="AA23" s="76"/>
      <c r="AB23" s="76"/>
    </row>
    <row r="29" spans="27:28" x14ac:dyDescent="0.3">
      <c r="AA29" s="76"/>
      <c r="AB29" s="76"/>
    </row>
    <row r="32" spans="27:28" x14ac:dyDescent="0.3">
      <c r="AA32" s="45"/>
      <c r="AB32" s="45"/>
    </row>
    <row r="33" spans="27:28" x14ac:dyDescent="0.3">
      <c r="AA33" s="30"/>
      <c r="AB33" s="30"/>
    </row>
    <row r="34" spans="27:28" x14ac:dyDescent="0.3">
      <c r="AA34" s="30"/>
      <c r="AB34" s="30"/>
    </row>
    <row r="35" spans="27:28" x14ac:dyDescent="0.3">
      <c r="AA35" s="30"/>
      <c r="AB35" s="30"/>
    </row>
    <row r="36" spans="27:28" x14ac:dyDescent="0.3">
      <c r="AA36" s="30"/>
      <c r="AB36" s="30"/>
    </row>
    <row r="37" spans="27:28" x14ac:dyDescent="0.3">
      <c r="AA37" s="30"/>
      <c r="AB37" s="30"/>
    </row>
    <row r="38" spans="27:28" x14ac:dyDescent="0.3">
      <c r="AA38" s="30"/>
      <c r="AB38" s="30"/>
    </row>
    <row r="39" spans="27:28" x14ac:dyDescent="0.3">
      <c r="AA39" s="30"/>
      <c r="AB39" s="30"/>
    </row>
    <row r="40" spans="27:28" x14ac:dyDescent="0.3">
      <c r="AA40" s="30"/>
      <c r="AB40" s="30"/>
    </row>
    <row r="41" spans="27:28" x14ac:dyDescent="0.3">
      <c r="AA41" s="30"/>
      <c r="AB41" s="30"/>
    </row>
    <row r="42" spans="27:28" x14ac:dyDescent="0.3">
      <c r="AA42" s="30"/>
      <c r="AB42" s="30"/>
    </row>
    <row r="43" spans="27:28" x14ac:dyDescent="0.3">
      <c r="AA43" s="30"/>
      <c r="AB43" s="30"/>
    </row>
    <row r="44" spans="27:28" x14ac:dyDescent="0.3">
      <c r="AA44" s="30"/>
      <c r="AB44" s="30"/>
    </row>
    <row r="45" spans="27:28" x14ac:dyDescent="0.3">
      <c r="AA45" s="30"/>
      <c r="AB45" s="30"/>
    </row>
    <row r="46" spans="27:28" x14ac:dyDescent="0.3">
      <c r="AA46" s="30"/>
      <c r="AB46" s="30"/>
    </row>
  </sheetData>
  <sheetProtection algorithmName="SHA-512" hashValue="iEG5SK5YnXFG6ZWrYwW3HyfA2At3sGc2Yi07vZpcw27WnjuDjZFGAKtDjiaG2ZZ8WBFRyPCc6eGEa+iUfpOagw==" saltValue="6b0d0HOLdZBFKFbo4XTP/w==" spinCount="100000" sheet="1" objects="1" scenario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5">
    <tabColor theme="2"/>
  </sheetPr>
  <dimension ref="A1:AB41"/>
  <sheetViews>
    <sheetView workbookViewId="0">
      <pane xSplit="7" ySplit="8" topLeftCell="K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C5" sqref="C5"/>
    </sheetView>
  </sheetViews>
  <sheetFormatPr defaultColWidth="8.88671875" defaultRowHeight="14.4" x14ac:dyDescent="0.3"/>
  <cols>
    <col min="1" max="1" width="8.88671875" style="65"/>
    <col min="2" max="2" width="36.33203125" style="44" customWidth="1"/>
    <col min="3" max="3" width="11.109375" style="65" customWidth="1"/>
    <col min="4" max="4" width="30.5546875" style="44" customWidth="1"/>
    <col min="5" max="7" width="14.6640625" style="45" customWidth="1"/>
    <col min="8" max="26" width="15.6640625" style="44" customWidth="1"/>
    <col min="27" max="28" width="21.33203125" style="44" customWidth="1"/>
    <col min="29" max="16384" width="8.88671875" style="44"/>
  </cols>
  <sheetData>
    <row r="1" spans="1:28" s="45" customFormat="1" ht="21" x14ac:dyDescent="0.4">
      <c r="A1" s="62" t="s">
        <v>0</v>
      </c>
      <c r="B1" s="53"/>
      <c r="C1" s="66" t="s">
        <v>252</v>
      </c>
      <c r="D1" s="50"/>
      <c r="E1" s="50"/>
      <c r="F1" s="50"/>
      <c r="G1" s="54"/>
      <c r="H1" s="53"/>
      <c r="I1" s="48"/>
      <c r="J1" s="66" t="str">
        <f>$C$1</f>
        <v>High Flyers</v>
      </c>
      <c r="K1" s="53"/>
      <c r="L1" s="53"/>
      <c r="M1" s="48"/>
      <c r="N1" s="53"/>
      <c r="O1" s="53"/>
      <c r="P1" s="66" t="str">
        <f>$C$1</f>
        <v>High Flyers</v>
      </c>
      <c r="Q1" s="48"/>
      <c r="R1" s="48"/>
      <c r="S1" s="53"/>
      <c r="T1" s="48"/>
      <c r="U1" s="53"/>
      <c r="V1" s="53"/>
      <c r="W1" s="66" t="str">
        <f>$C$1</f>
        <v>High Flyers</v>
      </c>
      <c r="X1" s="53"/>
      <c r="Y1" s="48"/>
      <c r="Z1" s="53"/>
      <c r="AA1" s="47"/>
      <c r="AB1" s="47"/>
    </row>
    <row r="2" spans="1:28" s="3" customFormat="1" ht="21" x14ac:dyDescent="0.4">
      <c r="A2" s="47" t="s">
        <v>171</v>
      </c>
      <c r="B2" s="49"/>
      <c r="C2" s="62" t="s">
        <v>253</v>
      </c>
      <c r="D2" s="48"/>
      <c r="E2" s="48"/>
      <c r="F2" s="48"/>
      <c r="G2" s="15"/>
      <c r="H2" s="49"/>
      <c r="I2" s="49"/>
      <c r="J2" s="50" t="str">
        <f>"FY"&amp;$C$4</f>
        <v>FY2018-19</v>
      </c>
      <c r="K2" s="49"/>
      <c r="L2" s="49"/>
      <c r="M2" s="49"/>
      <c r="N2" s="49"/>
      <c r="O2" s="49"/>
      <c r="P2" s="50" t="str">
        <f>"FY"&amp;$C$4</f>
        <v>FY2018-19</v>
      </c>
      <c r="Q2" s="49"/>
      <c r="R2" s="49"/>
      <c r="S2" s="49"/>
      <c r="T2" s="49"/>
      <c r="U2" s="49"/>
      <c r="V2" s="49"/>
      <c r="W2" s="50" t="str">
        <f>"FY"&amp;$C$4</f>
        <v>FY2018-19</v>
      </c>
      <c r="X2" s="49"/>
      <c r="Y2" s="49"/>
      <c r="Z2" s="49"/>
      <c r="AA2" s="47"/>
      <c r="AB2" s="47"/>
    </row>
    <row r="3" spans="1:28" s="45" customFormat="1" ht="15.6" x14ac:dyDescent="0.3">
      <c r="A3" s="63" t="s">
        <v>1</v>
      </c>
      <c r="B3" s="53"/>
      <c r="C3" s="67" t="s">
        <v>254</v>
      </c>
      <c r="D3" s="50"/>
      <c r="E3" s="50"/>
      <c r="F3" s="50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4"/>
    </row>
    <row r="4" spans="1:28" s="45" customFormat="1" ht="15.6" x14ac:dyDescent="0.3">
      <c r="A4" s="63" t="s">
        <v>2</v>
      </c>
      <c r="B4" s="53"/>
      <c r="C4" s="67" t="s">
        <v>188</v>
      </c>
      <c r="D4" s="50"/>
      <c r="E4" s="50"/>
      <c r="F4" s="50"/>
      <c r="G4" s="5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</row>
    <row r="5" spans="1:28" s="45" customFormat="1" ht="15.6" x14ac:dyDescent="0.3">
      <c r="A5" s="63" t="s">
        <v>18</v>
      </c>
      <c r="B5" s="53"/>
      <c r="C5" s="63" t="s">
        <v>269</v>
      </c>
      <c r="D5" s="50"/>
      <c r="E5" s="50"/>
      <c r="F5" s="50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2"/>
      <c r="AB5" s="52"/>
    </row>
    <row r="6" spans="1:28" s="45" customFormat="1" ht="15.6" x14ac:dyDescent="0.3">
      <c r="A6" s="63" t="s">
        <v>19</v>
      </c>
      <c r="B6" s="53"/>
      <c r="C6" s="67" t="s">
        <v>32</v>
      </c>
      <c r="D6" s="50"/>
      <c r="E6" s="50"/>
      <c r="F6" s="50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2"/>
      <c r="AB6" s="52"/>
    </row>
    <row r="7" spans="1:28" s="45" customFormat="1" ht="24" thickBot="1" x14ac:dyDescent="0.5">
      <c r="A7" s="315"/>
      <c r="B7" s="316"/>
      <c r="C7" s="316"/>
      <c r="D7" s="316"/>
      <c r="E7" s="316"/>
      <c r="F7" s="317"/>
      <c r="G7" s="317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2"/>
      <c r="AB7" s="52"/>
    </row>
    <row r="8" spans="1:28" ht="29.4" thickBot="1" x14ac:dyDescent="0.35">
      <c r="A8" s="11" t="s">
        <v>161</v>
      </c>
      <c r="B8" s="12" t="s">
        <v>155</v>
      </c>
      <c r="C8" s="11" t="s">
        <v>168</v>
      </c>
      <c r="D8" s="12" t="s">
        <v>44</v>
      </c>
      <c r="E8" s="13" t="s">
        <v>15</v>
      </c>
      <c r="F8" s="12" t="s">
        <v>16</v>
      </c>
      <c r="G8" s="29" t="s">
        <v>17</v>
      </c>
      <c r="H8" s="26" t="s">
        <v>67</v>
      </c>
      <c r="I8" s="27" t="s">
        <v>68</v>
      </c>
      <c r="J8" s="26" t="s">
        <v>69</v>
      </c>
      <c r="K8" s="27" t="s">
        <v>141</v>
      </c>
      <c r="L8" s="26" t="s">
        <v>142</v>
      </c>
      <c r="M8" s="27" t="s">
        <v>152</v>
      </c>
      <c r="N8" s="27" t="s">
        <v>143</v>
      </c>
      <c r="O8" s="27" t="s">
        <v>144</v>
      </c>
      <c r="P8" s="27" t="s">
        <v>145</v>
      </c>
      <c r="Q8" s="27" t="s">
        <v>146</v>
      </c>
      <c r="R8" s="27" t="s">
        <v>147</v>
      </c>
      <c r="S8" s="27" t="s">
        <v>148</v>
      </c>
      <c r="T8" s="26" t="s">
        <v>149</v>
      </c>
      <c r="U8" s="27" t="s">
        <v>150</v>
      </c>
      <c r="V8" s="27" t="s">
        <v>151</v>
      </c>
      <c r="W8" s="27" t="s">
        <v>189</v>
      </c>
      <c r="X8" s="26" t="s">
        <v>190</v>
      </c>
      <c r="Y8" s="27" t="s">
        <v>153</v>
      </c>
      <c r="Z8" s="27" t="s">
        <v>151</v>
      </c>
      <c r="AA8" s="12" t="s">
        <v>183</v>
      </c>
      <c r="AB8" s="12" t="s">
        <v>184</v>
      </c>
    </row>
    <row r="9" spans="1:28" s="37" customFormat="1" ht="15" thickBot="1" x14ac:dyDescent="0.35">
      <c r="A9" s="98" t="s">
        <v>53</v>
      </c>
      <c r="B9" s="95" t="s">
        <v>27</v>
      </c>
      <c r="C9" s="94" t="s">
        <v>261</v>
      </c>
      <c r="D9" s="95" t="s">
        <v>263</v>
      </c>
      <c r="E9" s="96">
        <v>20000</v>
      </c>
      <c r="F9" s="96">
        <f>SUM(H9:AB9)</f>
        <v>20000</v>
      </c>
      <c r="G9" s="96">
        <f>E9-F9</f>
        <v>0</v>
      </c>
      <c r="H9" s="131"/>
      <c r="I9" s="120"/>
      <c r="J9" s="120"/>
      <c r="K9" s="120">
        <v>20000</v>
      </c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44"/>
      <c r="AB9" s="44"/>
    </row>
    <row r="10" spans="1:28" s="37" customFormat="1" ht="15" thickBot="1" x14ac:dyDescent="0.35">
      <c r="A10" s="98" t="s">
        <v>53</v>
      </c>
      <c r="B10" s="95" t="s">
        <v>27</v>
      </c>
      <c r="C10" s="99" t="s">
        <v>262</v>
      </c>
      <c r="D10" s="95" t="s">
        <v>264</v>
      </c>
      <c r="E10" s="96">
        <v>20000</v>
      </c>
      <c r="F10" s="96">
        <f t="shared" ref="F10:F14" si="0">SUM(H10:AB10)</f>
        <v>20000</v>
      </c>
      <c r="G10" s="96">
        <f t="shared" ref="G10:G14" si="1">E10-F10</f>
        <v>0</v>
      </c>
      <c r="H10" s="75"/>
      <c r="I10" s="75"/>
      <c r="J10" s="75"/>
      <c r="K10" s="120">
        <v>20000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44"/>
      <c r="AB10" s="44"/>
    </row>
    <row r="11" spans="1:28" s="37" customFormat="1" ht="15" thickBot="1" x14ac:dyDescent="0.35">
      <c r="A11" s="98" t="s">
        <v>255</v>
      </c>
      <c r="B11" s="95" t="s">
        <v>258</v>
      </c>
      <c r="C11" s="99"/>
      <c r="D11" s="95" t="s">
        <v>265</v>
      </c>
      <c r="E11" s="96">
        <v>10000</v>
      </c>
      <c r="F11" s="96">
        <f t="shared" si="0"/>
        <v>10000</v>
      </c>
      <c r="G11" s="96">
        <f t="shared" si="1"/>
        <v>0</v>
      </c>
      <c r="H11" s="75"/>
      <c r="I11" s="75"/>
      <c r="J11" s="75"/>
      <c r="K11" s="75">
        <v>10000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44"/>
      <c r="AB11" s="44"/>
    </row>
    <row r="12" spans="1:28" s="37" customFormat="1" ht="15" thickBot="1" x14ac:dyDescent="0.35">
      <c r="A12" s="98" t="s">
        <v>55</v>
      </c>
      <c r="B12" s="95" t="s">
        <v>58</v>
      </c>
      <c r="C12" s="99"/>
      <c r="D12" s="95" t="s">
        <v>266</v>
      </c>
      <c r="E12" s="96">
        <v>10000</v>
      </c>
      <c r="F12" s="96">
        <f t="shared" si="0"/>
        <v>10000</v>
      </c>
      <c r="G12" s="96">
        <f t="shared" si="1"/>
        <v>0</v>
      </c>
      <c r="H12" s="75"/>
      <c r="I12" s="75"/>
      <c r="J12" s="75"/>
      <c r="K12" s="75">
        <v>10000</v>
      </c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44"/>
      <c r="AB12" s="44"/>
    </row>
    <row r="13" spans="1:28" s="37" customFormat="1" ht="15" thickBot="1" x14ac:dyDescent="0.35">
      <c r="A13" s="98" t="s">
        <v>256</v>
      </c>
      <c r="B13" s="95" t="s">
        <v>259</v>
      </c>
      <c r="C13" s="99"/>
      <c r="D13" s="95" t="s">
        <v>267</v>
      </c>
      <c r="E13" s="96">
        <v>20000</v>
      </c>
      <c r="F13" s="96">
        <f t="shared" si="0"/>
        <v>20000</v>
      </c>
      <c r="G13" s="96">
        <f t="shared" si="1"/>
        <v>0</v>
      </c>
      <c r="H13" s="75"/>
      <c r="I13" s="75"/>
      <c r="J13" s="75"/>
      <c r="K13" s="75">
        <v>20000</v>
      </c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44"/>
      <c r="AB13" s="44"/>
    </row>
    <row r="14" spans="1:28" s="37" customFormat="1" ht="15" thickBot="1" x14ac:dyDescent="0.35">
      <c r="A14" s="98" t="s">
        <v>257</v>
      </c>
      <c r="B14" s="95" t="s">
        <v>260</v>
      </c>
      <c r="C14" s="99"/>
      <c r="D14" s="95" t="s">
        <v>268</v>
      </c>
      <c r="E14" s="96">
        <v>20000</v>
      </c>
      <c r="F14" s="96">
        <f t="shared" si="0"/>
        <v>20000</v>
      </c>
      <c r="G14" s="96">
        <f t="shared" si="1"/>
        <v>0</v>
      </c>
      <c r="H14" s="75"/>
      <c r="I14" s="75"/>
      <c r="J14" s="75"/>
      <c r="K14" s="75">
        <v>20000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44"/>
      <c r="AB14" s="44"/>
    </row>
    <row r="15" spans="1:28" ht="15" thickBot="1" x14ac:dyDescent="0.35">
      <c r="A15" s="161"/>
      <c r="B15" s="162"/>
      <c r="C15" s="163"/>
      <c r="D15" s="162"/>
      <c r="E15" s="164"/>
      <c r="F15" s="164"/>
      <c r="G15" s="16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45"/>
      <c r="AB15" s="45"/>
    </row>
    <row r="16" spans="1:28" s="14" customFormat="1" ht="15" thickBot="1" x14ac:dyDescent="0.35">
      <c r="A16" s="100" t="s">
        <v>48</v>
      </c>
      <c r="B16" s="43"/>
      <c r="C16" s="64"/>
      <c r="D16" s="43"/>
      <c r="E16" s="89">
        <f>SUM(E9:E15)</f>
        <v>100000</v>
      </c>
      <c r="F16" s="89">
        <f>SUM(F9:F15)</f>
        <v>100000</v>
      </c>
      <c r="G16" s="89">
        <f>SUM(G9:G15)</f>
        <v>0</v>
      </c>
      <c r="H16" s="89">
        <f>SUM(H9:H14)</f>
        <v>0</v>
      </c>
      <c r="I16" s="89">
        <f>SUM(I9:I14)</f>
        <v>0</v>
      </c>
      <c r="J16" s="89">
        <f>SUM(J9:J14)</f>
        <v>0</v>
      </c>
      <c r="K16" s="89">
        <f t="shared" ref="K16:AB16" si="2">SUM(K9:K15)</f>
        <v>100000</v>
      </c>
      <c r="L16" s="89">
        <f t="shared" si="2"/>
        <v>0</v>
      </c>
      <c r="M16" s="89">
        <f t="shared" si="2"/>
        <v>0</v>
      </c>
      <c r="N16" s="89">
        <f t="shared" si="2"/>
        <v>0</v>
      </c>
      <c r="O16" s="89">
        <f t="shared" si="2"/>
        <v>0</v>
      </c>
      <c r="P16" s="89">
        <f t="shared" si="2"/>
        <v>0</v>
      </c>
      <c r="Q16" s="89">
        <f t="shared" si="2"/>
        <v>0</v>
      </c>
      <c r="R16" s="89">
        <f t="shared" si="2"/>
        <v>0</v>
      </c>
      <c r="S16" s="89">
        <f t="shared" si="2"/>
        <v>0</v>
      </c>
      <c r="T16" s="89">
        <f t="shared" si="2"/>
        <v>0</v>
      </c>
      <c r="U16" s="89">
        <f t="shared" si="2"/>
        <v>0</v>
      </c>
      <c r="V16" s="89">
        <f t="shared" si="2"/>
        <v>0</v>
      </c>
      <c r="W16" s="89">
        <f t="shared" si="2"/>
        <v>0</v>
      </c>
      <c r="X16" s="89">
        <f t="shared" si="2"/>
        <v>0</v>
      </c>
      <c r="Y16" s="89">
        <f t="shared" si="2"/>
        <v>0</v>
      </c>
      <c r="Z16" s="89">
        <f t="shared" si="2"/>
        <v>0</v>
      </c>
      <c r="AA16" s="89">
        <f t="shared" si="2"/>
        <v>0</v>
      </c>
      <c r="AB16" s="89">
        <f t="shared" si="2"/>
        <v>0</v>
      </c>
    </row>
    <row r="17" spans="3:28" x14ac:dyDescent="0.3">
      <c r="E17" s="46"/>
      <c r="F17" s="46"/>
      <c r="G17" s="46"/>
      <c r="AA17" s="30"/>
      <c r="AB17" s="30"/>
    </row>
    <row r="18" spans="3:28" x14ac:dyDescent="0.3">
      <c r="C18" s="46"/>
      <c r="D18" s="46"/>
      <c r="E18" s="46"/>
      <c r="F18" s="44"/>
      <c r="G18" s="44"/>
      <c r="L18" s="30"/>
      <c r="Q18" s="30"/>
      <c r="R18" s="30"/>
      <c r="X18" s="30"/>
      <c r="AA18" s="30"/>
      <c r="AB18" s="30"/>
    </row>
    <row r="19" spans="3:28" x14ac:dyDescent="0.3">
      <c r="C19" s="46"/>
      <c r="D19" s="46"/>
      <c r="E19" s="46"/>
      <c r="F19" s="44"/>
      <c r="G19" s="44"/>
      <c r="Q19" s="30"/>
      <c r="AA19" s="30"/>
      <c r="AB19" s="30"/>
    </row>
    <row r="20" spans="3:28" x14ac:dyDescent="0.3">
      <c r="C20" s="46"/>
      <c r="D20" s="46"/>
      <c r="E20" s="46"/>
      <c r="F20" s="44"/>
      <c r="G20" s="44"/>
      <c r="AA20" s="30"/>
      <c r="AB20" s="30"/>
    </row>
    <row r="21" spans="3:28" x14ac:dyDescent="0.3">
      <c r="C21" s="46"/>
      <c r="D21" s="46"/>
      <c r="E21" s="46"/>
      <c r="F21" s="44"/>
      <c r="G21" s="44"/>
      <c r="AA21" s="30"/>
      <c r="AB21" s="30"/>
    </row>
    <row r="22" spans="3:28" x14ac:dyDescent="0.3">
      <c r="C22" s="46"/>
      <c r="D22" s="46"/>
      <c r="E22" s="46"/>
      <c r="F22" s="44"/>
      <c r="G22" s="44"/>
      <c r="AA22" s="30"/>
      <c r="AB22" s="30"/>
    </row>
    <row r="23" spans="3:28" x14ac:dyDescent="0.3">
      <c r="C23" s="46"/>
      <c r="D23" s="46"/>
      <c r="E23" s="46"/>
      <c r="F23" s="44"/>
      <c r="G23" s="44"/>
      <c r="AA23" s="30"/>
      <c r="AB23" s="30"/>
    </row>
    <row r="24" spans="3:28" x14ac:dyDescent="0.3">
      <c r="C24" s="46"/>
      <c r="D24" s="46"/>
      <c r="E24" s="46"/>
      <c r="F24" s="44"/>
      <c r="G24" s="44"/>
      <c r="AA24" s="30"/>
      <c r="AB24" s="30"/>
    </row>
    <row r="25" spans="3:28" x14ac:dyDescent="0.3">
      <c r="C25" s="46"/>
      <c r="D25" s="46"/>
      <c r="E25" s="46"/>
      <c r="F25" s="44"/>
      <c r="G25" s="44"/>
      <c r="AA25" s="30"/>
      <c r="AB25" s="30"/>
    </row>
    <row r="26" spans="3:28" x14ac:dyDescent="0.3">
      <c r="C26" s="46"/>
      <c r="D26" s="46"/>
      <c r="E26" s="46"/>
      <c r="F26" s="44"/>
      <c r="G26" s="44"/>
      <c r="AA26" s="30"/>
      <c r="AB26" s="30"/>
    </row>
    <row r="27" spans="3:28" x14ac:dyDescent="0.3">
      <c r="C27" s="46"/>
      <c r="D27" s="46"/>
      <c r="E27" s="46"/>
      <c r="F27" s="44"/>
      <c r="G27" s="44"/>
      <c r="AA27" s="30"/>
      <c r="AB27" s="30"/>
    </row>
    <row r="28" spans="3:28" x14ac:dyDescent="0.3">
      <c r="C28" s="46"/>
      <c r="D28" s="46"/>
      <c r="E28" s="46"/>
      <c r="F28" s="44"/>
      <c r="G28" s="44"/>
      <c r="AA28" s="30"/>
      <c r="AB28" s="30"/>
    </row>
    <row r="29" spans="3:28" x14ac:dyDescent="0.3">
      <c r="C29" s="46"/>
      <c r="D29" s="46"/>
      <c r="E29" s="46"/>
      <c r="F29" s="44"/>
      <c r="G29" s="44"/>
      <c r="AA29" s="30"/>
      <c r="AB29" s="30"/>
    </row>
    <row r="30" spans="3:28" x14ac:dyDescent="0.3">
      <c r="C30" s="46"/>
      <c r="D30" s="46"/>
      <c r="E30" s="46"/>
      <c r="F30" s="44"/>
      <c r="G30" s="44"/>
    </row>
    <row r="31" spans="3:28" x14ac:dyDescent="0.3">
      <c r="C31" s="46"/>
      <c r="D31" s="46"/>
      <c r="E31" s="46"/>
      <c r="F31" s="44"/>
      <c r="G31" s="44"/>
    </row>
    <row r="32" spans="3:28" x14ac:dyDescent="0.3">
      <c r="C32" s="46"/>
      <c r="D32" s="46"/>
      <c r="E32" s="46"/>
      <c r="F32" s="44"/>
      <c r="G32" s="44"/>
    </row>
    <row r="33" spans="3:7" x14ac:dyDescent="0.3">
      <c r="C33" s="46"/>
      <c r="D33" s="46"/>
      <c r="E33" s="46"/>
      <c r="F33" s="44"/>
      <c r="G33" s="44"/>
    </row>
    <row r="34" spans="3:7" x14ac:dyDescent="0.3">
      <c r="E34" s="46"/>
      <c r="F34" s="46"/>
      <c r="G34" s="46"/>
    </row>
    <row r="35" spans="3:7" x14ac:dyDescent="0.3">
      <c r="E35" s="46"/>
      <c r="F35" s="46"/>
      <c r="G35" s="46"/>
    </row>
    <row r="36" spans="3:7" x14ac:dyDescent="0.3">
      <c r="E36" s="46"/>
      <c r="F36" s="46"/>
      <c r="G36" s="46"/>
    </row>
    <row r="37" spans="3:7" x14ac:dyDescent="0.3">
      <c r="E37" s="46"/>
      <c r="F37" s="46"/>
      <c r="G37" s="46"/>
    </row>
    <row r="38" spans="3:7" x14ac:dyDescent="0.3">
      <c r="E38" s="46"/>
      <c r="F38" s="46"/>
      <c r="G38" s="46"/>
    </row>
    <row r="39" spans="3:7" x14ac:dyDescent="0.3">
      <c r="F39" s="46"/>
      <c r="G39" s="46"/>
    </row>
    <row r="40" spans="3:7" x14ac:dyDescent="0.3">
      <c r="F40" s="46"/>
      <c r="G40" s="46"/>
    </row>
    <row r="41" spans="3:7" x14ac:dyDescent="0.3">
      <c r="F41" s="46"/>
      <c r="G41" s="46"/>
    </row>
  </sheetData>
  <sheetProtection password="E89A" sheet="1" objects="1" scenarios="1"/>
  <mergeCells count="1">
    <mergeCell ref="A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21ST C7 </vt:lpstr>
      <vt:lpstr>21ST C8</vt:lpstr>
      <vt:lpstr>SRAE</vt:lpstr>
      <vt:lpstr>AEFLA </vt:lpstr>
      <vt:lpstr> AWARE</vt:lpstr>
      <vt:lpstr>BEST Instruction</vt:lpstr>
      <vt:lpstr>CDC</vt:lpstr>
      <vt:lpstr>DB Centers</vt:lpstr>
      <vt:lpstr>High Flyers</vt:lpstr>
      <vt:lpstr>IEL_CIVICS </vt:lpstr>
      <vt:lpstr>JAVITS R4R</vt:lpstr>
      <vt:lpstr>JAVITS R4R Y042</vt:lpstr>
      <vt:lpstr>McKinney Vento</vt:lpstr>
      <vt:lpstr>MSIX</vt:lpstr>
      <vt:lpstr>MTSS </vt:lpstr>
      <vt:lpstr>TITLE IC MIGRANT</vt:lpstr>
      <vt:lpstr>TITLE II B MSP</vt:lpstr>
      <vt:lpstr>Title III PD</vt:lpstr>
      <vt:lpstr>TITLE V CHARTER 44xC 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Mueller, Patrick</cp:lastModifiedBy>
  <cp:lastPrinted>2019-09-24T20:53:00Z</cp:lastPrinted>
  <dcterms:created xsi:type="dcterms:W3CDTF">2011-11-11T22:30:43Z</dcterms:created>
  <dcterms:modified xsi:type="dcterms:W3CDTF">2020-10-20T20:38:32Z</dcterms:modified>
</cp:coreProperties>
</file>